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Microsoft/"/>
    </mc:Choice>
  </mc:AlternateContent>
  <xr:revisionPtr revIDLastSave="31" documentId="11_8DB28DF925208E0E39F73D3CD4E5F1A0A704433C" xr6:coauthVersionLast="47" xr6:coauthVersionMax="47" xr10:uidLastSave="{44F8FAC8-5FB9-4302-98D6-EA2C9363A0B9}"/>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368" i="1"/>
  <c r="M367" i="1"/>
  <c r="M366" i="1"/>
  <c r="M365" i="1"/>
  <c r="M364" i="1"/>
  <c r="M363" i="1"/>
  <c r="M362" i="1"/>
  <c r="M361" i="1"/>
  <c r="M360" i="1"/>
  <c r="M359" i="1"/>
  <c r="M358" i="1"/>
  <c r="M357" i="1"/>
  <c r="M356" i="1"/>
  <c r="M355" i="1"/>
  <c r="M354" i="1"/>
  <c r="M353" i="1"/>
  <c r="M352" i="1"/>
  <c r="M351" i="1"/>
  <c r="M350" i="1"/>
  <c r="M349" i="1"/>
  <c r="M348" i="1"/>
  <c r="M347" i="1"/>
  <c r="M346" i="1"/>
  <c r="M345" i="1"/>
  <c r="M344" i="1"/>
  <c r="M343" i="1"/>
  <c r="M342" i="1"/>
  <c r="M341" i="1"/>
  <c r="M340" i="1"/>
  <c r="M339" i="1"/>
  <c r="M338" i="1"/>
  <c r="M337" i="1"/>
  <c r="M336" i="1"/>
  <c r="M335" i="1"/>
  <c r="M334" i="1"/>
  <c r="M333" i="1"/>
  <c r="M332" i="1"/>
  <c r="M331" i="1"/>
  <c r="M330" i="1"/>
  <c r="M329" i="1"/>
  <c r="M328" i="1"/>
  <c r="M327" i="1"/>
  <c r="M326" i="1"/>
  <c r="M325" i="1"/>
  <c r="M324" i="1"/>
  <c r="M323" i="1"/>
  <c r="M322" i="1"/>
  <c r="M321" i="1"/>
  <c r="M320" i="1"/>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95" i="3" s="1"/>
  <c r="R170" i="3"/>
  <c r="R169" i="3"/>
  <c r="R168" i="3"/>
  <c r="R167" i="3"/>
  <c r="R166" i="3"/>
  <c r="R165" i="3"/>
  <c r="R164" i="3"/>
  <c r="R163" i="3"/>
  <c r="R162" i="3"/>
  <c r="R161" i="3"/>
  <c r="R160" i="3"/>
  <c r="R159" i="3"/>
  <c r="R158" i="3"/>
  <c r="R157" i="3"/>
  <c r="R156" i="3"/>
  <c r="R155" i="3"/>
  <c r="R154" i="3"/>
  <c r="R153" i="3"/>
  <c r="R152" i="3"/>
  <c r="R151" i="3"/>
  <c r="O95" i="3"/>
  <c r="N95" i="3"/>
  <c r="M95" i="3"/>
  <c r="L95" i="3"/>
  <c r="K95" i="3"/>
  <c r="E95" i="3"/>
  <c r="O94" i="3"/>
  <c r="N94" i="3"/>
  <c r="M94" i="3"/>
  <c r="L94" i="3"/>
  <c r="K94" i="3"/>
  <c r="F94" i="3"/>
  <c r="E94" i="3"/>
  <c r="G94" i="3" s="1"/>
  <c r="O93" i="3"/>
  <c r="N93" i="3"/>
  <c r="M93" i="3"/>
  <c r="L93" i="3"/>
  <c r="K93" i="3"/>
  <c r="F93" i="3"/>
  <c r="E93" i="3"/>
  <c r="G93" i="3" s="1"/>
  <c r="O92" i="3"/>
  <c r="N92" i="3"/>
  <c r="M92" i="3"/>
  <c r="L92" i="3"/>
  <c r="K92" i="3"/>
  <c r="F92" i="3"/>
  <c r="E92" i="3"/>
  <c r="G92" i="3" s="1"/>
  <c r="O91" i="3"/>
  <c r="N91" i="3"/>
  <c r="M91" i="3"/>
  <c r="L91" i="3"/>
  <c r="K91" i="3"/>
  <c r="F91" i="3"/>
  <c r="E91" i="3"/>
  <c r="G91" i="3" s="1"/>
  <c r="O90" i="3"/>
  <c r="N90" i="3"/>
  <c r="M90" i="3"/>
  <c r="L90" i="3"/>
  <c r="K90" i="3"/>
  <c r="F90" i="3"/>
  <c r="E90" i="3"/>
  <c r="G90" i="3" s="1"/>
  <c r="E76" i="3"/>
  <c r="D76" i="3"/>
  <c r="C76" i="3"/>
  <c r="F76" i="3" s="1"/>
  <c r="E75" i="3"/>
  <c r="D75" i="3"/>
  <c r="C75" i="3"/>
  <c r="F75" i="3" s="1"/>
  <c r="E74" i="3"/>
  <c r="D74" i="3"/>
  <c r="C74" i="3"/>
  <c r="F74" i="3" s="1"/>
  <c r="E73" i="3"/>
  <c r="D73" i="3"/>
  <c r="C73" i="3"/>
  <c r="F73" i="3" s="1"/>
  <c r="E56" i="3"/>
  <c r="D56" i="3"/>
  <c r="C56" i="3"/>
  <c r="F56" i="3" s="1"/>
  <c r="F55" i="3"/>
  <c r="C63" i="3" s="1"/>
  <c r="E55" i="3"/>
  <c r="D55" i="3"/>
  <c r="C55" i="3"/>
  <c r="E54" i="3"/>
  <c r="D54" i="3"/>
  <c r="C54" i="3"/>
  <c r="W106" i="3" s="1"/>
  <c r="E53" i="3"/>
  <c r="D53" i="3"/>
  <c r="C53" i="3"/>
  <c r="U106" i="3" s="1"/>
  <c r="F52" i="3"/>
  <c r="T136" i="3" s="1"/>
  <c r="E52" i="3"/>
  <c r="D52" i="3"/>
  <c r="C52" i="3"/>
  <c r="S106" i="3" s="1"/>
  <c r="E34" i="3"/>
  <c r="D34" i="3"/>
  <c r="C34" i="3"/>
  <c r="F34" i="3" s="1"/>
  <c r="E33" i="3"/>
  <c r="D33" i="3"/>
  <c r="C33" i="3"/>
  <c r="F33" i="3" s="1"/>
  <c r="E32" i="3"/>
  <c r="D32" i="3"/>
  <c r="C32" i="3"/>
  <c r="F32" i="3" s="1"/>
  <c r="E31" i="3"/>
  <c r="D31" i="3"/>
  <c r="C31" i="3"/>
  <c r="F31" i="3" s="1"/>
  <c r="E30" i="3"/>
  <c r="D30" i="3"/>
  <c r="C30" i="3"/>
  <c r="F30" i="3" s="1"/>
  <c r="E29" i="3"/>
  <c r="D29" i="3"/>
  <c r="C29" i="3"/>
  <c r="F29" i="3" s="1"/>
  <c r="C20" i="3"/>
  <c r="F16" i="3"/>
  <c r="R136" i="3" s="1"/>
  <c r="E16" i="3"/>
  <c r="D16" i="3"/>
  <c r="C16" i="3"/>
  <c r="Q106" i="3" s="1"/>
  <c r="C9" i="3"/>
  <c r="D9" i="3" s="1"/>
  <c r="C8" i="3"/>
  <c r="C7" i="3" s="1"/>
  <c r="D7" i="3" s="1"/>
  <c r="E38" i="3" l="1"/>
  <c r="C38" i="3"/>
  <c r="D38" i="3"/>
  <c r="E82" i="3"/>
  <c r="D82" i="3"/>
  <c r="C82" i="3"/>
  <c r="C39" i="3"/>
  <c r="D39" i="3"/>
  <c r="E39" i="3"/>
  <c r="G95" i="3"/>
  <c r="E40" i="3"/>
  <c r="D40" i="3"/>
  <c r="C40" i="3"/>
  <c r="E41" i="3"/>
  <c r="D41" i="3"/>
  <c r="C41" i="3"/>
  <c r="E64" i="3"/>
  <c r="D64" i="3"/>
  <c r="C64" i="3"/>
  <c r="E43" i="3"/>
  <c r="D43" i="3"/>
  <c r="C43" i="3"/>
  <c r="E83" i="3"/>
  <c r="D83" i="3"/>
  <c r="C83" i="3"/>
  <c r="E42" i="3"/>
  <c r="D42" i="3"/>
  <c r="C42" i="3"/>
  <c r="E80" i="3"/>
  <c r="D80" i="3"/>
  <c r="C80" i="3"/>
  <c r="E81" i="3"/>
  <c r="D81" i="3"/>
  <c r="C81" i="3"/>
  <c r="F53" i="3"/>
  <c r="D8" i="3"/>
  <c r="D63" i="3"/>
  <c r="F54" i="3"/>
  <c r="E63" i="3"/>
  <c r="R112" i="3"/>
  <c r="R117" i="3"/>
  <c r="R122" i="3"/>
  <c r="R127" i="3"/>
  <c r="R132" i="3"/>
  <c r="R137" i="3"/>
  <c r="T112" i="3"/>
  <c r="T117" i="3"/>
  <c r="T122" i="3"/>
  <c r="T127" i="3"/>
  <c r="T132" i="3"/>
  <c r="T137" i="3"/>
  <c r="R108" i="3"/>
  <c r="R113" i="3"/>
  <c r="R118" i="3"/>
  <c r="R123" i="3"/>
  <c r="R128" i="3"/>
  <c r="R133" i="3"/>
  <c r="R138" i="3"/>
  <c r="D20" i="3"/>
  <c r="T108" i="3"/>
  <c r="T113" i="3"/>
  <c r="T118" i="3"/>
  <c r="T123" i="3"/>
  <c r="T128" i="3"/>
  <c r="T133" i="3"/>
  <c r="T138" i="3"/>
  <c r="E20" i="3"/>
  <c r="R109" i="3"/>
  <c r="R114" i="3"/>
  <c r="R119" i="3"/>
  <c r="R124" i="3"/>
  <c r="R129" i="3"/>
  <c r="R134" i="3"/>
  <c r="T109" i="3"/>
  <c r="T114" i="3"/>
  <c r="T119" i="3"/>
  <c r="T124" i="3"/>
  <c r="T129" i="3"/>
  <c r="T134" i="3"/>
  <c r="C60" i="3"/>
  <c r="D60" i="3"/>
  <c r="E60" i="3"/>
  <c r="R110" i="3"/>
  <c r="R115" i="3"/>
  <c r="R120" i="3"/>
  <c r="R125" i="3"/>
  <c r="R130" i="3"/>
  <c r="R135" i="3"/>
  <c r="T110" i="3"/>
  <c r="T115" i="3"/>
  <c r="T120" i="3"/>
  <c r="T125" i="3"/>
  <c r="T130" i="3"/>
  <c r="T135" i="3"/>
  <c r="R111" i="3"/>
  <c r="R116" i="3"/>
  <c r="R121" i="3"/>
  <c r="R126" i="3"/>
  <c r="R131" i="3"/>
  <c r="T111" i="3"/>
  <c r="T116" i="3"/>
  <c r="T121" i="3"/>
  <c r="T126" i="3"/>
  <c r="T131" i="3"/>
  <c r="E62" i="3" l="1"/>
  <c r="X135" i="3"/>
  <c r="X130" i="3"/>
  <c r="X125" i="3"/>
  <c r="X120" i="3"/>
  <c r="X115" i="3"/>
  <c r="X110" i="3"/>
  <c r="C62" i="3"/>
  <c r="X134" i="3"/>
  <c r="X129" i="3"/>
  <c r="X124" i="3"/>
  <c r="X119" i="3"/>
  <c r="X114" i="3"/>
  <c r="X109" i="3"/>
  <c r="X138" i="3"/>
  <c r="X133" i="3"/>
  <c r="X128" i="3"/>
  <c r="X123" i="3"/>
  <c r="X118" i="3"/>
  <c r="X113" i="3"/>
  <c r="X108" i="3"/>
  <c r="X137" i="3"/>
  <c r="X132" i="3"/>
  <c r="X127" i="3"/>
  <c r="X122" i="3"/>
  <c r="X117" i="3"/>
  <c r="X112" i="3"/>
  <c r="X136" i="3"/>
  <c r="X131" i="3"/>
  <c r="X126" i="3"/>
  <c r="X121" i="3"/>
  <c r="X116" i="3"/>
  <c r="X111" i="3"/>
  <c r="D62" i="3"/>
  <c r="V136" i="3"/>
  <c r="V131" i="3"/>
  <c r="V126" i="3"/>
  <c r="V121" i="3"/>
  <c r="V116" i="3"/>
  <c r="V111" i="3"/>
  <c r="V135" i="3"/>
  <c r="V130" i="3"/>
  <c r="V125" i="3"/>
  <c r="V120" i="3"/>
  <c r="V115" i="3"/>
  <c r="V110" i="3"/>
  <c r="E61" i="3"/>
  <c r="D61" i="3"/>
  <c r="V134" i="3"/>
  <c r="V129" i="3"/>
  <c r="V124" i="3"/>
  <c r="V119" i="3"/>
  <c r="V114" i="3"/>
  <c r="V109" i="3"/>
  <c r="V138" i="3"/>
  <c r="V133" i="3"/>
  <c r="V128" i="3"/>
  <c r="V123" i="3"/>
  <c r="V118" i="3"/>
  <c r="V113" i="3"/>
  <c r="V108" i="3"/>
  <c r="V137" i="3"/>
  <c r="V132" i="3"/>
  <c r="V127" i="3"/>
  <c r="V122" i="3"/>
  <c r="V117" i="3"/>
  <c r="V112" i="3"/>
  <c r="C6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 Also apply to matching devices that are already installed = True</t>
        </r>
        <r>
          <rPr>
            <sz val="11"/>
            <color rgb="FF000000"/>
            <rFont val="Calibri"/>
          </rPr>
          <t>'</t>
        </r>
      </text>
    </comment>
    <comment ref="J14" authorId="0" shapeId="0" xr:uid="{00000000-0006-0000-0400-000002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 authorId="0" shapeId="0" xr:uid="{00000000-0006-0000-0400-00000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400-000004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 authorId="0" shapeId="0" xr:uid="{00000000-0006-0000-0400-000005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 authorId="0" shapeId="0" xr:uid="{00000000-0006-0000-0400-000007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text>
    </comment>
    <comment ref="L22" authorId="0" shapeId="0" xr:uid="{00000000-0006-0000-0400-000006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08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 authorId="0" shapeId="0" xr:uid="{00000000-0006-0000-0400-00002B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2C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09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0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0B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 authorId="0" shapeId="0" xr:uid="{00000000-0006-0000-0400-00000C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0D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6" authorId="0" shapeId="0" xr:uid="{00000000-0006-0000-0400-00000E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S26" authorId="0" shapeId="0" xr:uid="{00000000-0006-0000-0400-00000F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T26" authorId="0" shapeId="0" xr:uid="{00000000-0006-0000-0400-000010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U26" authorId="0" shapeId="0" xr:uid="{00000000-0006-0000-0400-000011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V26" authorId="0" shapeId="0" xr:uid="{00000000-0006-0000-0400-000012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6" authorId="0" shapeId="0" xr:uid="{00000000-0006-0000-0400-000013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6" authorId="0" shapeId="0" xr:uid="{00000000-0006-0000-0400-000014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Y26" authorId="0" shapeId="0" xr:uid="{00000000-0006-0000-0400-000015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Z26" authorId="0" shapeId="0" xr:uid="{00000000-0006-0000-0400-000016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AA26" authorId="0" shapeId="0" xr:uid="{00000000-0006-0000-0400-000017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AB26" authorId="0" shapeId="0" xr:uid="{00000000-0006-0000-0400-000018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26" authorId="0" shapeId="0" xr:uid="{00000000-0006-0000-0400-000019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 RequireIntegrity=1; RequireMutualAuthentication=1; \\*\NETLOGON = RequireIntegrity=1; RequireMutualAuthentication=1</t>
        </r>
        <r>
          <rPr>
            <sz val="11"/>
            <color rgb="FF000000"/>
            <rFont val="Calibri"/>
          </rPr>
          <t>'</t>
        </r>
      </text>
    </comment>
    <comment ref="AD26" authorId="0" shapeId="0" xr:uid="{00000000-0006-0000-0400-00001A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6" authorId="0" shapeId="0" xr:uid="{00000000-0006-0000-0400-00001B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F26" authorId="0" shapeId="0" xr:uid="{00000000-0006-0000-0400-00001C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G26" authorId="0" shapeId="0" xr:uid="{00000000-0006-0000-0400-00001D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H26" authorId="0" shapeId="0" xr:uid="{00000000-0006-0000-0400-00001E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6" authorId="0" shapeId="0" xr:uid="{00000000-0006-0000-0400-00001F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AJ26" authorId="0" shapeId="0" xr:uid="{00000000-0006-0000-0400-000020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AK26" authorId="0" shapeId="0" xr:uid="{00000000-0006-0000-0400-000021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6" authorId="0" shapeId="0" xr:uid="{00000000-0006-0000-0400-000022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6" authorId="0" shapeId="0" xr:uid="{00000000-0006-0000-0400-000023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6" authorId="0" shapeId="0" xr:uid="{00000000-0006-0000-0400-000024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O26" authorId="0" shapeId="0" xr:uid="{00000000-0006-0000-0400-000025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26" authorId="0" shapeId="0" xr:uid="{00000000-0006-0000-0400-000026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26" authorId="0" shapeId="0" xr:uid="{00000000-0006-0000-0400-000027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26" authorId="0" shapeId="0" xr:uid="{00000000-0006-0000-0400-000028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26" authorId="0" shapeId="0" xr:uid="{00000000-0006-0000-0400-000029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26" authorId="0" shapeId="0" xr:uid="{00000000-0006-0000-0400-00002A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8" authorId="0" shapeId="0" xr:uid="{00000000-0006-0000-0400-00002D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K28" authorId="0" shapeId="0" xr:uid="{00000000-0006-0000-0400-00002E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400-00002F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400-000030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400-000031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400-000032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33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32" authorId="0" shapeId="0" xr:uid="{00000000-0006-0000-0400-000034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400-000035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Q32" authorId="0" shapeId="0" xr:uid="{00000000-0006-0000-0400-000036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R32" authorId="0" shapeId="0" xr:uid="{00000000-0006-0000-0400-000037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2" authorId="0" shapeId="0" xr:uid="{00000000-0006-0000-0400-000038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2" authorId="0" shapeId="0" xr:uid="{00000000-0006-0000-0400-000039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2" authorId="0" shapeId="0" xr:uid="{00000000-0006-0000-0400-00003A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2" authorId="0" shapeId="0" xr:uid="{00000000-0006-0000-0400-00003B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text>
    </comment>
    <comment ref="W32" authorId="0" shapeId="0" xr:uid="{00000000-0006-0000-0400-00003C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2" authorId="0" shapeId="0" xr:uid="{00000000-0006-0000-0400-00003D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2" authorId="0" shapeId="0" xr:uid="{00000000-0006-0000-0400-00003E000000}">
      <text>
        <r>
          <rPr>
            <sz val="11"/>
            <rFont val="Calibri"/>
          </rPr>
          <t xml:space="preserve">Ensure </t>
        </r>
        <r>
          <rPr>
            <sz val="11"/>
            <color rgb="FF000000"/>
            <rFont val="Calibri"/>
          </rPr>
          <t>'</t>
        </r>
        <r>
          <rPr>
            <b/>
            <sz val="11"/>
            <color rgb="FF000000"/>
            <rFont val="Calibri"/>
          </rPr>
          <t>Configure RPC connection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Default</t>
        </r>
        <r>
          <rPr>
            <sz val="11"/>
            <color rgb="FF000000"/>
            <rFont val="Calibri"/>
          </rPr>
          <t>'</t>
        </r>
      </text>
    </comment>
    <comment ref="Z32" authorId="0" shapeId="0" xr:uid="{00000000-0006-0000-0400-00003F000000}">
      <text>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t>
        </r>
        <r>
          <rPr>
            <sz val="11"/>
            <color rgb="FF000000"/>
            <rFont val="Calibri"/>
          </rPr>
          <t>'</t>
        </r>
      </text>
    </comment>
    <comment ref="AA32" authorId="0" shapeId="0" xr:uid="{00000000-0006-0000-0400-000040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B32" authorId="0" shapeId="0" xr:uid="{00000000-0006-0000-0400-000041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AC32" authorId="0" shapeId="0" xr:uid="{00000000-0006-0000-0400-000042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2" authorId="0" shapeId="0" xr:uid="{00000000-0006-0000-0400-000043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2" authorId="0" shapeId="0" xr:uid="{00000000-0006-0000-0400-000044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 authorId="0" shapeId="0" xr:uid="{00000000-0006-0000-0400-000045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34" authorId="0" shapeId="0" xr:uid="{00000000-0006-0000-0400-000046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34" authorId="0" shapeId="0" xr:uid="{00000000-0006-0000-0400-000047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48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49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4" authorId="0" shapeId="0" xr:uid="{00000000-0006-0000-0400-00004A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4" authorId="0" shapeId="0" xr:uid="{00000000-0006-0000-0400-00004B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4" authorId="0" shapeId="0" xr:uid="{00000000-0006-0000-0400-00004C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4" authorId="0" shapeId="0" xr:uid="{00000000-0006-0000-0400-00004D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S34" authorId="0" shapeId="0" xr:uid="{00000000-0006-0000-0400-00004E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text>
    </comment>
    <comment ref="T34" authorId="0" shapeId="0" xr:uid="{00000000-0006-0000-0400-00004F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 authorId="0" shapeId="0" xr:uid="{00000000-0006-0000-0400-000050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35" authorId="0" shapeId="0" xr:uid="{00000000-0006-0000-0400-000051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5" authorId="0" shapeId="0" xr:uid="{00000000-0006-0000-0400-000052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35" authorId="0" shapeId="0" xr:uid="{00000000-0006-0000-0400-000053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35" authorId="0" shapeId="0" xr:uid="{00000000-0006-0000-0400-000054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35" authorId="0" shapeId="0" xr:uid="{00000000-0006-0000-0400-00005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35" authorId="0" shapeId="0" xr:uid="{00000000-0006-0000-0400-000056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35" authorId="0" shapeId="0" xr:uid="{00000000-0006-0000-0400-000057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35" authorId="0" shapeId="0" xr:uid="{00000000-0006-0000-0400-000058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S35" authorId="0" shapeId="0" xr:uid="{00000000-0006-0000-0400-000059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35" authorId="0" shapeId="0" xr:uid="{00000000-0006-0000-0400-00005A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U35" authorId="0" shapeId="0" xr:uid="{00000000-0006-0000-0400-00005B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V35" authorId="0" shapeId="0" xr:uid="{00000000-0006-0000-0400-00005C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W35" authorId="0" shapeId="0" xr:uid="{00000000-0006-0000-0400-00005D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X35" authorId="0" shapeId="0" xr:uid="{00000000-0006-0000-0400-00005E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Y35" authorId="0" shapeId="0" xr:uid="{00000000-0006-0000-0400-00005F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Z35" authorId="0" shapeId="0" xr:uid="{00000000-0006-0000-0400-000060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6" authorId="0" shapeId="0" xr:uid="{00000000-0006-0000-0400-00006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36" authorId="0" shapeId="0" xr:uid="{00000000-0006-0000-0400-000062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6" authorId="0" shapeId="0" xr:uid="{00000000-0006-0000-0400-000063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36" authorId="0" shapeId="0" xr:uid="{00000000-0006-0000-0400-000064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36" authorId="0" shapeId="0" xr:uid="{00000000-0006-0000-0400-000065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36" authorId="0" shapeId="0" xr:uid="{00000000-0006-0000-0400-00006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39" authorId="0" shapeId="0" xr:uid="{00000000-0006-0000-0400-000067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K39" authorId="0" shapeId="0" xr:uid="{00000000-0006-0000-0400-000068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69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t>
        </r>
        <r>
          <rPr>
            <sz val="11"/>
            <color rgb="FF000000"/>
            <rFont val="Calibri"/>
          </rPr>
          <t>'</t>
        </r>
      </text>
    </comment>
    <comment ref="M39" authorId="0" shapeId="0" xr:uid="{00000000-0006-0000-0400-00006A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N39" authorId="0" shapeId="0" xr:uid="{00000000-0006-0000-0400-00006B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9" authorId="0" shapeId="0" xr:uid="{00000000-0006-0000-0400-00006C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 authorId="0" shapeId="0" xr:uid="{00000000-0006-0000-0400-00006D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Q39" authorId="0" shapeId="0" xr:uid="{00000000-0006-0000-0400-00006E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6F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9" authorId="0" shapeId="0" xr:uid="{00000000-0006-0000-0400-000070000000}">
      <text>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9" authorId="0" shapeId="0" xr:uid="{00000000-0006-0000-0400-000071000000}">
      <text>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9" authorId="0" shapeId="0" xr:uid="{00000000-0006-0000-0400-000072000000}">
      <text>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9" authorId="0" shapeId="0" xr:uid="{00000000-0006-0000-0400-000073000000}">
      <text>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9" authorId="0" shapeId="0" xr:uid="{00000000-0006-0000-0400-000074000000}">
      <text>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9" authorId="0" shapeId="0" xr:uid="{00000000-0006-0000-0400-000075000000}">
      <text>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9" authorId="0" shapeId="0" xr:uid="{00000000-0006-0000-0400-000076000000}">
      <text>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400-000077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5" authorId="0" shapeId="0" xr:uid="{00000000-0006-0000-0400-000078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6" authorId="0" shapeId="0" xr:uid="{00000000-0006-0000-0400-000079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K46" authorId="0" shapeId="0" xr:uid="{00000000-0006-0000-0400-00007A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6" authorId="0" shapeId="0" xr:uid="{00000000-0006-0000-0400-00007B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6" authorId="0" shapeId="0" xr:uid="{00000000-0006-0000-0400-00007C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N46" authorId="0" shapeId="0" xr:uid="{00000000-0006-0000-0400-00007D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O46" authorId="0" shapeId="0" xr:uid="{00000000-0006-0000-0400-00007E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P46" authorId="0" shapeId="0" xr:uid="{00000000-0006-0000-0400-00007F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6" authorId="0" shapeId="0" xr:uid="{00000000-0006-0000-0400-000080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6" authorId="0" shapeId="0" xr:uid="{00000000-0006-0000-0400-000081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6" authorId="0" shapeId="0" xr:uid="{00000000-0006-0000-0400-000082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6" authorId="0" shapeId="0" xr:uid="{00000000-0006-0000-0400-000083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7" authorId="0" shapeId="0" xr:uid="{00000000-0006-0000-0400-000084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K47" authorId="0" shapeId="0" xr:uid="{00000000-0006-0000-0400-000085000000}">
      <text>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7" authorId="0" shapeId="0" xr:uid="{00000000-0006-0000-0400-000086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400-000087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8A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48" authorId="0" shapeId="0" xr:uid="{00000000-0006-0000-0400-00008B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M48" authorId="0" shapeId="0" xr:uid="{00000000-0006-0000-0400-00008C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48" authorId="0" shapeId="0" xr:uid="{00000000-0006-0000-0400-00008D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O48" authorId="0" shapeId="0" xr:uid="{00000000-0006-0000-0400-00008E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8F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90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8" authorId="0" shapeId="0" xr:uid="{00000000-0006-0000-0400-000091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8" authorId="0" shapeId="0" xr:uid="{00000000-0006-0000-0400-000092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48" authorId="0" shapeId="0" xr:uid="{00000000-0006-0000-0400-000093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U48" authorId="0" shapeId="0" xr:uid="{00000000-0006-0000-0400-000094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48" authorId="0" shapeId="0" xr:uid="{00000000-0006-0000-0400-000095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W48" authorId="0" shapeId="0" xr:uid="{00000000-0006-0000-0400-000096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48" authorId="0" shapeId="0" xr:uid="{00000000-0006-0000-0400-000097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48" authorId="0" shapeId="0" xr:uid="{00000000-0006-0000-0400-000098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48" authorId="0" shapeId="0" xr:uid="{00000000-0006-0000-0400-000099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A48" authorId="0" shapeId="0" xr:uid="{00000000-0006-0000-0400-00009A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48" authorId="0" shapeId="0" xr:uid="{00000000-0006-0000-0400-00009B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48" authorId="0" shapeId="0" xr:uid="{00000000-0006-0000-0400-00009C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48" authorId="0" shapeId="0" xr:uid="{00000000-0006-0000-0400-00009D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48" authorId="0" shapeId="0" xr:uid="{00000000-0006-0000-0400-00009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F48" authorId="0" shapeId="0" xr:uid="{00000000-0006-0000-0400-00009F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8" authorId="0" shapeId="0" xr:uid="{00000000-0006-0000-0400-0000A0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H48" authorId="0" shapeId="0" xr:uid="{00000000-0006-0000-0400-0000A1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48" authorId="0" shapeId="0" xr:uid="{00000000-0006-0000-0400-0000A2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48" authorId="0" shapeId="0" xr:uid="{00000000-0006-0000-0400-0000A3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48" authorId="0" shapeId="0" xr:uid="{00000000-0006-0000-0400-0000A4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48" authorId="0" shapeId="0" xr:uid="{00000000-0006-0000-0400-0000A5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48" authorId="0" shapeId="0" xr:uid="{00000000-0006-0000-0400-0000A6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48" authorId="0" shapeId="0" xr:uid="{00000000-0006-0000-0400-0000A7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48" authorId="0" shapeId="0" xr:uid="{00000000-0006-0000-0400-0000A8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48" authorId="0" shapeId="0" xr:uid="{00000000-0006-0000-0400-0000A9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Q48" authorId="0" shapeId="0" xr:uid="{00000000-0006-0000-0400-0000AA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48" authorId="0" shapeId="0" xr:uid="{00000000-0006-0000-0400-0000AB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48" authorId="0" shapeId="0" xr:uid="{00000000-0006-0000-0400-0000AC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48" authorId="0" shapeId="0" xr:uid="{00000000-0006-0000-0400-0000AD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48" authorId="0" shapeId="0" xr:uid="{00000000-0006-0000-0400-000088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48" authorId="0" shapeId="0" xr:uid="{00000000-0006-0000-0400-000089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4" authorId="0" shapeId="0" xr:uid="{00000000-0006-0000-0400-0000AE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9" authorId="0" shapeId="0" xr:uid="{00000000-0006-0000-0400-0000AF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0" authorId="0" shapeId="0" xr:uid="{00000000-0006-0000-0400-0000B0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70" authorId="0" shapeId="0" xr:uid="{00000000-0006-0000-0400-0000B1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70" authorId="0" shapeId="0" xr:uid="{00000000-0006-0000-0400-0000B2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0" authorId="0" shapeId="0" xr:uid="{00000000-0006-0000-0400-0000B3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70" authorId="0" shapeId="0" xr:uid="{00000000-0006-0000-0400-0000B4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70" authorId="0" shapeId="0" xr:uid="{00000000-0006-0000-0400-0000B5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P70" authorId="0" shapeId="0" xr:uid="{00000000-0006-0000-0400-0000B6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70" authorId="0" shapeId="0" xr:uid="{00000000-0006-0000-0400-0000B7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70" authorId="0" shapeId="0" xr:uid="{00000000-0006-0000-0400-0000B8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70" authorId="0" shapeId="0" xr:uid="{00000000-0006-0000-0400-0000B9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70" authorId="0" shapeId="0" xr:uid="{00000000-0006-0000-0400-0000BA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U70" authorId="0" shapeId="0" xr:uid="{00000000-0006-0000-0400-0000BB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70" authorId="0" shapeId="0" xr:uid="{00000000-0006-0000-0400-0000BC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70" authorId="0" shapeId="0" xr:uid="{00000000-0006-0000-0400-0000BD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0" authorId="0" shapeId="0" xr:uid="{00000000-0006-0000-0400-0000BE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70" authorId="0" shapeId="0" xr:uid="{00000000-0006-0000-0400-0000BF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Z70" authorId="0" shapeId="0" xr:uid="{00000000-0006-0000-0400-0000C0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70" authorId="0" shapeId="0" xr:uid="{00000000-0006-0000-0400-0000C1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B70" authorId="0" shapeId="0" xr:uid="{00000000-0006-0000-0400-0000C2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70" authorId="0" shapeId="0" xr:uid="{00000000-0006-0000-0400-0000C3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70" authorId="0" shapeId="0" xr:uid="{00000000-0006-0000-0400-0000C4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E70" authorId="0" shapeId="0" xr:uid="{00000000-0006-0000-0400-0000C5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70" authorId="0" shapeId="0" xr:uid="{00000000-0006-0000-0400-0000C6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70" authorId="0" shapeId="0" xr:uid="{00000000-0006-0000-0400-0000C7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H70" authorId="0" shapeId="0" xr:uid="{00000000-0006-0000-0400-0000C8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70" authorId="0" shapeId="0" xr:uid="{00000000-0006-0000-0400-0000C9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70" authorId="0" shapeId="0" xr:uid="{00000000-0006-0000-0400-0000CA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70" authorId="0" shapeId="0" xr:uid="{00000000-0006-0000-0400-0000CB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L70" authorId="0" shapeId="0" xr:uid="{00000000-0006-0000-0400-0000CC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M70" authorId="0" shapeId="0" xr:uid="{00000000-0006-0000-0400-0000CD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70" authorId="0" shapeId="0" xr:uid="{00000000-0006-0000-0400-0000CE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70" authorId="0" shapeId="0" xr:uid="{00000000-0006-0000-0400-0000CF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70" authorId="0" shapeId="0" xr:uid="{00000000-0006-0000-0400-0000D0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D1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K71" authorId="0" shapeId="0" xr:uid="{00000000-0006-0000-0400-0000D2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L71" authorId="0" shapeId="0" xr:uid="{00000000-0006-0000-0400-0000D3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M71" authorId="0" shapeId="0" xr:uid="{00000000-0006-0000-0400-0000D4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N71" authorId="0" shapeId="0" xr:uid="{00000000-0006-0000-0400-0000D5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O71" authorId="0" shapeId="0" xr:uid="{00000000-0006-0000-0400-0000D6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J73" authorId="0" shapeId="0" xr:uid="{00000000-0006-0000-0400-0000D7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73" authorId="0" shapeId="0" xr:uid="{00000000-0006-0000-0400-0000D8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L73" authorId="0" shapeId="0" xr:uid="{00000000-0006-0000-0400-0000D9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3" authorId="0" shapeId="0" xr:uid="{00000000-0006-0000-0400-0000DA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76" authorId="0" shapeId="0" xr:uid="{00000000-0006-0000-0400-0000DB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76" authorId="0" shapeId="0" xr:uid="{00000000-0006-0000-0400-0000DC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 Log script block invocation start / stop events = Disabled</t>
        </r>
        <r>
          <rPr>
            <sz val="11"/>
            <color rgb="FF000000"/>
            <rFont val="Calibri"/>
          </rPr>
          <t>'</t>
        </r>
      </text>
    </comment>
    <comment ref="J84" authorId="0" shapeId="0" xr:uid="{00000000-0006-0000-0400-0000DD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4" authorId="0" shapeId="0" xr:uid="{00000000-0006-0000-0400-0000DF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400-0000E0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400-0000E1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4" authorId="0" shapeId="0" xr:uid="{00000000-0006-0000-0400-0000E2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O84" authorId="0" shapeId="0" xr:uid="{00000000-0006-0000-0400-0000E3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P84" authorId="0" shapeId="0" xr:uid="{00000000-0006-0000-0400-0000E4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Q84" authorId="0" shapeId="0" xr:uid="{00000000-0006-0000-0400-0000E5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84" authorId="0" shapeId="0" xr:uid="{00000000-0006-0000-0400-0000E6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4" authorId="0" shapeId="0" xr:uid="{00000000-0006-0000-0400-0000E7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84" authorId="0" shapeId="0" xr:uid="{00000000-0006-0000-0400-0000E8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text>
    </comment>
    <comment ref="U84" authorId="0" shapeId="0" xr:uid="{00000000-0006-0000-0400-0000E9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4" authorId="0" shapeId="0" xr:uid="{00000000-0006-0000-0400-0000EA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4" authorId="0" shapeId="0" xr:uid="{00000000-0006-0000-0400-0000EB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4" authorId="0" shapeId="0" xr:uid="{00000000-0006-0000-0400-0000EC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4" authorId="0" shapeId="0" xr:uid="{00000000-0006-0000-0400-0000ED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4" authorId="0" shapeId="0" xr:uid="{00000000-0006-0000-0400-0000EE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84" authorId="0" shapeId="0" xr:uid="{00000000-0006-0000-0400-0000EF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84" authorId="0" shapeId="0" xr:uid="{00000000-0006-0000-0400-0000F0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84" authorId="0" shapeId="0" xr:uid="{00000000-0006-0000-0400-0000F1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84" authorId="0" shapeId="0" xr:uid="{00000000-0006-0000-0400-0000F2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84" authorId="0" shapeId="0" xr:uid="{00000000-0006-0000-0400-0000F3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4" authorId="0" shapeId="0" xr:uid="{00000000-0006-0000-0400-0000F4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84" authorId="0" shapeId="0" xr:uid="{00000000-0006-0000-0400-0000F5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84" authorId="0" shapeId="0" xr:uid="{00000000-0006-0000-0400-0000F6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84" authorId="0" shapeId="0" xr:uid="{00000000-0006-0000-0400-0000F7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84" authorId="0" shapeId="0" xr:uid="{00000000-0006-0000-0400-0000F8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84" authorId="0" shapeId="0" xr:uid="{00000000-0006-0000-0400-0000F9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84" authorId="0" shapeId="0" xr:uid="{00000000-0006-0000-0400-0000FA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84" authorId="0" shapeId="0" xr:uid="{00000000-0006-0000-0400-0000FB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84" authorId="0" shapeId="0" xr:uid="{00000000-0006-0000-0400-0000FC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84" authorId="0" shapeId="0" xr:uid="{00000000-0006-0000-0400-0000FD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84" authorId="0" shapeId="0" xr:uid="{00000000-0006-0000-0400-0000FE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84" authorId="0" shapeId="0" xr:uid="{00000000-0006-0000-0400-0000FF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84" authorId="0" shapeId="0" xr:uid="{00000000-0006-0000-0400-00000001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84" authorId="0" shapeId="0" xr:uid="{00000000-0006-0000-0400-00000101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84" authorId="0" shapeId="0" xr:uid="{00000000-0006-0000-0400-00000201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84" authorId="0" shapeId="0" xr:uid="{00000000-0006-0000-0400-00000301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84" authorId="0" shapeId="0" xr:uid="{00000000-0006-0000-0400-00000401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84" authorId="0" shapeId="0" xr:uid="{00000000-0006-0000-0400-0000DE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0" authorId="0" shapeId="0" xr:uid="{00000000-0006-0000-0400-000005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0" authorId="0" shapeId="0" xr:uid="{00000000-0006-0000-0400-000006010000}">
      <text>
        <r>
          <rPr>
            <sz val="11"/>
            <rFont val="Calibri"/>
          </rPr>
          <t xml:space="preserve">Ensure </t>
        </r>
        <r>
          <rPr>
            <sz val="11"/>
            <color rgb="FF000000"/>
            <rFont val="Calibri"/>
          </rPr>
          <t>'</t>
        </r>
        <r>
          <rPr>
            <b/>
            <sz val="11"/>
            <color rgb="FF000000"/>
            <rFont val="Calibri"/>
          </rPr>
          <t>Configure local administrator merge behavior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0" authorId="0" shapeId="0" xr:uid="{00000000-0006-0000-0400-000007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400-00000801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400-00000901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0" authorId="0" shapeId="0" xr:uid="{00000000-0006-0000-0400-00000A01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0B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Q90" authorId="0" shapeId="0" xr:uid="{00000000-0006-0000-0400-00000C01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R90" authorId="0" shapeId="0" xr:uid="{00000000-0006-0000-0400-00000D01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text>
    </comment>
    <comment ref="S90" authorId="0" shapeId="0" xr:uid="{00000000-0006-0000-0400-00000E01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T90" authorId="0" shapeId="0" xr:uid="{00000000-0006-0000-0400-00000F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0" authorId="0" shapeId="0" xr:uid="{00000000-0006-0000-0400-00001001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V90" authorId="0" shapeId="0" xr:uid="{00000000-0006-0000-0400-000011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0" authorId="0" shapeId="0" xr:uid="{00000000-0006-0000-0400-00001201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0" authorId="0" shapeId="0" xr:uid="{00000000-0006-0000-0400-000013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0" authorId="0" shapeId="0" xr:uid="{00000000-0006-0000-0400-000014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90" authorId="0" shapeId="0" xr:uid="{00000000-0006-0000-0400-000015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0" authorId="0" shapeId="0" xr:uid="{00000000-0006-0000-0400-00001601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0" authorId="0" shapeId="0" xr:uid="{00000000-0006-0000-0400-000017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0" authorId="0" shapeId="0" xr:uid="{00000000-0006-0000-0400-000018010000}">
      <text>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0" authorId="0" shapeId="0" xr:uid="{00000000-0006-0000-0400-000019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E90" authorId="0" shapeId="0" xr:uid="{00000000-0006-0000-0400-00001A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0" authorId="0" shapeId="0" xr:uid="{00000000-0006-0000-0400-00001B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1" authorId="0" shapeId="0" xr:uid="{00000000-0006-0000-0400-00001C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94" authorId="0" shapeId="0" xr:uid="{00000000-0006-0000-0400-00001D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1E01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400-00001F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M94" authorId="0" shapeId="0" xr:uid="{00000000-0006-0000-0400-000020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4" authorId="0" shapeId="0" xr:uid="{00000000-0006-0000-0400-000021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t>
        </r>
      </text>
    </comment>
    <comment ref="O94" authorId="0" shapeId="0" xr:uid="{00000000-0006-0000-0400-00002201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4" authorId="0" shapeId="0" xr:uid="{00000000-0006-0000-0400-00002301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J96" authorId="0" shapeId="0" xr:uid="{00000000-0006-0000-0400-000024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6" authorId="0" shapeId="0" xr:uid="{00000000-0006-0000-0400-000025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t>
        </r>
        <r>
          <rPr>
            <sz val="11"/>
            <color rgb="FF000000"/>
            <rFont val="Calibri"/>
          </rPr>
          <t>'</t>
        </r>
      </text>
    </comment>
    <comment ref="J106" authorId="0" shapeId="0" xr:uid="{00000000-0006-0000-0400-000026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9" authorId="0" shapeId="0" xr:uid="{00000000-0006-0000-0400-000027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9" authorId="0" shapeId="0" xr:uid="{00000000-0006-0000-0400-00002801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21" authorId="0" shapeId="0" xr:uid="{00000000-0006-0000-0400-000029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 authorId="0" shapeId="0" xr:uid="{00000000-0006-0000-0500-000002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text>
    </comment>
    <comment ref="H4" authorId="0" shapeId="0" xr:uid="{00000000-0006-0000-0500-000003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t>
        </r>
      </text>
    </comment>
    <comment ref="I4" authorId="0" shapeId="0" xr:uid="{00000000-0006-0000-0500-000014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J4" authorId="0" shapeId="0" xr:uid="{00000000-0006-0000-0500-000004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K4" authorId="0" shapeId="0" xr:uid="{00000000-0006-0000-0500-000005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 authorId="0" shapeId="0" xr:uid="{00000000-0006-0000-0500-000006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500-000007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500-000008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O4" authorId="0" shapeId="0" xr:uid="{00000000-0006-0000-0500-000009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P4" authorId="0" shapeId="0" xr:uid="{00000000-0006-0000-0500-00000A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Q4" authorId="0" shapeId="0" xr:uid="{00000000-0006-0000-0500-00000B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500-00000C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500-00000D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 authorId="0" shapeId="0" xr:uid="{00000000-0006-0000-0500-00000E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500-00000F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500-000010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500-000011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X4" authorId="0" shapeId="0" xr:uid="{00000000-0006-0000-0500-000012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 authorId="0" shapeId="0" xr:uid="{00000000-0006-0000-0500-000013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 authorId="0" shapeId="0" xr:uid="{00000000-0006-0000-0500-000015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I8" authorId="0" shapeId="0" xr:uid="{00000000-0006-0000-0500-000016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 authorId="0" shapeId="0" xr:uid="{00000000-0006-0000-0500-000017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t>
        </r>
        <r>
          <rPr>
            <sz val="11"/>
            <color rgb="FF000000"/>
            <rFont val="Calibri"/>
          </rPr>
          <t>'</t>
        </r>
      </text>
    </comment>
    <comment ref="H11" authorId="0" shapeId="0" xr:uid="{00000000-0006-0000-0500-000018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 authorId="0" shapeId="0" xr:uid="{00000000-0006-0000-0500-000019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 authorId="0" shapeId="0" xr:uid="{00000000-0006-0000-0500-00001A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H14" authorId="0" shapeId="0" xr:uid="{00000000-0006-0000-0500-00001B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I14" authorId="0" shapeId="0" xr:uid="{00000000-0006-0000-0500-00001C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1D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 Also apply to matching devices that are already installed = True</t>
        </r>
        <r>
          <rPr>
            <sz val="11"/>
            <color rgb="FF000000"/>
            <rFont val="Calibri"/>
          </rPr>
          <t>'</t>
        </r>
      </text>
    </comment>
    <comment ref="H16" authorId="0" shapeId="0" xr:uid="{00000000-0006-0000-0500-00001E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I16" authorId="0" shapeId="0" xr:uid="{00000000-0006-0000-0500-00001F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text>
    </comment>
    <comment ref="J16" authorId="0" shapeId="0" xr:uid="{00000000-0006-0000-0500-000020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K16" authorId="0" shapeId="0" xr:uid="{00000000-0006-0000-0500-000021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L16" authorId="0" shapeId="0" xr:uid="{00000000-0006-0000-0500-000022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 authorId="0" shapeId="0" xr:uid="{00000000-0006-0000-0500-000023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 authorId="0" shapeId="0" xr:uid="{00000000-0006-0000-0500-000024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 authorId="0" shapeId="0" xr:uid="{00000000-0006-0000-0500-000025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P16" authorId="0" shapeId="0" xr:uid="{00000000-0006-0000-0500-000026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6" authorId="0" shapeId="0" xr:uid="{00000000-0006-0000-0500-00002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6" authorId="0" shapeId="0" xr:uid="{00000000-0006-0000-0500-000028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 authorId="0" shapeId="0" xr:uid="{00000000-0006-0000-0500-000029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6" authorId="0" shapeId="0" xr:uid="{00000000-0006-0000-0500-00002A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6" authorId="0" shapeId="0" xr:uid="{00000000-0006-0000-0500-00002B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8" authorId="0" shapeId="0" xr:uid="{00000000-0006-0000-0500-00002C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I18" authorId="0" shapeId="0" xr:uid="{00000000-0006-0000-0500-00002D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J18" authorId="0" shapeId="0" xr:uid="{00000000-0006-0000-0500-00002E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t>
        </r>
        <r>
          <rPr>
            <sz val="11"/>
            <color rgb="FF000000"/>
            <rFont val="Calibri"/>
          </rPr>
          <t>'</t>
        </r>
      </text>
    </comment>
    <comment ref="H19" authorId="0" shapeId="0" xr:uid="{00000000-0006-0000-0500-00002F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 authorId="0" shapeId="0" xr:uid="{00000000-0006-0000-0500-000030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 authorId="0" shapeId="0" xr:uid="{00000000-0006-0000-0500-000033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500-000034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35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36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0" authorId="0" shapeId="0" xr:uid="{00000000-0006-0000-0500-000037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38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O20" authorId="0" shapeId="0" xr:uid="{00000000-0006-0000-0500-000039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P20" authorId="0" shapeId="0" xr:uid="{00000000-0006-0000-0500-00003A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20" authorId="0" shapeId="0" xr:uid="{00000000-0006-0000-0500-00003B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20" authorId="0" shapeId="0" xr:uid="{00000000-0006-0000-0500-00003C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20" authorId="0" shapeId="0" xr:uid="{00000000-0006-0000-0500-00003D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T20" authorId="0" shapeId="0" xr:uid="{00000000-0006-0000-0500-00003E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20" authorId="0" shapeId="0" xr:uid="{00000000-0006-0000-0500-00003F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V20" authorId="0" shapeId="0" xr:uid="{00000000-0006-0000-0500-000040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W20" authorId="0" shapeId="0" xr:uid="{00000000-0006-0000-0500-000041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0" authorId="0" shapeId="0" xr:uid="{00000000-0006-0000-0500-000042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Y20" authorId="0" shapeId="0" xr:uid="{00000000-0006-0000-0500-000043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Z20" authorId="0" shapeId="0" xr:uid="{00000000-0006-0000-0500-000031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0" authorId="0" shapeId="0" xr:uid="{00000000-0006-0000-0500-000032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 RequireIntegrity=1; RequireMutualAuthentication=1; \\*\NETLOGON = RequireIntegrity=1; RequireMutualAuthentication=1</t>
        </r>
        <r>
          <rPr>
            <sz val="11"/>
            <color rgb="FF000000"/>
            <rFont val="Calibri"/>
          </rPr>
          <t>'</t>
        </r>
      </text>
    </comment>
    <comment ref="H21" authorId="0" shapeId="0" xr:uid="{00000000-0006-0000-0500-000044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 authorId="0" shapeId="0" xr:uid="{00000000-0006-0000-0500-000045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1" authorId="0" shapeId="0" xr:uid="{00000000-0006-0000-0500-000046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1" authorId="0" shapeId="0" xr:uid="{00000000-0006-0000-0500-000047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1" authorId="0" shapeId="0" xr:uid="{00000000-0006-0000-0500-000048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H24" authorId="0" shapeId="0" xr:uid="{00000000-0006-0000-0500-000049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7" authorId="0" shapeId="0" xr:uid="{00000000-0006-0000-0500-00004A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 authorId="0" shapeId="0" xr:uid="{00000000-0006-0000-0500-00004B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500-00004C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4D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500-00004E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M27" authorId="0" shapeId="0" xr:uid="{00000000-0006-0000-0500-00004F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500-000050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7" authorId="0" shapeId="0" xr:uid="{00000000-0006-0000-0500-000051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7" authorId="0" shapeId="0" xr:uid="{00000000-0006-0000-0500-000052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7" authorId="0" shapeId="0" xr:uid="{00000000-0006-0000-0500-000053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7" authorId="0" shapeId="0" xr:uid="{00000000-0006-0000-0500-000054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 authorId="0" shapeId="0" xr:uid="{00000000-0006-0000-0500-000055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9" authorId="0" shapeId="0" xr:uid="{00000000-0006-0000-0500-000056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J29" authorId="0" shapeId="0" xr:uid="{00000000-0006-0000-0500-000057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K29" authorId="0" shapeId="0" xr:uid="{00000000-0006-0000-0500-000058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L29" authorId="0" shapeId="0" xr:uid="{00000000-0006-0000-0500-000059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9" authorId="0" shapeId="0" xr:uid="{00000000-0006-0000-0500-00005A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 authorId="0" shapeId="0" xr:uid="{00000000-0006-0000-0500-00005B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69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1" authorId="0" shapeId="0" xr:uid="{00000000-0006-0000-0500-00006A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K31" authorId="0" shapeId="0" xr:uid="{00000000-0006-0000-0500-00006B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L31" authorId="0" shapeId="0" xr:uid="{00000000-0006-0000-0500-00006C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M31" authorId="0" shapeId="0" xr:uid="{00000000-0006-0000-0500-00006D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1" authorId="0" shapeId="0" xr:uid="{00000000-0006-0000-0500-00006E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6F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1" authorId="0" shapeId="0" xr:uid="{00000000-0006-0000-0500-000070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1" authorId="0" shapeId="0" xr:uid="{00000000-0006-0000-0500-000071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1" authorId="0" shapeId="0" xr:uid="{00000000-0006-0000-0500-000072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1" authorId="0" shapeId="0" xr:uid="{00000000-0006-0000-0500-000073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31" authorId="0" shapeId="0" xr:uid="{00000000-0006-0000-0500-000074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31" authorId="0" shapeId="0" xr:uid="{00000000-0006-0000-0500-000075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1" authorId="0" shapeId="0" xr:uid="{00000000-0006-0000-0500-000076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W31" authorId="0" shapeId="0" xr:uid="{00000000-0006-0000-0500-000077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X31" authorId="0" shapeId="0" xr:uid="{00000000-0006-0000-0500-000078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Y31" authorId="0" shapeId="0" xr:uid="{00000000-0006-0000-0500-000079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1" authorId="0" shapeId="0" xr:uid="{00000000-0006-0000-0500-00007A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A31" authorId="0" shapeId="0" xr:uid="{00000000-0006-0000-0500-00007B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1" authorId="0" shapeId="0" xr:uid="{00000000-0006-0000-0500-00005C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1" authorId="0" shapeId="0" xr:uid="{00000000-0006-0000-0500-00005D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1" authorId="0" shapeId="0" xr:uid="{00000000-0006-0000-0500-00005E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1" authorId="0" shapeId="0" xr:uid="{00000000-0006-0000-0500-00005F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1" authorId="0" shapeId="0" xr:uid="{00000000-0006-0000-0500-000060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1" authorId="0" shapeId="0" xr:uid="{00000000-0006-0000-0500-000061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1" authorId="0" shapeId="0" xr:uid="{00000000-0006-0000-0500-000062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1" authorId="0" shapeId="0" xr:uid="{00000000-0006-0000-0500-000063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J31" authorId="0" shapeId="0" xr:uid="{00000000-0006-0000-0500-000064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AK31" authorId="0" shapeId="0" xr:uid="{00000000-0006-0000-0500-000065000000}">
      <text>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1" authorId="0" shapeId="0" xr:uid="{00000000-0006-0000-0500-000066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1" authorId="0" shapeId="0" xr:uid="{00000000-0006-0000-0500-000067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1" authorId="0" shapeId="0" xr:uid="{00000000-0006-0000-0500-000068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2" authorId="0" shapeId="0" xr:uid="{00000000-0006-0000-0500-00007C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2" authorId="0" shapeId="0" xr:uid="{00000000-0006-0000-0500-00007D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 authorId="0" shapeId="0" xr:uid="{00000000-0006-0000-0500-00007E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H37" authorId="0" shapeId="0" xr:uid="{00000000-0006-0000-0500-00007F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7" authorId="0" shapeId="0" xr:uid="{00000000-0006-0000-0500-000087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500-000088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K37" authorId="0" shapeId="0" xr:uid="{00000000-0006-0000-0500-000089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L37" authorId="0" shapeId="0" xr:uid="{00000000-0006-0000-0500-00008A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M37" authorId="0" shapeId="0" xr:uid="{00000000-0006-0000-0500-00008B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500-00008C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7" authorId="0" shapeId="0" xr:uid="{00000000-0006-0000-0500-00008D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7" authorId="0" shapeId="0" xr:uid="{00000000-0006-0000-0500-00008E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text>
    </comment>
    <comment ref="Q37" authorId="0" shapeId="0" xr:uid="{00000000-0006-0000-0500-00008F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7" authorId="0" shapeId="0" xr:uid="{00000000-0006-0000-0500-000090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7" authorId="0" shapeId="0" xr:uid="{00000000-0006-0000-0500-000091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7" authorId="0" shapeId="0" xr:uid="{00000000-0006-0000-0500-000092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7" authorId="0" shapeId="0" xr:uid="{00000000-0006-0000-0500-000093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7" authorId="0" shapeId="0" xr:uid="{00000000-0006-0000-0500-000094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7" authorId="0" shapeId="0" xr:uid="{00000000-0006-0000-0500-000095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7" authorId="0" shapeId="0" xr:uid="{00000000-0006-0000-0500-000096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7" authorId="0" shapeId="0" xr:uid="{00000000-0006-0000-0500-000097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7" authorId="0" shapeId="0" xr:uid="{00000000-0006-0000-0500-000098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7" authorId="0" shapeId="0" xr:uid="{00000000-0006-0000-0500-000099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7" authorId="0" shapeId="0" xr:uid="{00000000-0006-0000-0500-00009A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7" authorId="0" shapeId="0" xr:uid="{00000000-0006-0000-0500-00009B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7" authorId="0" shapeId="0" xr:uid="{00000000-0006-0000-0500-00009C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7" authorId="0" shapeId="0" xr:uid="{00000000-0006-0000-0500-00009D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7" authorId="0" shapeId="0" xr:uid="{00000000-0006-0000-0500-00009E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7" authorId="0" shapeId="0" xr:uid="{00000000-0006-0000-0500-00009F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7" authorId="0" shapeId="0" xr:uid="{00000000-0006-0000-0500-0000A0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7" authorId="0" shapeId="0" xr:uid="{00000000-0006-0000-0500-0000A1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7" authorId="0" shapeId="0" xr:uid="{00000000-0006-0000-0500-0000A2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7" authorId="0" shapeId="0" xr:uid="{00000000-0006-0000-0500-0000A3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37" authorId="0" shapeId="0" xr:uid="{00000000-0006-0000-0500-0000A4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7" authorId="0" shapeId="0" xr:uid="{00000000-0006-0000-0500-0000A5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7" authorId="0" shapeId="0" xr:uid="{00000000-0006-0000-0500-0000A6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7" authorId="0" shapeId="0" xr:uid="{00000000-0006-0000-0500-000080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7" authorId="0" shapeId="0" xr:uid="{00000000-0006-0000-0500-000081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7" authorId="0" shapeId="0" xr:uid="{00000000-0006-0000-0500-000082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37" authorId="0" shapeId="0" xr:uid="{00000000-0006-0000-0500-000083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37" authorId="0" shapeId="0" xr:uid="{00000000-0006-0000-0500-000084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7" authorId="0" shapeId="0" xr:uid="{00000000-0006-0000-0500-000085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7" authorId="0" shapeId="0" xr:uid="{00000000-0006-0000-0500-000086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44" authorId="0" shapeId="0" xr:uid="{00000000-0006-0000-0500-0000A7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44" authorId="0" shapeId="0" xr:uid="{00000000-0006-0000-0500-0000A8000000}">
      <text>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4" authorId="0" shapeId="0" xr:uid="{00000000-0006-0000-0500-0000A9000000}">
      <text>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4" authorId="0" shapeId="0" xr:uid="{00000000-0006-0000-0500-0000AA000000}">
      <text>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4" authorId="0" shapeId="0" xr:uid="{00000000-0006-0000-0500-0000AB000000}">
      <text>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K3" authorId="0" shapeId="0" xr:uid="{00000000-0006-0000-0600-000002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J4" authorId="0" shapeId="0" xr:uid="{00000000-0006-0000-0600-000003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 authorId="0" shapeId="0" xr:uid="{00000000-0006-0000-0600-000015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600-000004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600-000005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600-000006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4" authorId="0" shapeId="0" xr:uid="{00000000-0006-0000-0600-000007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 authorId="0" shapeId="0" xr:uid="{00000000-0006-0000-0600-000008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 authorId="0" shapeId="0" xr:uid="{00000000-0006-0000-0600-000009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4" authorId="0" shapeId="0" xr:uid="{00000000-0006-0000-0600-00000A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4" authorId="0" shapeId="0" xr:uid="{00000000-0006-0000-0600-00000B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T4" authorId="0" shapeId="0" xr:uid="{00000000-0006-0000-0600-00000C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U4" authorId="0" shapeId="0" xr:uid="{00000000-0006-0000-0600-00000D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600-00000E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600-00000F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 authorId="0" shapeId="0" xr:uid="{00000000-0006-0000-0600-000010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4" authorId="0" shapeId="0" xr:uid="{00000000-0006-0000-0600-000011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Z4" authorId="0" shapeId="0" xr:uid="{00000000-0006-0000-0600-000012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4" authorId="0" shapeId="0" xr:uid="{00000000-0006-0000-0600-000013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4" authorId="0" shapeId="0" xr:uid="{00000000-0006-0000-0600-000014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600-000016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24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7" authorId="0" shapeId="0" xr:uid="{00000000-0006-0000-0600-000025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M7" authorId="0" shapeId="0" xr:uid="{00000000-0006-0000-0600-000026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7" authorId="0" shapeId="0" xr:uid="{00000000-0006-0000-0600-000027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O7" authorId="0" shapeId="0" xr:uid="{00000000-0006-0000-0600-000028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7" authorId="0" shapeId="0" xr:uid="{00000000-0006-0000-0600-000029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7" authorId="0" shapeId="0" xr:uid="{00000000-0006-0000-0600-00002A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7" authorId="0" shapeId="0" xr:uid="{00000000-0006-0000-0600-00002B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7" authorId="0" shapeId="0" xr:uid="{00000000-0006-0000-0600-00002C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7" authorId="0" shapeId="0" xr:uid="{00000000-0006-0000-0600-00002D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7" authorId="0" shapeId="0" xr:uid="{00000000-0006-0000-0600-00002E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7" authorId="0" shapeId="0" xr:uid="{00000000-0006-0000-0600-00002F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W7" authorId="0" shapeId="0" xr:uid="{00000000-0006-0000-0600-000030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7" authorId="0" shapeId="0" xr:uid="{00000000-0006-0000-0600-000031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7" authorId="0" shapeId="0" xr:uid="{00000000-0006-0000-0600-000032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7" authorId="0" shapeId="0" xr:uid="{00000000-0006-0000-0600-000033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A7" authorId="0" shapeId="0" xr:uid="{00000000-0006-0000-0600-000034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7" authorId="0" shapeId="0" xr:uid="{00000000-0006-0000-0600-000035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C7" authorId="0" shapeId="0" xr:uid="{00000000-0006-0000-0600-000017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7" authorId="0" shapeId="0" xr:uid="{00000000-0006-0000-0600-000018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7" authorId="0" shapeId="0" xr:uid="{00000000-0006-0000-0600-000019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7" authorId="0" shapeId="0" xr:uid="{00000000-0006-0000-0600-00001A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 authorId="0" shapeId="0" xr:uid="{00000000-0006-0000-0600-00001B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7" authorId="0" shapeId="0" xr:uid="{00000000-0006-0000-0600-00001C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1D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7" authorId="0" shapeId="0" xr:uid="{00000000-0006-0000-0600-00001E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7" authorId="0" shapeId="0" xr:uid="{00000000-0006-0000-0600-00001F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L7" authorId="0" shapeId="0" xr:uid="{00000000-0006-0000-0600-000020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7" authorId="0" shapeId="0" xr:uid="{00000000-0006-0000-0600-000021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7" authorId="0" shapeId="0" xr:uid="{00000000-0006-0000-0600-000022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7" authorId="0" shapeId="0" xr:uid="{00000000-0006-0000-0600-00002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2" authorId="0" shapeId="0" xr:uid="{00000000-0006-0000-0600-000036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12" authorId="0" shapeId="0" xr:uid="{00000000-0006-0000-0600-000037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12" authorId="0" shapeId="0" xr:uid="{00000000-0006-0000-0600-000038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39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 authorId="0" shapeId="0" xr:uid="{00000000-0006-0000-0600-00003A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2" authorId="0" shapeId="0" xr:uid="{00000000-0006-0000-0600-00003B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2" authorId="0" shapeId="0" xr:uid="{00000000-0006-0000-0600-00003C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2" authorId="0" shapeId="0" xr:uid="{00000000-0006-0000-0600-00003D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600-00003E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S12" authorId="0" shapeId="0" xr:uid="{00000000-0006-0000-0600-00003F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text>
    </comment>
    <comment ref="T12" authorId="0" shapeId="0" xr:uid="{00000000-0006-0000-0600-000040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2" authorId="0" shapeId="0" xr:uid="{00000000-0006-0000-0600-000041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2" authorId="0" shapeId="0" xr:uid="{00000000-0006-0000-0600-000042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600-000043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4C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3" authorId="0" shapeId="0" xr:uid="{00000000-0006-0000-0600-00004D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23" authorId="0" shapeId="0" xr:uid="{00000000-0006-0000-0600-00004E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3" authorId="0" shapeId="0" xr:uid="{00000000-0006-0000-0600-00004F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23" authorId="0" shapeId="0" xr:uid="{00000000-0006-0000-0600-000050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3" authorId="0" shapeId="0" xr:uid="{00000000-0006-0000-0600-000051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Q23" authorId="0" shapeId="0" xr:uid="{00000000-0006-0000-0600-000052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23" authorId="0" shapeId="0" xr:uid="{00000000-0006-0000-0600-000053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23" authorId="0" shapeId="0" xr:uid="{00000000-0006-0000-0600-000054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3" authorId="0" shapeId="0" xr:uid="{00000000-0006-0000-0600-000055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U23" authorId="0" shapeId="0" xr:uid="{00000000-0006-0000-0600-000056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V23" authorId="0" shapeId="0" xr:uid="{00000000-0006-0000-0600-000057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23" authorId="0" shapeId="0" xr:uid="{00000000-0006-0000-0600-000058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23" authorId="0" shapeId="0" xr:uid="{00000000-0006-0000-0600-000059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 authorId="0" shapeId="0" xr:uid="{00000000-0006-0000-0600-00005A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Z23" authorId="0" shapeId="0" xr:uid="{00000000-0006-0000-0600-00005B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23" authorId="0" shapeId="0" xr:uid="{00000000-0006-0000-0600-00005C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23" authorId="0" shapeId="0" xr:uid="{00000000-0006-0000-0600-00005D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C23" authorId="0" shapeId="0" xr:uid="{00000000-0006-0000-0600-00005E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23" authorId="0" shapeId="0" xr:uid="{00000000-0006-0000-0600-00005F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60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23" authorId="0" shapeId="0" xr:uid="{00000000-0006-0000-0600-000061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23" authorId="0" shapeId="0" xr:uid="{00000000-0006-0000-0600-000062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23" authorId="0" shapeId="0" xr:uid="{00000000-0006-0000-0600-000063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I23" authorId="0" shapeId="0" xr:uid="{00000000-0006-0000-0600-000064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23" authorId="0" shapeId="0" xr:uid="{00000000-0006-0000-0600-000065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23" authorId="0" shapeId="0" xr:uid="{00000000-0006-0000-0600-000066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L23" authorId="0" shapeId="0" xr:uid="{00000000-0006-0000-0600-000067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M23" authorId="0" shapeId="0" xr:uid="{00000000-0006-0000-0600-000068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N23" authorId="0" shapeId="0" xr:uid="{00000000-0006-0000-0600-000069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O23" authorId="0" shapeId="0" xr:uid="{00000000-0006-0000-0600-00006A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P23" authorId="0" shapeId="0" xr:uid="{00000000-0006-0000-0600-000044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Q23" authorId="0" shapeId="0" xr:uid="{00000000-0006-0000-0600-000045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23" authorId="0" shapeId="0" xr:uid="{00000000-0006-0000-0600-000046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23" authorId="0" shapeId="0" xr:uid="{00000000-0006-0000-0600-000047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23" authorId="0" shapeId="0" xr:uid="{00000000-0006-0000-0600-000048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23" authorId="0" shapeId="0" xr:uid="{00000000-0006-0000-0600-00004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AV23" authorId="0" shapeId="0" xr:uid="{00000000-0006-0000-0600-00004A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AW23" authorId="0" shapeId="0" xr:uid="{00000000-0006-0000-0600-00004B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J24" authorId="0" shapeId="0" xr:uid="{00000000-0006-0000-0600-00006B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24" authorId="0" shapeId="0" xr:uid="{00000000-0006-0000-0600-00006C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37" authorId="0" shapeId="0" xr:uid="{00000000-0006-0000-0600-00006D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K37" authorId="0" shapeId="0" xr:uid="{00000000-0006-0000-0600-00006E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600-00006F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 Also apply to matching devices that are already installed = True</t>
        </r>
        <r>
          <rPr>
            <sz val="11"/>
            <color rgb="FF000000"/>
            <rFont val="Calibri"/>
          </rPr>
          <t>'</t>
        </r>
      </text>
    </comment>
    <comment ref="M37" authorId="0" shapeId="0" xr:uid="{00000000-0006-0000-0600-000070000000}">
      <text>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71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7" authorId="0" shapeId="0" xr:uid="{00000000-0006-0000-0600-000072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600-000073000000}">
      <text>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7" authorId="0" shapeId="0" xr:uid="{00000000-0006-0000-0600-000074000000}">
      <text>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600-000075000000}">
      <text>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7" authorId="0" shapeId="0" xr:uid="{00000000-0006-0000-0600-000076000000}">
      <text>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7" authorId="0" shapeId="0" xr:uid="{00000000-0006-0000-0600-000077000000}">
      <text>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78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79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3" authorId="0" shapeId="0" xr:uid="{00000000-0006-0000-0600-00007A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M43" authorId="0" shapeId="0" xr:uid="{00000000-0006-0000-0600-00007B000000}">
      <text>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3" authorId="0" shapeId="0" xr:uid="{00000000-0006-0000-0600-00007C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3" authorId="0" shapeId="0" xr:uid="{00000000-0006-0000-0600-00007D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600-00007E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J48" authorId="0" shapeId="0" xr:uid="{00000000-0006-0000-0600-00007F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K48" authorId="0" shapeId="0" xr:uid="{00000000-0006-0000-0600-000080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8" authorId="0" shapeId="0" xr:uid="{00000000-0006-0000-0600-000081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8" authorId="0" shapeId="0" xr:uid="{00000000-0006-0000-0600-00008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N48" authorId="0" shapeId="0" xr:uid="{00000000-0006-0000-0600-00008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O48" authorId="0" shapeId="0" xr:uid="{00000000-0006-0000-0600-00008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P48" authorId="0" shapeId="0" xr:uid="{00000000-0006-0000-0600-00008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600-000086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8" authorId="0" shapeId="0" xr:uid="{00000000-0006-0000-0600-000087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8" authorId="0" shapeId="0" xr:uid="{00000000-0006-0000-0600-000088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8" authorId="0" shapeId="0" xr:uid="{00000000-0006-0000-0600-000089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8" authorId="0" shapeId="0" xr:uid="{00000000-0006-0000-0600-00008A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88" authorId="0" shapeId="0" xr:uid="{00000000-0006-0000-0600-00008B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88" authorId="0" shapeId="0" xr:uid="{00000000-0006-0000-0600-00008C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88" authorId="0" shapeId="0" xr:uid="{00000000-0006-0000-0600-00008D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88" authorId="0" shapeId="0" xr:uid="{00000000-0006-0000-0600-00008E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88" authorId="0" shapeId="0" xr:uid="{00000000-0006-0000-0600-00008F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88" authorId="0" shapeId="0" xr:uid="{00000000-0006-0000-0600-000090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88" authorId="0" shapeId="0" xr:uid="{00000000-0006-0000-0600-000091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88" authorId="0" shapeId="0" xr:uid="{00000000-0006-0000-0600-000092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S88" authorId="0" shapeId="0" xr:uid="{00000000-0006-0000-0600-000093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88" authorId="0" shapeId="0" xr:uid="{00000000-0006-0000-0600-000094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88" authorId="0" shapeId="0" xr:uid="{00000000-0006-0000-0600-000095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88" authorId="0" shapeId="0" xr:uid="{00000000-0006-0000-0600-000096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8" authorId="0" shapeId="0" xr:uid="{00000000-0006-0000-0600-000097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8" authorId="0" shapeId="0" xr:uid="{00000000-0006-0000-0600-000098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8" authorId="0" shapeId="0" xr:uid="{00000000-0006-0000-0600-000099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88" authorId="0" shapeId="0" xr:uid="{00000000-0006-0000-0600-00009A000000}">
      <text>
        <r>
          <rPr>
            <sz val="11"/>
            <rFont val="Calibri"/>
          </rPr>
          <t xml:space="preserve">Ensure </t>
        </r>
        <r>
          <rPr>
            <sz val="11"/>
            <color rgb="FF000000"/>
            <rFont val="Calibri"/>
          </rPr>
          <t>'</t>
        </r>
        <r>
          <rPr>
            <b/>
            <sz val="11"/>
            <color rgb="FF000000"/>
            <rFont val="Calibri"/>
          </rPr>
          <t>Configure RPC connection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Default</t>
        </r>
        <r>
          <rPr>
            <sz val="11"/>
            <color rgb="FF000000"/>
            <rFont val="Calibri"/>
          </rPr>
          <t>'</t>
        </r>
      </text>
    </comment>
    <comment ref="AA88" authorId="0" shapeId="0" xr:uid="{00000000-0006-0000-0600-00009B000000}">
      <text>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t>
        </r>
        <r>
          <rPr>
            <sz val="11"/>
            <color rgb="FF000000"/>
            <rFont val="Calibri"/>
          </rPr>
          <t>'</t>
        </r>
      </text>
    </comment>
    <comment ref="AB88" authorId="0" shapeId="0" xr:uid="{00000000-0006-0000-0600-00009C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J91" authorId="0" shapeId="0" xr:uid="{00000000-0006-0000-0600-00009D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9E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9F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A0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A1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A2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1" authorId="0" shapeId="0" xr:uid="{00000000-0006-0000-0600-0000A3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A4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A5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S91" authorId="0" shapeId="0" xr:uid="{00000000-0006-0000-0600-0000A6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T91" authorId="0" shapeId="0" xr:uid="{00000000-0006-0000-0600-0000A7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U91" authorId="0" shapeId="0" xr:uid="{00000000-0006-0000-0600-0000A8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V91" authorId="0" shapeId="0" xr:uid="{00000000-0006-0000-0600-0000A9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1" authorId="0" shapeId="0" xr:uid="{00000000-0006-0000-0600-0000AA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X91" authorId="0" shapeId="0" xr:uid="{00000000-0006-0000-0600-0000AB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1" authorId="0" shapeId="0" xr:uid="{00000000-0006-0000-0600-0000AC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91" authorId="0" shapeId="0" xr:uid="{00000000-0006-0000-0600-0000AD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AA91" authorId="0" shapeId="0" xr:uid="{00000000-0006-0000-0600-0000AE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AB91" authorId="0" shapeId="0" xr:uid="{00000000-0006-0000-0600-0000AF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AC91" authorId="0" shapeId="0" xr:uid="{00000000-0006-0000-0600-0000B0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AD91" authorId="0" shapeId="0" xr:uid="{00000000-0006-0000-0600-0000B1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91" authorId="0" shapeId="0" xr:uid="{00000000-0006-0000-0600-0000B2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 RequireIntegrity=1; RequireMutualAuthentication=1; \\*\NETLOGON = RequireIntegrity=1; RequireMutualAuthentication=1</t>
        </r>
        <r>
          <rPr>
            <sz val="11"/>
            <color rgb="FF000000"/>
            <rFont val="Calibri"/>
          </rPr>
          <t>'</t>
        </r>
      </text>
    </comment>
    <comment ref="AF91" authorId="0" shapeId="0" xr:uid="{00000000-0006-0000-0600-0000B3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91" authorId="0" shapeId="0" xr:uid="{00000000-0006-0000-0600-0000B4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H91" authorId="0" shapeId="0" xr:uid="{00000000-0006-0000-0600-0000B5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I91" authorId="0" shapeId="0" xr:uid="{00000000-0006-0000-0600-0000B6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J91" authorId="0" shapeId="0" xr:uid="{00000000-0006-0000-0600-0000B7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AK91" authorId="0" shapeId="0" xr:uid="{00000000-0006-0000-0600-0000B8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AL91" authorId="0" shapeId="0" xr:uid="{00000000-0006-0000-0600-0000B9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91" authorId="0" shapeId="0" xr:uid="{00000000-0006-0000-0600-0000BA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91" authorId="0" shapeId="0" xr:uid="{00000000-0006-0000-0600-0000BB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91" authorId="0" shapeId="0" xr:uid="{00000000-0006-0000-0600-0000BC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P91" authorId="0" shapeId="0" xr:uid="{00000000-0006-0000-0600-0000BD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91" authorId="0" shapeId="0" xr:uid="{00000000-0006-0000-0600-0000BE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91" authorId="0" shapeId="0" xr:uid="{00000000-0006-0000-0600-0000BF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91" authorId="0" shapeId="0" xr:uid="{00000000-0006-0000-0600-0000C0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91" authorId="0" shapeId="0" xr:uid="{00000000-0006-0000-0600-0000C1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91" authorId="0" shapeId="0" xr:uid="{00000000-0006-0000-0600-0000C2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9" authorId="0" shapeId="0" xr:uid="{00000000-0006-0000-0600-0000C3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9" authorId="0" shapeId="0" xr:uid="{00000000-0006-0000-0600-0000C4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L99" authorId="0" shapeId="0" xr:uid="{00000000-0006-0000-0600-0000C5000000}">
      <text>
        <r>
          <rPr>
            <sz val="11"/>
            <rFont val="Calibri"/>
          </rPr>
          <t xml:space="preserve">Ensure </t>
        </r>
        <r>
          <rPr>
            <sz val="11"/>
            <color rgb="FF000000"/>
            <rFont val="Calibri"/>
          </rPr>
          <t>'</t>
        </r>
        <r>
          <rPr>
            <b/>
            <sz val="11"/>
            <color rgb="FF000000"/>
            <rFont val="Calibri"/>
          </rPr>
          <t>Configure local administrator merge behavior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9" authorId="0" shapeId="0" xr:uid="{00000000-0006-0000-0600-0000C600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9" authorId="0" shapeId="0" xr:uid="{00000000-0006-0000-0600-0000C700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9" authorId="0" shapeId="0" xr:uid="{00000000-0006-0000-0600-0000C8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9" authorId="0" shapeId="0" xr:uid="{00000000-0006-0000-0600-0000C9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9" authorId="0" shapeId="0" xr:uid="{00000000-0006-0000-0600-0000CA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9" authorId="0" shapeId="0" xr:uid="{00000000-0006-0000-0600-0000CB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S99" authorId="0" shapeId="0" xr:uid="{00000000-0006-0000-0600-0000CC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T99" authorId="0" shapeId="0" xr:uid="{00000000-0006-0000-0600-0000CD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t>
        </r>
        <r>
          <rPr>
            <sz val="11"/>
            <color rgb="FF000000"/>
            <rFont val="Calibri"/>
          </rPr>
          <t>'</t>
        </r>
      </text>
    </comment>
    <comment ref="U99" authorId="0" shapeId="0" xr:uid="{00000000-0006-0000-0600-0000CE00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text>
    </comment>
    <comment ref="V99" authorId="0" shapeId="0" xr:uid="{00000000-0006-0000-0600-0000CF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W99" authorId="0" shapeId="0" xr:uid="{00000000-0006-0000-0600-0000D0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9" authorId="0" shapeId="0" xr:uid="{00000000-0006-0000-0600-0000D1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Y99" authorId="0" shapeId="0" xr:uid="{00000000-0006-0000-0600-0000D2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9" authorId="0" shapeId="0" xr:uid="{00000000-0006-0000-0600-0000D3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9" authorId="0" shapeId="0" xr:uid="{00000000-0006-0000-0600-0000D4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9" authorId="0" shapeId="0" xr:uid="{00000000-0006-0000-0600-0000D5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99" authorId="0" shapeId="0" xr:uid="{00000000-0006-0000-0600-0000D6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9" authorId="0" shapeId="0" xr:uid="{00000000-0006-0000-0600-0000D7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9" authorId="0" shapeId="0" xr:uid="{00000000-0006-0000-0600-0000D8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9" authorId="0" shapeId="0" xr:uid="{00000000-0006-0000-0600-0000D9000000}">
      <text>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99" authorId="0" shapeId="0" xr:uid="{00000000-0006-0000-0600-0000DA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H99" authorId="0" shapeId="0" xr:uid="{00000000-0006-0000-0600-0000DB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99" authorId="0" shapeId="0" xr:uid="{00000000-0006-0000-0600-0000DC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DD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100" authorId="0" shapeId="0" xr:uid="{00000000-0006-0000-0600-0000DE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100" authorId="0" shapeId="0" xr:uid="{00000000-0006-0000-0600-0000DF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0" authorId="0" shapeId="0" xr:uid="{00000000-0006-0000-0600-0000E0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0" authorId="0" shapeId="0" xr:uid="{00000000-0006-0000-0600-0000E1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00" authorId="0" shapeId="0" xr:uid="{00000000-0006-0000-0600-0000E2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J101" authorId="0" shapeId="0" xr:uid="{00000000-0006-0000-0600-0000E3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1" authorId="0" shapeId="0" xr:uid="{00000000-0006-0000-0600-0000E4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1" authorId="0" shapeId="0" xr:uid="{00000000-0006-0000-0600-0000E5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M101" authorId="0" shapeId="0" xr:uid="{00000000-0006-0000-0600-0000E6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N101" authorId="0" shapeId="0" xr:uid="{00000000-0006-0000-0600-0000E7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O101" authorId="0" shapeId="0" xr:uid="{00000000-0006-0000-0600-0000E8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01" authorId="0" shapeId="0" xr:uid="{00000000-0006-0000-0600-0000E9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1" authorId="0" shapeId="0" xr:uid="{00000000-0006-0000-0600-0000EA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01" authorId="0" shapeId="0" xr:uid="{00000000-0006-0000-0600-0000EB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text>
    </comment>
    <comment ref="S101" authorId="0" shapeId="0" xr:uid="{00000000-0006-0000-0600-0000EC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01" authorId="0" shapeId="0" xr:uid="{00000000-0006-0000-0600-0000ED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1" authorId="0" shapeId="0" xr:uid="{00000000-0006-0000-0600-0000EE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1" authorId="0" shapeId="0" xr:uid="{00000000-0006-0000-0600-0000EF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1" authorId="0" shapeId="0" xr:uid="{00000000-0006-0000-0600-0000F0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01" authorId="0" shapeId="0" xr:uid="{00000000-0006-0000-0600-0000F1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01" authorId="0" shapeId="0" xr:uid="{00000000-0006-0000-0600-0000F2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01" authorId="0" shapeId="0" xr:uid="{00000000-0006-0000-0600-0000F3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01" authorId="0" shapeId="0" xr:uid="{00000000-0006-0000-0600-0000F4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01" authorId="0" shapeId="0" xr:uid="{00000000-0006-0000-0600-0000F5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01" authorId="0" shapeId="0" xr:uid="{00000000-0006-0000-0600-0000F6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01" authorId="0" shapeId="0" xr:uid="{00000000-0006-0000-0600-0000F7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01" authorId="0" shapeId="0" xr:uid="{00000000-0006-0000-0600-0000F8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01" authorId="0" shapeId="0" xr:uid="{00000000-0006-0000-0600-0000F9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01" authorId="0" shapeId="0" xr:uid="{00000000-0006-0000-0600-0000FA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01" authorId="0" shapeId="0" xr:uid="{00000000-0006-0000-0600-0000FB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01" authorId="0" shapeId="0" xr:uid="{00000000-0006-0000-0600-0000FC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01" authorId="0" shapeId="0" xr:uid="{00000000-0006-0000-0600-0000FD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01" authorId="0" shapeId="0" xr:uid="{00000000-0006-0000-0600-0000FE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01" authorId="0" shapeId="0" xr:uid="{00000000-0006-0000-0600-0000FF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01" authorId="0" shapeId="0" xr:uid="{00000000-0006-0000-0600-00000001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01" authorId="0" shapeId="0" xr:uid="{00000000-0006-0000-0600-00000101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01" authorId="0" shapeId="0" xr:uid="{00000000-0006-0000-0600-00000201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01" authorId="0" shapeId="0" xr:uid="{00000000-0006-0000-0600-00000301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01" authorId="0" shapeId="0" xr:uid="{00000000-0006-0000-0600-00000401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01" authorId="0" shapeId="0" xr:uid="{00000000-0006-0000-0600-00000501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01" authorId="0" shapeId="0" xr:uid="{00000000-0006-0000-0600-00000601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01" authorId="0" shapeId="0" xr:uid="{00000000-0006-0000-0600-00000701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01" authorId="0" shapeId="0" xr:uid="{00000000-0006-0000-0600-00000801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101" authorId="0" shapeId="0" xr:uid="{00000000-0006-0000-0600-00000901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101" authorId="0" shapeId="0" xr:uid="{00000000-0006-0000-0600-00000A01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89" authorId="0" shapeId="0" xr:uid="{00000000-0006-0000-0700-00002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9" authorId="0" shapeId="0" xr:uid="{00000000-0006-0000-0700-000009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R89" authorId="0" shapeId="0" xr:uid="{00000000-0006-0000-0700-00000A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89" authorId="0" shapeId="0" xr:uid="{00000000-0006-0000-0700-000010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9" authorId="0" shapeId="0" xr:uid="{00000000-0006-0000-0700-000011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9" authorId="0" shapeId="0" xr:uid="{00000000-0006-0000-0700-000012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89" authorId="0" shapeId="0" xr:uid="{00000000-0006-0000-0700-000013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89" authorId="0" shapeId="0" xr:uid="{00000000-0006-0000-0700-000014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89" authorId="0" shapeId="0" xr:uid="{00000000-0006-0000-0700-000015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text>
    </comment>
    <comment ref="AD89" authorId="0" shapeId="0" xr:uid="{00000000-0006-0000-0700-000016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89" authorId="0" shapeId="0" xr:uid="{00000000-0006-0000-0700-000017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89" authorId="0" shapeId="0" xr:uid="{00000000-0006-0000-0700-000018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89" authorId="0" shapeId="0" xr:uid="{00000000-0006-0000-0700-000019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AH89" authorId="0" shapeId="0" xr:uid="{00000000-0006-0000-0700-00001A000000}">
      <text>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89" authorId="0" shapeId="0" xr:uid="{00000000-0006-0000-0700-00001B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89" authorId="0" shapeId="0" xr:uid="{00000000-0006-0000-0700-00001C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89" authorId="0" shapeId="0" xr:uid="{00000000-0006-0000-0700-00001D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89" authorId="0" shapeId="0" xr:uid="{00000000-0006-0000-0700-00001E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89" authorId="0" shapeId="0" xr:uid="{00000000-0006-0000-0700-00001F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89" authorId="0" shapeId="0" xr:uid="{00000000-0006-0000-0700-000020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89" authorId="0" shapeId="0" xr:uid="{00000000-0006-0000-0700-000021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AP89" authorId="0" shapeId="0" xr:uid="{00000000-0006-0000-0700-000022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AQ89" authorId="0" shapeId="0" xr:uid="{00000000-0006-0000-0700-000023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89" authorId="0" shapeId="0" xr:uid="{00000000-0006-0000-0700-000024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89" authorId="0" shapeId="0" xr:uid="{00000000-0006-0000-0700-000025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89" authorId="0" shapeId="0" xr:uid="{00000000-0006-0000-0700-000026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text>
    </comment>
    <comment ref="AU89" authorId="0" shapeId="0" xr:uid="{00000000-0006-0000-0700-000027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0" authorId="0" shapeId="0" xr:uid="{00000000-0006-0000-0700-000029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I90" authorId="0" shapeId="0" xr:uid="{00000000-0006-0000-0700-00002A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2B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I93" authorId="0" shapeId="0" xr:uid="{00000000-0006-0000-0700-00002C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2D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700-00002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93" authorId="0" shapeId="0" xr:uid="{00000000-0006-0000-0700-00002F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M93" authorId="0" shapeId="0" xr:uid="{00000000-0006-0000-0700-000030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93" authorId="0" shapeId="0" xr:uid="{00000000-0006-0000-0700-000031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O93" authorId="0" shapeId="0" xr:uid="{00000000-0006-0000-0700-000032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3" authorId="0" shapeId="0" xr:uid="{00000000-0006-0000-0700-000033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3" authorId="0" shapeId="0" xr:uid="{00000000-0006-0000-0700-000034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3" authorId="0" shapeId="0" xr:uid="{00000000-0006-0000-0700-000035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700-000036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93" authorId="0" shapeId="0" xr:uid="{00000000-0006-0000-0700-000037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U93" authorId="0" shapeId="0" xr:uid="{00000000-0006-0000-0700-000038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93" authorId="0" shapeId="0" xr:uid="{00000000-0006-0000-0700-000039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W93" authorId="0" shapeId="0" xr:uid="{00000000-0006-0000-0700-00003A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93" authorId="0" shapeId="0" xr:uid="{00000000-0006-0000-0700-00003B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93" authorId="0" shapeId="0" xr:uid="{00000000-0006-0000-0700-00003C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93" authorId="0" shapeId="0" xr:uid="{00000000-0006-0000-0700-00003D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A93" authorId="0" shapeId="0" xr:uid="{00000000-0006-0000-0700-00003E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93" authorId="0" shapeId="0" xr:uid="{00000000-0006-0000-0700-00003F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93" authorId="0" shapeId="0" xr:uid="{00000000-0006-0000-0700-000040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AD93" authorId="0" shapeId="0" xr:uid="{00000000-0006-0000-0700-000041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AE93" authorId="0" shapeId="0" xr:uid="{00000000-0006-0000-0700-000042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F93" authorId="0" shapeId="0" xr:uid="{00000000-0006-0000-0700-000043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93" authorId="0" shapeId="0" xr:uid="{00000000-0006-0000-0700-000044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H93" authorId="0" shapeId="0" xr:uid="{00000000-0006-0000-0700-000045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93" authorId="0" shapeId="0" xr:uid="{00000000-0006-0000-0700-000046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J93" authorId="0" shapeId="0" xr:uid="{00000000-0006-0000-0700-000047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93" authorId="0" shapeId="0" xr:uid="{00000000-0006-0000-0700-000048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49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93" authorId="0" shapeId="0" xr:uid="{00000000-0006-0000-0700-00004A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93" authorId="0" shapeId="0" xr:uid="{00000000-0006-0000-0700-00004B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4C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93" authorId="0" shapeId="0" xr:uid="{00000000-0006-0000-0700-00004D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93" authorId="0" shapeId="0" xr:uid="{00000000-0006-0000-0700-00004E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93" authorId="0" shapeId="0" xr:uid="{00000000-0006-0000-0700-00004F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S93" authorId="0" shapeId="0" xr:uid="{00000000-0006-0000-0700-000050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93" authorId="0" shapeId="0" xr:uid="{00000000-0006-0000-0700-000051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93" authorId="0" shapeId="0" xr:uid="{00000000-0006-0000-0700-000052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53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54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text>
    </comment>
    <comment ref="J110" authorId="0" shapeId="0" xr:uid="{00000000-0006-0000-0700-000055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56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57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1" authorId="0" shapeId="0" xr:uid="{00000000-0006-0000-0700-000058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1" authorId="0" shapeId="0" xr:uid="{00000000-0006-0000-0700-000059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5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5B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1" authorId="0" shapeId="0" xr:uid="{00000000-0006-0000-0700-00005C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5D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1" authorId="0" shapeId="0" xr:uid="{00000000-0006-0000-0700-00005E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Q111" authorId="0" shapeId="0" xr:uid="{00000000-0006-0000-0700-00005F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R111" authorId="0" shapeId="0" xr:uid="{00000000-0006-0000-0700-000060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S111" authorId="0" shapeId="0" xr:uid="{00000000-0006-0000-0700-000061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11" authorId="0" shapeId="0" xr:uid="{00000000-0006-0000-0700-000062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U111" authorId="0" shapeId="0" xr:uid="{00000000-0006-0000-0700-000063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V111" authorId="0" shapeId="0" xr:uid="{00000000-0006-0000-0700-000064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W111" authorId="0" shapeId="0" xr:uid="{00000000-0006-0000-0700-000065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X111" authorId="0" shapeId="0" xr:uid="{00000000-0006-0000-0700-000066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11" authorId="0" shapeId="0" xr:uid="{00000000-0006-0000-0700-000067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 RequireIntegrity=1; RequireMutualAuthentication=1; \\*\NETLOGON = RequireIntegrity=1; RequireMutualAuthentication=1</t>
        </r>
        <r>
          <rPr>
            <sz val="11"/>
            <color rgb="FF000000"/>
            <rFont val="Calibri"/>
          </rPr>
          <t>'</t>
        </r>
      </text>
    </comment>
    <comment ref="Z111" authorId="0" shapeId="0" xr:uid="{00000000-0006-0000-0700-000068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11" authorId="0" shapeId="0" xr:uid="{00000000-0006-0000-0700-000069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B111" authorId="0" shapeId="0" xr:uid="{00000000-0006-0000-0700-00006A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C111" authorId="0" shapeId="0" xr:uid="{00000000-0006-0000-0700-00006B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D111" authorId="0" shapeId="0" xr:uid="{00000000-0006-0000-0700-00006C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AE111" authorId="0" shapeId="0" xr:uid="{00000000-0006-0000-0700-00006D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AF111" authorId="0" shapeId="0" xr:uid="{00000000-0006-0000-0700-00006E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11" authorId="0" shapeId="0" xr:uid="{00000000-0006-0000-0700-00006F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11" authorId="0" shapeId="0" xr:uid="{00000000-0006-0000-0700-000070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11" authorId="0" shapeId="0" xr:uid="{00000000-0006-0000-0700-000071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J111" authorId="0" shapeId="0" xr:uid="{00000000-0006-0000-0700-000072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11" authorId="0" shapeId="0" xr:uid="{00000000-0006-0000-0700-000073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11" authorId="0" shapeId="0" xr:uid="{00000000-0006-0000-0700-000074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11" authorId="0" shapeId="0" xr:uid="{00000000-0006-0000-0700-000075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11" authorId="0" shapeId="0" xr:uid="{00000000-0006-0000-0700-000076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34" authorId="0" shapeId="0" xr:uid="{00000000-0006-0000-0700-000077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134" authorId="0" shapeId="0" xr:uid="{00000000-0006-0000-0700-000078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34" authorId="0" shapeId="0" xr:uid="{00000000-0006-0000-0700-000079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134" authorId="0" shapeId="0" xr:uid="{00000000-0006-0000-0700-00007A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134" authorId="0" shapeId="0" xr:uid="{00000000-0006-0000-0700-00007B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34" authorId="0" shapeId="0" xr:uid="{00000000-0006-0000-0700-00007C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134" authorId="0" shapeId="0" xr:uid="{00000000-0006-0000-0700-00007D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134" authorId="0" shapeId="0" xr:uid="{00000000-0006-0000-0700-00007E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34" authorId="0" shapeId="0" xr:uid="{00000000-0006-0000-0700-00007F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134" authorId="0" shapeId="0" xr:uid="{00000000-0006-0000-0700-000080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134" authorId="0" shapeId="0" xr:uid="{00000000-0006-0000-0700-000081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134" authorId="0" shapeId="0" xr:uid="{00000000-0006-0000-0700-000082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34" authorId="0" shapeId="0" xr:uid="{00000000-0006-0000-0700-000083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34" authorId="0" shapeId="0" xr:uid="{00000000-0006-0000-0700-000084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34" authorId="0" shapeId="0" xr:uid="{00000000-0006-0000-0700-000085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34" authorId="0" shapeId="0" xr:uid="{00000000-0006-0000-0700-000086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34" authorId="0" shapeId="0" xr:uid="{00000000-0006-0000-0700-000087000000}">
      <text>
        <r>
          <rPr>
            <sz val="11"/>
            <rFont val="Calibri"/>
          </rPr>
          <t xml:space="preserve">Ensure </t>
        </r>
        <r>
          <rPr>
            <sz val="11"/>
            <color rgb="FF000000"/>
            <rFont val="Calibri"/>
          </rPr>
          <t>'</t>
        </r>
        <r>
          <rPr>
            <b/>
            <sz val="11"/>
            <color rgb="FF000000"/>
            <rFont val="Calibri"/>
          </rPr>
          <t>Configure RPC connection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Default</t>
        </r>
        <r>
          <rPr>
            <sz val="11"/>
            <color rgb="FF000000"/>
            <rFont val="Calibri"/>
          </rPr>
          <t>'</t>
        </r>
      </text>
    </comment>
    <comment ref="Y134" authorId="0" shapeId="0" xr:uid="{00000000-0006-0000-0700-000088000000}">
      <text>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t>
        </r>
        <r>
          <rPr>
            <sz val="11"/>
            <color rgb="FF000000"/>
            <rFont val="Calibri"/>
          </rPr>
          <t>'</t>
        </r>
      </text>
    </comment>
    <comment ref="Z134" authorId="0" shapeId="0" xr:uid="{00000000-0006-0000-0700-000089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H142" authorId="0" shapeId="0" xr:uid="{00000000-0006-0000-0700-00008A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I142" authorId="0" shapeId="0" xr:uid="{00000000-0006-0000-0700-00008B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8C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2" authorId="0" shapeId="0" xr:uid="{00000000-0006-0000-0700-00008D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8E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t>
        </r>
        <r>
          <rPr>
            <sz val="11"/>
            <color rgb="FF000000"/>
            <rFont val="Calibri"/>
          </rPr>
          <t>'</t>
        </r>
      </text>
    </comment>
    <comment ref="M142" authorId="0" shapeId="0" xr:uid="{00000000-0006-0000-0700-00008F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N142" authorId="0" shapeId="0" xr:uid="{00000000-0006-0000-0700-000090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42" authorId="0" shapeId="0" xr:uid="{00000000-0006-0000-0700-000091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2" authorId="0" shapeId="0" xr:uid="{00000000-0006-0000-0700-000092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2" authorId="0" shapeId="0" xr:uid="{00000000-0006-0000-0700-000093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R142" authorId="0" shapeId="0" xr:uid="{00000000-0006-0000-0700-000094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S142" authorId="0" shapeId="0" xr:uid="{00000000-0006-0000-0700-000095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t>
        </r>
      </text>
    </comment>
    <comment ref="T142" authorId="0" shapeId="0" xr:uid="{00000000-0006-0000-0700-000096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 Also apply to matching devices that are already installed = True</t>
        </r>
        <r>
          <rPr>
            <sz val="11"/>
            <color rgb="FF000000"/>
            <rFont val="Calibri"/>
          </rPr>
          <t>'</t>
        </r>
      </text>
    </comment>
    <comment ref="U142" authorId="0" shapeId="0" xr:uid="{00000000-0006-0000-0700-000097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42" authorId="0" shapeId="0" xr:uid="{00000000-0006-0000-0700-000098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42" authorId="0" shapeId="0" xr:uid="{00000000-0006-0000-0700-000099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X142" authorId="0" shapeId="0" xr:uid="{00000000-0006-0000-0700-00009A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2" authorId="0" shapeId="0" xr:uid="{00000000-0006-0000-0700-00009B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Z142" authorId="0" shapeId="0" xr:uid="{00000000-0006-0000-0700-00009C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42" authorId="0" shapeId="0" xr:uid="{00000000-0006-0000-0700-00009D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42" authorId="0" shapeId="0" xr:uid="{00000000-0006-0000-0700-00009E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AC142" authorId="0" shapeId="0" xr:uid="{00000000-0006-0000-0700-00009F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AD142" authorId="0" shapeId="0" xr:uid="{00000000-0006-0000-0700-0000A0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42" authorId="0" shapeId="0" xr:uid="{00000000-0006-0000-0700-0000A1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42" authorId="0" shapeId="0" xr:uid="{00000000-0006-0000-0700-0000A2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G142" authorId="0" shapeId="0" xr:uid="{00000000-0006-0000-0700-0000A3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42" authorId="0" shapeId="0" xr:uid="{00000000-0006-0000-0700-0000A4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42" authorId="0" shapeId="0" xr:uid="{00000000-0006-0000-0700-0000A5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42" authorId="0" shapeId="0" xr:uid="{00000000-0006-0000-0700-0000A6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text>
    </comment>
    <comment ref="AK142" authorId="0" shapeId="0" xr:uid="{00000000-0006-0000-0700-0000A7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142" authorId="0" shapeId="0" xr:uid="{00000000-0006-0000-0700-0000A8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42" authorId="0" shapeId="0" xr:uid="{00000000-0006-0000-0700-0000A9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42" authorId="0" shapeId="0" xr:uid="{00000000-0006-0000-0700-0000AA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42" authorId="0" shapeId="0" xr:uid="{00000000-0006-0000-0700-0000AB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42" authorId="0" shapeId="0" xr:uid="{00000000-0006-0000-0700-0000AC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42" authorId="0" shapeId="0" xr:uid="{00000000-0006-0000-0700-0000AD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42" authorId="0" shapeId="0" xr:uid="{00000000-0006-0000-0700-0000AE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42" authorId="0" shapeId="0" xr:uid="{00000000-0006-0000-0700-0000AF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42" authorId="0" shapeId="0" xr:uid="{00000000-0006-0000-0700-0000B0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42" authorId="0" shapeId="0" xr:uid="{00000000-0006-0000-0700-0000B1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57" authorId="0" shapeId="0" xr:uid="{00000000-0006-0000-0700-0000B2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B3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157" authorId="0" shapeId="0" xr:uid="{00000000-0006-0000-0700-0000B4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K157" authorId="0" shapeId="0" xr:uid="{00000000-0006-0000-0700-0000B5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165" authorId="0" shapeId="0" xr:uid="{00000000-0006-0000-0700-0000B6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5" authorId="0" shapeId="0" xr:uid="{00000000-0006-0000-0700-0000B7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165" authorId="0" shapeId="0" xr:uid="{00000000-0006-0000-0700-0000B8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165" authorId="0" shapeId="0" xr:uid="{00000000-0006-0000-0700-0000B9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165" authorId="0" shapeId="0" xr:uid="{00000000-0006-0000-0700-0000BA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165" authorId="0" shapeId="0" xr:uid="{00000000-0006-0000-0700-0000BB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165" authorId="0" shapeId="0" xr:uid="{00000000-0006-0000-0700-0000BC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O165" authorId="0" shapeId="0" xr:uid="{00000000-0006-0000-0700-0000BD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165" authorId="0" shapeId="0" xr:uid="{00000000-0006-0000-0700-0000BE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165" authorId="0" shapeId="0" xr:uid="{00000000-0006-0000-0700-0000BF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165" authorId="0" shapeId="0" xr:uid="{00000000-0006-0000-0700-0000C0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165" authorId="0" shapeId="0" xr:uid="{00000000-0006-0000-0700-0000C1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T165" authorId="0" shapeId="0" xr:uid="{00000000-0006-0000-0700-0000C2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165" authorId="0" shapeId="0" xr:uid="{00000000-0006-0000-0700-0000C3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165" authorId="0" shapeId="0" xr:uid="{00000000-0006-0000-0700-0000C4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165" authorId="0" shapeId="0" xr:uid="{00000000-0006-0000-0700-0000C5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165" authorId="0" shapeId="0" xr:uid="{00000000-0006-0000-0700-0000C6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165" authorId="0" shapeId="0" xr:uid="{00000000-0006-0000-0700-0000C7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165" authorId="0" shapeId="0" xr:uid="{00000000-0006-0000-0700-0000C8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A165" authorId="0" shapeId="0" xr:uid="{00000000-0006-0000-0700-0000C9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B165" authorId="0" shapeId="0" xr:uid="{00000000-0006-0000-0700-0000CA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165" authorId="0" shapeId="0" xr:uid="{00000000-0006-0000-0700-0000CB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165" authorId="0" shapeId="0" xr:uid="{00000000-0006-0000-0700-0000CC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E165" authorId="0" shapeId="0" xr:uid="{00000000-0006-0000-0700-0000CD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F165" authorId="0" shapeId="0" xr:uid="{00000000-0006-0000-0700-0000CE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G165" authorId="0" shapeId="0" xr:uid="{00000000-0006-0000-0700-0000CF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H165" authorId="0" shapeId="0" xr:uid="{00000000-0006-0000-0700-0000D0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165" authorId="0" shapeId="0" xr:uid="{00000000-0006-0000-0700-0000D1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165" authorId="0" shapeId="0" xr:uid="{00000000-0006-0000-0700-0000D2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K165" authorId="0" shapeId="0" xr:uid="{00000000-0006-0000-0700-0000D3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L165" authorId="0" shapeId="0" xr:uid="{00000000-0006-0000-0700-0000D4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M165" authorId="0" shapeId="0" xr:uid="{00000000-0006-0000-0700-0000D5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65" authorId="0" shapeId="0" xr:uid="{00000000-0006-0000-0700-0000D6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65" authorId="0" shapeId="0" xr:uid="{00000000-0006-0000-0700-0000D7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65" authorId="0" shapeId="0" xr:uid="{00000000-0006-0000-0700-0000D8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65" authorId="0" shapeId="0" xr:uid="{00000000-0006-0000-0700-0000D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AR165" authorId="0" shapeId="0" xr:uid="{00000000-0006-0000-0700-0000DA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AS165" authorId="0" shapeId="0" xr:uid="{00000000-0006-0000-0700-0000DB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AT165" authorId="0" shapeId="0" xr:uid="{00000000-0006-0000-0700-0000DC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U165" authorId="0" shapeId="0" xr:uid="{00000000-0006-0000-0700-0000DD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 Log script block invocation start / stop events = Disabled</t>
        </r>
        <r>
          <rPr>
            <sz val="11"/>
            <color rgb="FF000000"/>
            <rFont val="Calibri"/>
          </rPr>
          <t>'</t>
        </r>
      </text>
    </comment>
    <comment ref="H168" authorId="0" shapeId="0" xr:uid="{00000000-0006-0000-0700-0000DE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168" authorId="0" shapeId="0" xr:uid="{00000000-0006-0000-0700-0000DF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168" authorId="0" shapeId="0" xr:uid="{00000000-0006-0000-0700-0000E0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168" authorId="0" shapeId="0" xr:uid="{00000000-0006-0000-0700-0000E1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L168" authorId="0" shapeId="0" xr:uid="{00000000-0006-0000-0700-0000E2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68" authorId="0" shapeId="0" xr:uid="{00000000-0006-0000-0700-0000E3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8" authorId="0" shapeId="0" xr:uid="{00000000-0006-0000-0700-0000E4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8" authorId="0" shapeId="0" xr:uid="{00000000-0006-0000-0700-0000E5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P168" authorId="0" shapeId="0" xr:uid="{00000000-0006-0000-0700-0000E6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Q168" authorId="0" shapeId="0" xr:uid="{00000000-0006-0000-0700-0000E700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text>
    </comment>
    <comment ref="R168" authorId="0" shapeId="0" xr:uid="{00000000-0006-0000-0700-0000E8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S168" authorId="0" shapeId="0" xr:uid="{00000000-0006-0000-0700-0000E9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68" authorId="0" shapeId="0" xr:uid="{00000000-0006-0000-0700-0000EA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U168" authorId="0" shapeId="0" xr:uid="{00000000-0006-0000-0700-0000EB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68" authorId="0" shapeId="0" xr:uid="{00000000-0006-0000-0700-0000EC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68" authorId="0" shapeId="0" xr:uid="{00000000-0006-0000-0700-0000ED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68" authorId="0" shapeId="0" xr:uid="{00000000-0006-0000-0700-0000EE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68" authorId="0" shapeId="0" xr:uid="{00000000-0006-0000-0700-0000EF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68" authorId="0" shapeId="0" xr:uid="{00000000-0006-0000-0700-0000F0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68" authorId="0" shapeId="0" xr:uid="{00000000-0006-0000-0700-0000F1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68" authorId="0" shapeId="0" xr:uid="{00000000-0006-0000-0700-0000F2000000}">
      <text>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68" authorId="0" shapeId="0" xr:uid="{00000000-0006-0000-0700-0000F3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D168" authorId="0" shapeId="0" xr:uid="{00000000-0006-0000-0700-0000F4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68" authorId="0" shapeId="0" xr:uid="{00000000-0006-0000-0700-0000F5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2" authorId="0" shapeId="0" xr:uid="{00000000-0006-0000-0800-000006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2" authorId="0" shapeId="0" xr:uid="{00000000-0006-0000-0800-00000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52" authorId="0" shapeId="0" xr:uid="{00000000-0006-0000-0800-00000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52" authorId="0" shapeId="0" xr:uid="{00000000-0006-0000-0800-000004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52" authorId="0" shapeId="0" xr:uid="{00000000-0006-0000-0800-000005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G53" authorId="0" shapeId="0" xr:uid="{00000000-0006-0000-0800-000007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3" authorId="0" shapeId="0" xr:uid="{00000000-0006-0000-0800-000008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3" authorId="0" shapeId="0" xr:uid="{00000000-0006-0000-0800-00000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53" authorId="0" shapeId="0" xr:uid="{00000000-0006-0000-0800-00000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53" authorId="0" shapeId="0" xr:uid="{00000000-0006-0000-0800-00000B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53" authorId="0" shapeId="0" xr:uid="{00000000-0006-0000-0800-00000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G54" authorId="0" shapeId="0" xr:uid="{00000000-0006-0000-0800-00000D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H54" authorId="0" shapeId="0" xr:uid="{00000000-0006-0000-0800-00000F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4" authorId="0" shapeId="0" xr:uid="{00000000-0006-0000-0800-000010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J54" authorId="0" shapeId="0" xr:uid="{00000000-0006-0000-0800-000011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K54" authorId="0" shapeId="0" xr:uid="{00000000-0006-0000-0800-000012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4" authorId="0" shapeId="0" xr:uid="{00000000-0006-0000-0800-000013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M54" authorId="0" shapeId="0" xr:uid="{00000000-0006-0000-0800-00000E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G64" authorId="0" shapeId="0" xr:uid="{00000000-0006-0000-0800-000014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H64" authorId="0" shapeId="0" xr:uid="{00000000-0006-0000-0800-00001B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I64" authorId="0" shapeId="0" xr:uid="{00000000-0006-0000-0800-00001C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4" authorId="0" shapeId="0" xr:uid="{00000000-0006-0000-0800-00001D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K64" authorId="0" shapeId="0" xr:uid="{00000000-0006-0000-0800-00001E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L64" authorId="0" shapeId="0" xr:uid="{00000000-0006-0000-0800-00001F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64" authorId="0" shapeId="0" xr:uid="{00000000-0006-0000-0800-000020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N64" authorId="0" shapeId="0" xr:uid="{00000000-0006-0000-0800-000015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64" authorId="0" shapeId="0" xr:uid="{00000000-0006-0000-0800-000016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64" authorId="0" shapeId="0" xr:uid="{00000000-0006-0000-0800-000017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64" authorId="0" shapeId="0" xr:uid="{00000000-0006-0000-0800-000018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64" authorId="0" shapeId="0" xr:uid="{00000000-0006-0000-0800-000019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64" authorId="0" shapeId="0" xr:uid="{00000000-0006-0000-0800-00001A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0" authorId="0" shapeId="0" xr:uid="{00000000-0006-0000-0800-000021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H80" authorId="0" shapeId="0" xr:uid="{00000000-0006-0000-0800-000022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80" authorId="0" shapeId="0" xr:uid="{00000000-0006-0000-0800-000023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J80" authorId="0" shapeId="0" xr:uid="{00000000-0006-0000-0800-000024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0" authorId="0" shapeId="0" xr:uid="{00000000-0006-0000-0800-000025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0" authorId="0" shapeId="0" xr:uid="{00000000-0006-0000-0800-000026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80" authorId="0" shapeId="0" xr:uid="{00000000-0006-0000-0800-000027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0" authorId="0" shapeId="0" xr:uid="{00000000-0006-0000-0800-000028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0" authorId="0" shapeId="0" xr:uid="{00000000-0006-0000-0800-000029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0" authorId="0" shapeId="0" xr:uid="{00000000-0006-0000-0800-00002A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Q80" authorId="0" shapeId="0" xr:uid="{00000000-0006-0000-0800-00002B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100" authorId="0" shapeId="0" xr:uid="{00000000-0006-0000-0800-00002C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A00-00000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202" authorId="0" shapeId="0" xr:uid="{00000000-0006-0000-0A00-00000E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202" authorId="0" shapeId="0" xr:uid="{00000000-0006-0000-0A00-000002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2" authorId="0" shapeId="0" xr:uid="{00000000-0006-0000-0A00-000003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2" authorId="0" shapeId="0" xr:uid="{00000000-0006-0000-0A00-000004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M202" authorId="0" shapeId="0" xr:uid="{00000000-0006-0000-0A00-000005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N202" authorId="0" shapeId="0" xr:uid="{00000000-0006-0000-0A00-000006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2" authorId="0" shapeId="0" xr:uid="{00000000-0006-0000-0A00-000007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2" authorId="0" shapeId="0" xr:uid="{00000000-0006-0000-0A00-000008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02" authorId="0" shapeId="0" xr:uid="{00000000-0006-0000-0A00-000009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2" authorId="0" shapeId="0" xr:uid="{00000000-0006-0000-0A00-00000A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02" authorId="0" shapeId="0" xr:uid="{00000000-0006-0000-0A00-00000B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02" authorId="0" shapeId="0" xr:uid="{00000000-0006-0000-0A00-00000C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U202" authorId="0" shapeId="0" xr:uid="{00000000-0006-0000-0A00-00000D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5" authorId="0" shapeId="0" xr:uid="{00000000-0006-0000-0A00-00000F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05" authorId="0" shapeId="0" xr:uid="{00000000-0006-0000-0A00-000010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5" authorId="0" shapeId="0" xr:uid="{00000000-0006-0000-0A00-000011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K205" authorId="0" shapeId="0" xr:uid="{00000000-0006-0000-0A00-000012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L205" authorId="0" shapeId="0" xr:uid="{00000000-0006-0000-0A00-000013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M205" authorId="0" shapeId="0" xr:uid="{00000000-0006-0000-0A00-000014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N205" authorId="0" shapeId="0" xr:uid="{00000000-0006-0000-0A00-000015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5" authorId="0" shapeId="0" xr:uid="{00000000-0006-0000-0A00-000016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5" authorId="0" shapeId="0" xr:uid="{00000000-0006-0000-0A00-000017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05" authorId="0" shapeId="0" xr:uid="{00000000-0006-0000-0A00-000018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5" authorId="0" shapeId="0" xr:uid="{00000000-0006-0000-0A00-000019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05" authorId="0" shapeId="0" xr:uid="{00000000-0006-0000-0A00-00001A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6" authorId="0" shapeId="0" xr:uid="{00000000-0006-0000-0A00-00001B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A00-00001C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7" authorId="0" shapeId="0" xr:uid="{00000000-0006-0000-0A00-00001D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07" authorId="0" shapeId="0" xr:uid="{00000000-0006-0000-0A00-00001E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H210" authorId="0" shapeId="0" xr:uid="{00000000-0006-0000-0A00-00001F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0" authorId="0" shapeId="0" xr:uid="{00000000-0006-0000-0A00-000020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0" authorId="0" shapeId="0" xr:uid="{00000000-0006-0000-0A00-000021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210" authorId="0" shapeId="0" xr:uid="{00000000-0006-0000-0A00-00002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10" authorId="0" shapeId="0" xr:uid="{00000000-0006-0000-0A00-00002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10" authorId="0" shapeId="0" xr:uid="{00000000-0006-0000-0A00-000024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210" authorId="0" shapeId="0" xr:uid="{00000000-0006-0000-0A00-000025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210" authorId="0" shapeId="0" xr:uid="{00000000-0006-0000-0A00-00002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10" authorId="0" shapeId="0" xr:uid="{00000000-0006-0000-0A00-000027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211" authorId="0" shapeId="0" xr:uid="{00000000-0006-0000-0A00-000028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1" authorId="0" shapeId="0" xr:uid="{00000000-0006-0000-0A00-000029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1" authorId="0" shapeId="0" xr:uid="{00000000-0006-0000-0A00-00002A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211" authorId="0" shapeId="0" xr:uid="{00000000-0006-0000-0A00-00002B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211" authorId="0" shapeId="0" xr:uid="{00000000-0006-0000-0A00-00002C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11" authorId="0" shapeId="0" xr:uid="{00000000-0006-0000-0A00-00002D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12" authorId="0" shapeId="0" xr:uid="{00000000-0006-0000-0A00-00002E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text>
    </comment>
    <comment ref="H214" authorId="0" shapeId="0" xr:uid="{00000000-0006-0000-0A00-00002F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231" authorId="0" shapeId="0" xr:uid="{00000000-0006-0000-0A00-000030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t>
        </r>
        <r>
          <rPr>
            <sz val="11"/>
            <color rgb="FF000000"/>
            <rFont val="Calibri"/>
          </rPr>
          <t>'</t>
        </r>
      </text>
    </comment>
    <comment ref="H238" authorId="0" shapeId="0" xr:uid="{00000000-0006-0000-0A00-000031000000}">
      <text>
        <r>
          <rPr>
            <sz val="11"/>
            <rFont val="Calibri"/>
          </rPr>
          <t xml:space="preserve">Ensure </t>
        </r>
        <r>
          <rPr>
            <sz val="11"/>
            <color rgb="FF000000"/>
            <rFont val="Calibri"/>
          </rPr>
          <t>'</t>
        </r>
        <r>
          <rPr>
            <b/>
            <sz val="11"/>
            <color rgb="FF000000"/>
            <rFont val="Calibri"/>
          </rPr>
          <t>Configure local administrator merge behavior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38" authorId="0" shapeId="0" xr:uid="{00000000-0006-0000-0A00-00003200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8" authorId="0" shapeId="0" xr:uid="{00000000-0006-0000-0A00-00003300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2" authorId="0" shapeId="0" xr:uid="{00000000-0006-0000-0A00-000034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I242" authorId="0" shapeId="0" xr:uid="{00000000-0006-0000-0A00-00003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2" authorId="0" shapeId="0" xr:uid="{00000000-0006-0000-0A00-000036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K242" authorId="0" shapeId="0" xr:uid="{00000000-0006-0000-0A00-000037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L242" authorId="0" shapeId="0" xr:uid="{00000000-0006-0000-0A00-000038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M242" authorId="0" shapeId="0" xr:uid="{00000000-0006-0000-0A00-000039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N242" authorId="0" shapeId="0" xr:uid="{00000000-0006-0000-0A00-00003A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A00-00003B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t>
        </r>
      </text>
    </comment>
    <comment ref="H308" authorId="0" shapeId="0" xr:uid="{00000000-0006-0000-0A00-00003C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308" authorId="0" shapeId="0" xr:uid="{00000000-0006-0000-0A00-00004B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308" authorId="0" shapeId="0" xr:uid="{00000000-0006-0000-0A00-00004C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08" authorId="0" shapeId="0" xr:uid="{00000000-0006-0000-0A00-00004D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308" authorId="0" shapeId="0" xr:uid="{00000000-0006-0000-0A00-00004E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8" authorId="0" shapeId="0" xr:uid="{00000000-0006-0000-0A00-00004F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N308" authorId="0" shapeId="0" xr:uid="{00000000-0006-0000-0A00-000050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O308" authorId="0" shapeId="0" xr:uid="{00000000-0006-0000-0A00-000051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P308" authorId="0" shapeId="0" xr:uid="{00000000-0006-0000-0A00-000052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Q308" authorId="0" shapeId="0" xr:uid="{00000000-0006-0000-0A00-000053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08" authorId="0" shapeId="0" xr:uid="{00000000-0006-0000-0A00-000054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08" authorId="0" shapeId="0" xr:uid="{00000000-0006-0000-0A00-000055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08" authorId="0" shapeId="0" xr:uid="{00000000-0006-0000-0A00-000056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08" authorId="0" shapeId="0" xr:uid="{00000000-0006-0000-0A00-000057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08" authorId="0" shapeId="0" xr:uid="{00000000-0006-0000-0A00-00003D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08" authorId="0" shapeId="0" xr:uid="{00000000-0006-0000-0A00-00003E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308" authorId="0" shapeId="0" xr:uid="{00000000-0006-0000-0A00-00003F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08" authorId="0" shapeId="0" xr:uid="{00000000-0006-0000-0A00-000040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08" authorId="0" shapeId="0" xr:uid="{00000000-0006-0000-0A00-000041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A308" authorId="0" shapeId="0" xr:uid="{00000000-0006-0000-0A00-000042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08" authorId="0" shapeId="0" xr:uid="{00000000-0006-0000-0A00-000043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08" authorId="0" shapeId="0" xr:uid="{00000000-0006-0000-0A00-000044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08" authorId="0" shapeId="0" xr:uid="{00000000-0006-0000-0A00-000045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08" authorId="0" shapeId="0" xr:uid="{00000000-0006-0000-0A00-000046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08" authorId="0" shapeId="0" xr:uid="{00000000-0006-0000-0A00-000047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08" authorId="0" shapeId="0" xr:uid="{00000000-0006-0000-0A00-000048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H308" authorId="0" shapeId="0" xr:uid="{00000000-0006-0000-0A00-000049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08" authorId="0" shapeId="0" xr:uid="{00000000-0006-0000-0A00-00004A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2" authorId="0" shapeId="0" xr:uid="{00000000-0006-0000-0A00-000058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H315" authorId="0" shapeId="0" xr:uid="{00000000-0006-0000-0A00-000059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I315" authorId="0" shapeId="0" xr:uid="{00000000-0006-0000-0A00-00005A000000}">
      <text>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15" authorId="0" shapeId="0" xr:uid="{00000000-0006-0000-0A00-00005B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9" authorId="0" shapeId="0" xr:uid="{00000000-0006-0000-0A00-00005C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45" authorId="0" shapeId="0" xr:uid="{00000000-0006-0000-0A00-00005D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345" authorId="0" shapeId="0" xr:uid="{00000000-0006-0000-0A00-00005E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345" authorId="0" shapeId="0" xr:uid="{00000000-0006-0000-0A00-00005F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5" authorId="0" shapeId="0" xr:uid="{00000000-0006-0000-0A00-000060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345" authorId="0" shapeId="0" xr:uid="{00000000-0006-0000-0A00-000061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345" authorId="0" shapeId="0" xr:uid="{00000000-0006-0000-0A00-000062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345" authorId="0" shapeId="0" xr:uid="{00000000-0006-0000-0A00-000063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5" authorId="0" shapeId="0" xr:uid="{00000000-0006-0000-0A00-000064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45" authorId="0" shapeId="0" xr:uid="{00000000-0006-0000-0A00-000065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Q345" authorId="0" shapeId="0" xr:uid="{00000000-0006-0000-0A00-000066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R345" authorId="0" shapeId="0" xr:uid="{00000000-0006-0000-0A00-000067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S345" authorId="0" shapeId="0" xr:uid="{00000000-0006-0000-0A00-000068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T345" authorId="0" shapeId="0" xr:uid="{00000000-0006-0000-0A00-000069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U345" authorId="0" shapeId="0" xr:uid="{00000000-0006-0000-0A00-00006A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45" authorId="0" shapeId="0" xr:uid="{00000000-0006-0000-0A00-00006B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text>
    </comment>
    <comment ref="H356" authorId="0" shapeId="0" xr:uid="{00000000-0006-0000-0A00-00006C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56" authorId="0" shapeId="0" xr:uid="{00000000-0006-0000-0A00-00006F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356" authorId="0" shapeId="0" xr:uid="{00000000-0006-0000-0A00-000070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56" authorId="0" shapeId="0" xr:uid="{00000000-0006-0000-0A00-000071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356" authorId="0" shapeId="0" xr:uid="{00000000-0006-0000-0A00-000072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356" authorId="0" shapeId="0" xr:uid="{00000000-0006-0000-0A00-000073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356" authorId="0" shapeId="0" xr:uid="{00000000-0006-0000-0A00-000074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356" authorId="0" shapeId="0" xr:uid="{00000000-0006-0000-0A00-000075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356" authorId="0" shapeId="0" xr:uid="{00000000-0006-0000-0A00-000076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A00-000077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356" authorId="0" shapeId="0" xr:uid="{00000000-0006-0000-0A00-000078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S356" authorId="0" shapeId="0" xr:uid="{00000000-0006-0000-0A00-000079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356" authorId="0" shapeId="0" xr:uid="{00000000-0006-0000-0A00-00007A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356" authorId="0" shapeId="0" xr:uid="{00000000-0006-0000-0A00-00007B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356" authorId="0" shapeId="0" xr:uid="{00000000-0006-0000-0A00-00007C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356" authorId="0" shapeId="0" xr:uid="{00000000-0006-0000-0A00-00007D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356" authorId="0" shapeId="0" xr:uid="{00000000-0006-0000-0A00-00007E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356" authorId="0" shapeId="0" xr:uid="{00000000-0006-0000-0A00-00007F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Z356" authorId="0" shapeId="0" xr:uid="{00000000-0006-0000-0A00-000080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356" authorId="0" shapeId="0" xr:uid="{00000000-0006-0000-0A00-000081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356" authorId="0" shapeId="0" xr:uid="{00000000-0006-0000-0A00-000082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356" authorId="0" shapeId="0" xr:uid="{00000000-0006-0000-0A00-000083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356" authorId="0" shapeId="0" xr:uid="{00000000-0006-0000-0A00-000084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356" authorId="0" shapeId="0" xr:uid="{00000000-0006-0000-0A00-000085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F356" authorId="0" shapeId="0" xr:uid="{00000000-0006-0000-0A00-000086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G356" authorId="0" shapeId="0" xr:uid="{00000000-0006-0000-0A00-000087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H356" authorId="0" shapeId="0" xr:uid="{00000000-0006-0000-0A00-000088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356" authorId="0" shapeId="0" xr:uid="{00000000-0006-0000-0A00-000089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356" authorId="0" shapeId="0" xr:uid="{00000000-0006-0000-0A00-00006D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356" authorId="0" shapeId="0" xr:uid="{00000000-0006-0000-0A00-00006E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 Log script block invocation start / stop events = Disabled</t>
        </r>
        <r>
          <rPr>
            <sz val="11"/>
            <color rgb="FF000000"/>
            <rFont val="Calibri"/>
          </rPr>
          <t>'</t>
        </r>
      </text>
    </comment>
    <comment ref="H368" authorId="0" shapeId="0" xr:uid="{00000000-0006-0000-0A00-00008A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I368" authorId="0" shapeId="0" xr:uid="{00000000-0006-0000-0A00-00008B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J368" authorId="0" shapeId="0" xr:uid="{00000000-0006-0000-0A00-00008C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K368" authorId="0" shapeId="0" xr:uid="{00000000-0006-0000-0A00-00008D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L368" authorId="0" shapeId="0" xr:uid="{00000000-0006-0000-0A00-00008E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M368" authorId="0" shapeId="0" xr:uid="{00000000-0006-0000-0A00-00008F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List>
</comments>
</file>

<file path=xl/sharedStrings.xml><?xml version="1.0" encoding="utf-8"?>
<sst xmlns="http://schemas.openxmlformats.org/spreadsheetml/2006/main" count="13637" uniqueCount="5780">
  <si>
    <t>Section</t>
  </si>
  <si>
    <t>Id</t>
  </si>
  <si>
    <t>Title</t>
  </si>
  <si>
    <t>MoSCoW</t>
  </si>
  <si>
    <t>OpsImpact</t>
  </si>
  <si>
    <t>Phase</t>
  </si>
  <si>
    <t>ImplStatus</t>
  </si>
  <si>
    <t>Notes</t>
  </si>
  <si>
    <t>Remediation</t>
  </si>
  <si>
    <t>Description</t>
  </si>
  <si>
    <t>RegistryInformation</t>
  </si>
  <si>
    <t>SupportedOn</t>
  </si>
  <si>
    <t>Status</t>
  </si>
  <si>
    <t>LogID</t>
  </si>
  <si>
    <t>Account Lockout</t>
  </si>
  <si>
    <t>SEC-F3D18476</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</si>
  <si>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</si>
  <si>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t>Unassigned</t>
  </si>
  <si>
    <t>Unassessed</t>
  </si>
  <si>
    <t>Pending</t>
  </si>
  <si>
    <t/>
  </si>
  <si>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duration</t>
    </r>
  </si>
  <si>
    <r>
      <rPr>
        <sz val="11"/>
        <color rgb="FF000000"/>
        <rFont val="Calibri"/>
      </rPr>
      <t>Account lockout duration</t>
    </r>
    <r>
      <rPr>
        <sz val="11"/>
        <color rgb="FF000000"/>
        <rFont val="Calibri"/>
      </rPr>
      <t xml:space="preserve">
</t>
    </r>
    <r>
      <rPr>
        <sz val="11"/>
        <color rgb="FF000000"/>
        <rFont val="Calibri"/>
      </rPr>
      <t>This security setting determines the number of minutes a locked-out account remains locked out before automatically becoming unlocked. The available range is from 0 minutes through 99,999 minutes. If you set the account lockout duration to 0, the account will be locked out until an administrator explicitly unlocks it.</t>
    </r>
    <r>
      <rPr>
        <sz val="11"/>
        <color rgb="FF000000"/>
        <rFont val="Calibri"/>
      </rPr>
      <t xml:space="preserve">
</t>
    </r>
    <r>
      <rPr>
        <sz val="11"/>
        <color rgb="FF000000"/>
        <rFont val="Calibri"/>
      </rPr>
      <t>If an account lockout threshold is defined, the account lockout duration must be greater than or equal to the reset time.</t>
    </r>
    <r>
      <rPr>
        <sz val="11"/>
        <color rgb="FF000000"/>
        <rFont val="Calibri"/>
      </rPr>
      <t xml:space="preserve">
</t>
    </r>
    <r>
      <rPr>
        <sz val="11"/>
        <color rgb="FF000000"/>
        <rFont val="Calibri"/>
      </rPr>
      <t>Default: None, because this policy setting only has meaning when an Account lockout threshold is specified.</t>
    </r>
  </si>
  <si>
    <t>Account Lockout Policy security settings are not registry keys.</t>
  </si>
  <si>
    <t>SEC-4D16B880</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</si>
  <si>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</si>
  <si>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threshold</t>
    </r>
  </si>
  <si>
    <r>
      <rPr>
        <sz val="11"/>
        <color rgb="FF000000"/>
        <rFont val="Calibri"/>
      </rPr>
      <t>Account lockout threshold</t>
    </r>
    <r>
      <rPr>
        <sz val="11"/>
        <color rgb="FF000000"/>
        <rFont val="Calibri"/>
      </rPr>
      <t xml:space="preserve">
</t>
    </r>
    <r>
      <rPr>
        <sz val="11"/>
        <color rgb="FF000000"/>
        <rFont val="Calibri"/>
      </rPr>
      <t>This security setting determines the number of failed logon attempts that causes a user account to be locked out. A locked-out account cannot be used until it is reset by an administrator or until the lockout duration for the account has expired. You can set a value between 0 and 999 failed logon attempts. If you set the value to 0, the account will never be locked out.</t>
    </r>
    <r>
      <rPr>
        <sz val="11"/>
        <color rgb="FF000000"/>
        <rFont val="Calibri"/>
      </rPr>
      <t xml:space="preserve">
</t>
    </r>
    <r>
      <rPr>
        <sz val="11"/>
        <color rgb="FF000000"/>
        <rFont val="Calibri"/>
      </rPr>
      <t>Failed password attempts against workstations or member servers that have been locked using either CTRL+ALT+DELETE or password-protected screen savers count as failed logon attempts.</t>
    </r>
    <r>
      <rPr>
        <sz val="11"/>
        <color rgb="FF000000"/>
        <rFont val="Calibri"/>
      </rPr>
      <t xml:space="preserve">
</t>
    </r>
    <r>
      <rPr>
        <sz val="11"/>
        <color rgb="FF000000"/>
        <rFont val="Calibri"/>
      </rPr>
      <t>Default: 0.</t>
    </r>
  </si>
  <si>
    <t>SEC-74E04F65</t>
  </si>
  <si>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</si>
  <si>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Policy\Allow Administrator account lockout</t>
    </r>
  </si>
  <si>
    <r>
      <rPr>
        <sz val="11"/>
        <color rgb="FF000000"/>
        <rFont val="Calibri"/>
      </rPr>
      <t>This security setting determines whether the builtin Administrator account is subject to account lockout policy.</t>
    </r>
  </si>
  <si>
    <t>SEC-84D79337</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</si>
  <si>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</si>
  <si>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</si>
  <si>
    <r>
      <rPr>
        <sz val="11"/>
        <color rgb="FF000000"/>
        <rFont val="Calibri"/>
      </rPr>
      <t>Reset account lockout counter after</t>
    </r>
    <r>
      <rPr>
        <sz val="11"/>
        <color rgb="FF000000"/>
        <rFont val="Calibri"/>
      </rPr>
      <t xml:space="preserve">
</t>
    </r>
    <r>
      <rPr>
        <sz val="11"/>
        <color rgb="FF000000"/>
        <rFont val="Calibri"/>
      </rPr>
      <t>This security setting determines the number of minutes that must elapse after a failed logon attempt before the failed logon attempt counter is reset to 0 bad logon attempts. The available range is 1 minute to 99,999 minutes.</t>
    </r>
    <r>
      <rPr>
        <sz val="11"/>
        <color rgb="FF000000"/>
        <rFont val="Calibri"/>
      </rPr>
      <t xml:space="preserve">
</t>
    </r>
    <r>
      <rPr>
        <sz val="11"/>
        <color rgb="FF000000"/>
        <rFont val="Calibri"/>
      </rPr>
      <t>If an account lockout threshold is defined, this reset time must be less than or equal to the Account lockout duration.</t>
    </r>
    <r>
      <rPr>
        <sz val="11"/>
        <color rgb="FF000000"/>
        <rFont val="Calibri"/>
      </rPr>
      <t xml:space="preserve">
</t>
    </r>
    <r>
      <rPr>
        <sz val="11"/>
        <color rgb="FF000000"/>
        <rFont val="Calibri"/>
      </rPr>
      <t>Default: None, because this policy setting only has meaning when an Account lockout threshold is specified.</t>
    </r>
  </si>
  <si>
    <t>Password Policy</t>
  </si>
  <si>
    <t>SEC-322878CD</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</si>
  <si>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</si>
  <si>
    <r>
      <rPr>
        <sz val="11"/>
        <color rgb="FF000000"/>
        <rFont val="Calibri"/>
      </rPr>
      <t xml:space="preserve">Set the following UI path to </t>
    </r>
    <r>
      <rPr>
        <b/>
        <sz val="11"/>
        <color rgb="FF000000"/>
        <rFont val="Calibri"/>
      </rPr>
      <t>24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Policy\Enforce password history</t>
    </r>
  </si>
  <si>
    <r>
      <rPr>
        <sz val="11"/>
        <color rgb="FF000000"/>
        <rFont val="Calibri"/>
      </rPr>
      <t>Enforce password history</t>
    </r>
    <r>
      <rPr>
        <sz val="11"/>
        <color rgb="FF000000"/>
        <rFont val="Calibri"/>
      </rPr>
      <t xml:space="preserve">
</t>
    </r>
    <r>
      <rPr>
        <sz val="11"/>
        <color rgb="FF000000"/>
        <rFont val="Calibri"/>
      </rPr>
      <t>This security setting determines the number of unique new passwords that have to be associated with a user account before an old password can be reused. The value must be between 0 and 24 passwords.</t>
    </r>
    <r>
      <rPr>
        <sz val="11"/>
        <color rgb="FF000000"/>
        <rFont val="Calibri"/>
      </rPr>
      <t xml:space="preserve">
</t>
    </r>
    <r>
      <rPr>
        <sz val="11"/>
        <color rgb="FF000000"/>
        <rFont val="Calibri"/>
      </rPr>
      <t>This policy enables administrators to enhance security by ensuring that old passwords are not reused continually.</t>
    </r>
    <r>
      <rPr>
        <sz val="11"/>
        <color rgb="FF000000"/>
        <rFont val="Calibri"/>
      </rPr>
      <t xml:space="preserve">
</t>
    </r>
    <r>
      <rPr>
        <sz val="11"/>
        <color rgb="FF000000"/>
        <rFont val="Calibri"/>
      </rPr>
      <t>Default:</t>
    </r>
    <r>
      <rPr>
        <sz val="11"/>
        <color rgb="FF000000"/>
        <rFont val="Calibri"/>
      </rPr>
      <t xml:space="preserve">
</t>
    </r>
    <r>
      <rPr>
        <sz val="11"/>
        <color rgb="FF000000"/>
        <rFont val="Calibri"/>
      </rPr>
      <t>24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r>
      <rPr>
        <sz val="11"/>
        <color rgb="FF000000"/>
        <rFont val="Calibri"/>
      </rPr>
      <t xml:space="preserve">
</t>
    </r>
    <r>
      <rPr>
        <sz val="11"/>
        <color rgb="FF000000"/>
        <rFont val="Calibri"/>
      </rPr>
      <t>To maintain the effectiveness of the password history, do not allow passwords to be changed immediately after they were just changed by also enabling the Minimum password age security policy setting. For information about the minimum password age security policy setting, see Minimum password age.</t>
    </r>
  </si>
  <si>
    <t>Password Policy security settings are not registry keys.</t>
  </si>
  <si>
    <t>SEC-5666A28A</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</si>
  <si>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</si>
  <si>
    <r>
      <rPr>
        <sz val="11"/>
        <color rgb="FF000000"/>
        <rFont val="Calibri"/>
      </rPr>
      <t xml:space="preserve">Set the following UI path to </t>
    </r>
    <r>
      <rPr>
        <b/>
        <sz val="11"/>
        <color rgb="FF000000"/>
        <rFont val="Calibri"/>
      </rPr>
      <t>14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Policy\Minimum password length</t>
    </r>
  </si>
  <si>
    <r>
      <rPr>
        <sz val="11"/>
        <color rgb="FF000000"/>
        <rFont val="Calibri"/>
      </rPr>
      <t>Minimum password length</t>
    </r>
    <r>
      <rPr>
        <sz val="11"/>
        <color rgb="FF000000"/>
        <rFont val="Calibri"/>
      </rPr>
      <t xml:space="preserve">
</t>
    </r>
    <r>
      <rPr>
        <sz val="11"/>
        <color rgb="FF000000"/>
        <rFont val="Calibri"/>
      </rPr>
      <t>This security setting determines the least number of characters that a password for a user account may contain. You can set a value of between 1 and 14 characters, or you can establish that no password is required by setting the number of characters to 0.</t>
    </r>
    <r>
      <rPr>
        <sz val="11"/>
        <color rgb="FF000000"/>
        <rFont val="Calibri"/>
      </rPr>
      <t xml:space="preserve">
</t>
    </r>
    <r>
      <rPr>
        <sz val="11"/>
        <color rgb="FF000000"/>
        <rFont val="Calibri"/>
      </rPr>
      <t>Default:</t>
    </r>
    <r>
      <rPr>
        <sz val="11"/>
        <color rgb="FF000000"/>
        <rFont val="Calibri"/>
      </rPr>
      <t xml:space="preserve">
</t>
    </r>
    <r>
      <rPr>
        <sz val="11"/>
        <color rgb="FF000000"/>
        <rFont val="Calibri"/>
      </rPr>
      <t>7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</si>
  <si>
    <t>SEC-F79F345E</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</si>
  <si>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</si>
  <si>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</si>
  <si>
    <r>
      <rPr>
        <sz val="11"/>
        <color rgb="FF000000"/>
        <rFont val="Calibri"/>
      </rPr>
      <t>Password must meet complexity requirements</t>
    </r>
    <r>
      <rPr>
        <sz val="11"/>
        <color rgb="FF000000"/>
        <rFont val="Calibri"/>
      </rPr>
      <t xml:space="preserve">
</t>
    </r>
    <r>
      <rPr>
        <sz val="11"/>
        <color rgb="FF000000"/>
        <rFont val="Calibri"/>
      </rPr>
      <t>This security setting determines whether passwords must meet complexity requirements.</t>
    </r>
    <r>
      <rPr>
        <sz val="11"/>
        <color rgb="FF000000"/>
        <rFont val="Calibri"/>
      </rPr>
      <t xml:space="preserve">
</t>
    </r>
    <r>
      <rPr>
        <sz val="11"/>
        <color rgb="FF000000"/>
        <rFont val="Calibri"/>
      </rPr>
      <t>If this policy is enabled, passwords must meet the following minimum requirements:</t>
    </r>
    <r>
      <rPr>
        <sz val="11"/>
        <color rgb="FF000000"/>
        <rFont val="Calibri"/>
      </rPr>
      <t xml:space="preserve">
</t>
    </r>
    <r>
      <rPr>
        <sz val="11"/>
        <color rgb="FF000000"/>
        <rFont val="Calibri"/>
      </rPr>
      <t>Not contain the user's account name or parts of the user's full name that exceed two consecutive characters</t>
    </r>
    <r>
      <rPr>
        <sz val="11"/>
        <color rgb="FF000000"/>
        <rFont val="Calibri"/>
      </rPr>
      <t xml:space="preserve">
</t>
    </r>
    <r>
      <rPr>
        <sz val="11"/>
        <color rgb="FF000000"/>
        <rFont val="Calibri"/>
      </rPr>
      <t>Be at least six characters in length</t>
    </r>
    <r>
      <rPr>
        <sz val="11"/>
        <color rgb="FF000000"/>
        <rFont val="Calibri"/>
      </rPr>
      <t xml:space="preserve">
</t>
    </r>
    <r>
      <rPr>
        <sz val="11"/>
        <color rgb="FF000000"/>
        <rFont val="Calibri"/>
      </rPr>
      <t>Contain characters from three of the following four categories:</t>
    </r>
    <r>
      <rPr>
        <sz val="11"/>
        <color rgb="FF000000"/>
        <rFont val="Calibri"/>
      </rPr>
      <t xml:space="preserve">
</t>
    </r>
    <r>
      <rPr>
        <sz val="11"/>
        <color rgb="FF000000"/>
        <rFont val="Calibri"/>
      </rPr>
      <t>English uppercase characters (A through Z)</t>
    </r>
    <r>
      <rPr>
        <sz val="11"/>
        <color rgb="FF000000"/>
        <rFont val="Calibri"/>
      </rPr>
      <t xml:space="preserve">
</t>
    </r>
    <r>
      <rPr>
        <sz val="11"/>
        <color rgb="FF000000"/>
        <rFont val="Calibri"/>
      </rPr>
      <t>English lowercase characters (a through z)</t>
    </r>
    <r>
      <rPr>
        <sz val="11"/>
        <color rgb="FF000000"/>
        <rFont val="Calibri"/>
      </rPr>
      <t xml:space="preserve">
</t>
    </r>
    <r>
      <rPr>
        <sz val="11"/>
        <color rgb="FF000000"/>
        <rFont val="Calibri"/>
      </rPr>
      <t>Base 10 digits (0 through 9)</t>
    </r>
    <r>
      <rPr>
        <sz val="11"/>
        <color rgb="FF000000"/>
        <rFont val="Calibri"/>
      </rPr>
      <t xml:space="preserve">
</t>
    </r>
    <r>
      <rPr>
        <sz val="11"/>
        <color rgb="FF000000"/>
        <rFont val="Calibri"/>
      </rPr>
      <t>Non-alphabetic characters (for example, !, $, #, %)</t>
    </r>
    <r>
      <rPr>
        <sz val="11"/>
        <color rgb="FF000000"/>
        <rFont val="Calibri"/>
      </rPr>
      <t xml:space="preserve">
</t>
    </r>
    <r>
      <rPr>
        <sz val="11"/>
        <color rgb="FF000000"/>
        <rFont val="Calibri"/>
      </rPr>
      <t>Complexity requirements are enforced when passwords are changed or created.</t>
    </r>
    <r>
      <rPr>
        <sz val="11"/>
        <color rgb="FF000000"/>
        <rFont val="Calibri"/>
      </rPr>
      <t xml:space="preserve">
</t>
    </r>
    <r>
      <rPr>
        <sz val="11"/>
        <color rgb="FF000000"/>
        <rFont val="Calibri"/>
      </rPr>
      <t>Default:</t>
    </r>
    <r>
      <rPr>
        <sz val="11"/>
        <color rgb="FF000000"/>
        <rFont val="Calibri"/>
      </rPr>
      <t xml:space="preserve">
</t>
    </r>
    <r>
      <rPr>
        <sz val="11"/>
        <color rgb="FF000000"/>
        <rFont val="Calibri"/>
      </rPr>
      <t>Enabled on domain controllers.</t>
    </r>
    <r>
      <rPr>
        <sz val="11"/>
        <color rgb="FF000000"/>
        <rFont val="Calibri"/>
      </rPr>
      <t xml:space="preserve">
</t>
    </r>
    <r>
      <rPr>
        <sz val="11"/>
        <color rgb="FF000000"/>
        <rFont val="Calibri"/>
      </rPr>
      <t>Disabled on stand-alone servers.</t>
    </r>
    <r>
      <rPr>
        <sz val="11"/>
        <color rgb="FF000000"/>
        <rFont val="Calibri"/>
      </rPr>
      <t xml:space="preserve">
</t>
    </r>
    <r>
      <rPr>
        <sz val="11"/>
        <color rgb="FF000000"/>
        <rFont val="Calibri"/>
      </rPr>
      <t>Note: By default, member computers follow the configuration of their domain controllers.</t>
    </r>
  </si>
  <si>
    <t>SEC-5A29BD43</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</si>
  <si>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</si>
  <si>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</si>
  <si>
    <r>
      <rPr>
        <sz val="11"/>
        <color rgb="FF000000"/>
        <rFont val="Calibri"/>
      </rPr>
      <t>Store passwords using reversible encryption</t>
    </r>
    <r>
      <rPr>
        <sz val="11"/>
        <color rgb="FF000000"/>
        <rFont val="Calibri"/>
      </rPr>
      <t xml:space="preserve">
</t>
    </r>
    <r>
      <rPr>
        <sz val="11"/>
        <color rgb="FF000000"/>
        <rFont val="Calibri"/>
      </rPr>
      <t>This security setting determines whether the operating system stores passwords using reversible encryption.</t>
    </r>
    <r>
      <rPr>
        <sz val="11"/>
        <color rgb="FF000000"/>
        <rFont val="Calibri"/>
      </rPr>
      <t xml:space="preserve">
</t>
    </r>
    <r>
      <rPr>
        <sz val="11"/>
        <color rgb="FF000000"/>
        <rFont val="Calibri"/>
      </rPr>
      <t>This policy provides support for applications that use protocols that require knowledge of the user's password for authentication purposes. Storing passwords using reversible encryption is essentially the same as storing plaintext versions of the passwords. For this reason, this policy should never be enabled unless application requirements outweigh the need to protect password information.</t>
    </r>
    <r>
      <rPr>
        <sz val="11"/>
        <color rgb="FF000000"/>
        <rFont val="Calibri"/>
      </rPr>
      <t xml:space="preserve">
</t>
    </r>
    <r>
      <rPr>
        <sz val="11"/>
        <color rgb="FF000000"/>
        <rFont val="Calibri"/>
      </rPr>
      <t>This policy is required when using Challenge-Handshake Authentication Protocol (CHAP) authentication through remote access or Internet Authentication Services (IAS). It is also required when using Digest Authentication in Internet Information Services (IIS).</t>
    </r>
    <r>
      <rPr>
        <sz val="11"/>
        <color rgb="FF000000"/>
        <rFont val="Calibri"/>
      </rPr>
      <t xml:space="preserve">
</t>
    </r>
    <r>
      <rPr>
        <sz val="11"/>
        <color rgb="FF000000"/>
        <rFont val="Calibri"/>
      </rPr>
      <t>Default: Disabled.</t>
    </r>
  </si>
  <si>
    <t>Security Options</t>
  </si>
  <si>
    <t>SEC-BE8763E6</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</si>
  <si>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</si>
  <si>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</si>
  <si>
    <r>
      <rPr>
        <sz val="11"/>
        <color rgb="FF000000"/>
        <rFont val="Calibri"/>
      </rPr>
      <t>Accounts: Limit local account use of blank passwords to console logon only</t>
    </r>
    <r>
      <rPr>
        <sz val="11"/>
        <color rgb="FF000000"/>
        <rFont val="Calibri"/>
      </rPr>
      <t xml:space="preserve">
</t>
    </r>
    <r>
      <rPr>
        <sz val="11"/>
        <color rgb="FF000000"/>
        <rFont val="Calibri"/>
      </rPr>
      <t>This security setting determines whether local accounts that are not password protected can be used to log on from locations other than the physical computer console. If enabled, local accounts that are not password protected will only be able to log on at the computer's keyboard.</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Warning:</t>
    </r>
    <r>
      <rPr>
        <sz val="11"/>
        <color rgb="FF000000"/>
        <rFont val="Calibri"/>
      </rPr>
      <t xml:space="preserve">
</t>
    </r>
    <r>
      <rPr>
        <sz val="11"/>
        <color rgb="FF000000"/>
        <rFont val="Calibri"/>
      </rPr>
      <t>Computers that are not in physically secure locations should always enforce strong password policies for all local user accounts. Otherwise, anyone with physical access to the computer can log on by using a user account that does not have a password. This is especially important for portable computers.</t>
    </r>
    <r>
      <rPr>
        <sz val="11"/>
        <color rgb="FF000000"/>
        <rFont val="Calibri"/>
      </rPr>
      <t xml:space="preserve">
</t>
    </r>
    <r>
      <rPr>
        <sz val="11"/>
        <color rgb="FF000000"/>
        <rFont val="Calibri"/>
      </rPr>
      <t>If you apply this security policy to the Everyone group, no one will be able to log on through Remote Desktop Services.</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setting does not affect logons that use domain accounts.</t>
    </r>
    <r>
      <rPr>
        <sz val="11"/>
        <color rgb="FF000000"/>
        <rFont val="Calibri"/>
      </rPr>
      <t xml:space="preserve">
</t>
    </r>
    <r>
      <rPr>
        <sz val="11"/>
        <color rgb="FF000000"/>
        <rFont val="Calibri"/>
      </rPr>
      <t>It is possible for applications that use remote interactive logons to bypass this setting.</t>
    </r>
    <r>
      <rPr>
        <sz val="11"/>
        <color rgb="FF000000"/>
        <rFont val="Calibri"/>
      </rPr>
      <t xml:space="preserve">
</t>
    </r>
    <r>
      <rPr>
        <sz val="11"/>
        <color rgb="FF000000"/>
        <rFont val="Calibri"/>
      </rPr>
      <t>Note: Remote Desktop Services was called Terminal Services in previous versions of Windows Server.</t>
    </r>
  </si>
  <si>
    <t>MACHINE\System\CurrentControlSet\Control\Lsa\LimitBlankPasswordUse</t>
  </si>
  <si>
    <t>SEC-79D4533A</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</si>
  <si>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</si>
  <si>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</si>
  <si>
    <r>
      <rPr>
        <sz val="11"/>
        <color rgb="FF000000"/>
        <rFont val="Calibri"/>
      </rPr>
      <t>Audit: Force audit policy subcategory settings (Windows Vista or later) to override audit policy category settings.</t>
    </r>
    <r>
      <rPr>
        <sz val="11"/>
        <color rgb="FF000000"/>
        <rFont val="Calibri"/>
      </rPr>
      <t xml:space="preserve">
</t>
    </r>
    <r>
      <rPr>
        <sz val="11"/>
        <color rgb="FF000000"/>
        <rFont val="Calibri"/>
      </rPr>
      <t>Windows Vista and later versions of Windows allow audit policy to be managed in a more precise way using audit policy subcategories.  Setting audit policy at the category level will override the new subcategory audit policy feature.  Group Policy only allows audit policy to be set at the category level, and existing group policy may override the subcategory settings of new machines as they are joined to the domain or upgraded to Windows Vista or later versions.  To allow audit policy to be managed using subcategories without requiring a change to Group Policy, there is a new registry value in Windows Vista and later versions, SCENoApplyLegacyAuditPolicy, which prevents the application of category-level audit policy from Group Policy and from the Local Security Policy administrative tool.</t>
    </r>
    <r>
      <rPr>
        <sz val="11"/>
        <color rgb="FF000000"/>
        <rFont val="Calibri"/>
      </rPr>
      <t xml:space="preserve">
</t>
    </r>
    <r>
      <rPr>
        <sz val="11"/>
        <color rgb="FF000000"/>
        <rFont val="Calibri"/>
      </rPr>
      <t>If the category level audit policy set here is not consistent with the events that are currently being generated, the cause might be that this registry key is set.</t>
    </r>
    <r>
      <rPr>
        <sz val="11"/>
        <color rgb="FF000000"/>
        <rFont val="Calibri"/>
      </rPr>
      <t xml:space="preserve">
</t>
    </r>
    <r>
      <rPr>
        <sz val="11"/>
        <color rgb="FF000000"/>
        <rFont val="Calibri"/>
      </rPr>
      <t>Default: Disabled</t>
    </r>
  </si>
  <si>
    <t>MACHINE\System\CurrentControlSet\Control\Lsa\SCENoApplyLegacyAuditPolicy</t>
  </si>
  <si>
    <t>SEC-E4F47312</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</si>
  <si>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</si>
  <si>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</si>
  <si>
    <r>
      <rPr>
        <sz val="11"/>
        <color rgb="FF000000"/>
        <rFont val="Calibri"/>
      </rPr>
      <t>Domain member: Digitally encrypt or sign secure channel data (always)</t>
    </r>
    <r>
      <rPr>
        <sz val="11"/>
        <color rgb="FF000000"/>
        <rFont val="Calibri"/>
      </rPr>
      <t xml:space="preserve">
</t>
    </r>
    <r>
      <rPr>
        <sz val="11"/>
        <color rgb="FF000000"/>
        <rFont val="Calibri"/>
      </rPr>
      <t>This security setting determines whether all secure channel traffic initiated by the domain member must be signed or encrypted.</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all secure channel traffic initiated by the domain member meets minimum security requirements. Specifically it determines whether all secure channel traffic initiated by the domain member must be signed or encrypted. If this policy is enabled, then the secure channel will not be established unless either signing or encryption of all secure channel traffic is negotiated. If this policy is disabled, then encryption and signing of all secure channel traffic is negotiated with the Domain Controller in which case the level of signing and encryption depends on the version of the Domain Controller and the settings of the following two policies: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Domain member: Digitally sign secure channel data (when possible)</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Logon information transmitted over the secure channel is always encrypted regardless of whether encryption of ALL other secure channel traffic is negotiated or not.</t>
    </r>
  </si>
  <si>
    <t>MACHINE\System\CurrentControlSet\Services\Netlogon\Parameters\RequireSignOrSeal</t>
  </si>
  <si>
    <t>SEC-FC3E0339</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</si>
  <si>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</si>
  <si>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</si>
  <si>
    <r>
      <rPr>
        <sz val="11"/>
        <color rgb="FF000000"/>
        <rFont val="Calibri"/>
      </rPr>
      <t>Domain member: Digitally encrypt secure channel data (when possible)</t>
    </r>
    <r>
      <rPr>
        <sz val="11"/>
        <color rgb="FF000000"/>
        <rFont val="Calibri"/>
      </rPr>
      <t xml:space="preserve">
</t>
    </r>
    <r>
      <rPr>
        <sz val="11"/>
        <color rgb="FF000000"/>
        <rFont val="Calibri"/>
      </rPr>
      <t>This security setting determines whether a domain member attempts to negotiate encryption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passthrough authentication, LSA SID/name Lookup etc.</t>
    </r>
    <r>
      <rPr>
        <sz val="11"/>
        <color rgb="FF000000"/>
        <rFont val="Calibri"/>
      </rPr>
      <t xml:space="preserve">
</t>
    </r>
    <r>
      <rPr>
        <sz val="11"/>
        <color rgb="FF000000"/>
        <rFont val="Calibri"/>
      </rPr>
      <t>This setting determines whether or not the domain member attempts to negotiate encryption for all secure channel traffic that it initiates. If enabled, the domain member will request encryption of all secure channel traffic. If the domain controller supports encryption of all secure channel traffic, then all secure channel traffic will be encrypted. Otherwise only logon information transmitted over the secure channel will be encrypted. If this setting is disabled, then the domain member will not attempt to negotiate secure channel encryption.</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There is no known reason for disabling this setting. Besides unnecessarily reducing the potential confidentiality level of the secure channel, disabling this setting may unnecessarily reduce secure channel throughput, because concurrent API calls that use the secure channel are only possible when the secure channel is signed or encrypted.</t>
    </r>
    <r>
      <rPr>
        <sz val="11"/>
        <color rgb="FF000000"/>
        <rFont val="Calibri"/>
      </rPr>
      <t xml:space="preserve">
</t>
    </r>
    <r>
      <rPr>
        <sz val="11"/>
        <color rgb="FF000000"/>
        <rFont val="Calibri"/>
      </rPr>
      <t>Note: Domain controllers are also domain members and establish secure channels with other domain controllers in the same domain as well as domain controllers in trusted domains.</t>
    </r>
  </si>
  <si>
    <t>MACHINE\System\CurrentControlSet\Services\Netlogon\Parameters\SealSecureChannel</t>
  </si>
  <si>
    <t>SEC-E21F0429</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</si>
  <si>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</si>
  <si>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</si>
  <si>
    <r>
      <rPr>
        <sz val="11"/>
        <color rgb="FF000000"/>
        <rFont val="Calibri"/>
      </rPr>
      <t>Domain member: Digitally sign secure channel data (when possible)</t>
    </r>
    <r>
      <rPr>
        <sz val="11"/>
        <color rgb="FF000000"/>
        <rFont val="Calibri"/>
      </rPr>
      <t xml:space="preserve">
</t>
    </r>
    <r>
      <rPr>
        <sz val="11"/>
        <color rgb="FF000000"/>
        <rFont val="Calibri"/>
      </rPr>
      <t>This security setting determines whether a domain member attempts to negotiate signing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the domain member attempts to negotiate signing for all secure channel traffic that it initiates. If enabled, the domain member will request signing of all secure channel traffic. If the Domain Controller supports signing of all secure channel traffic, then all secure channel traffic will be signed which ensures that it cannot be tampered with in transit.</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the policy Domain member: Digitally encrypt or sign secure channel data (always) is enabled, then this policy is assumed to be enabled regardless of its current setting.</t>
    </r>
    <r>
      <rPr>
        <sz val="11"/>
        <color rgb="FF000000"/>
        <rFont val="Calibri"/>
      </rPr>
      <t xml:space="preserve">
</t>
    </r>
    <r>
      <rPr>
        <sz val="11"/>
        <color rgb="FF000000"/>
        <rFont val="Calibri"/>
      </rPr>
      <t>Domain controllers are also domain members and establish secure channels with other domain controllers in the same domain as well as domain controllers in trusted domains.</t>
    </r>
  </si>
  <si>
    <t>MACHINE\System\CurrentControlSet\Services\Netlogon\Parameters\SignSecureChannel</t>
  </si>
  <si>
    <t>SEC-D0655BAC</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</si>
  <si>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</si>
  <si>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</si>
  <si>
    <r>
      <rPr>
        <sz val="11"/>
        <color rgb="FF000000"/>
        <rFont val="Calibri"/>
      </rPr>
      <t>Domain member: Require strong (Windows 2000 or later) session key</t>
    </r>
    <r>
      <rPr>
        <sz val="11"/>
        <color rgb="FF000000"/>
        <rFont val="Calibri"/>
      </rPr>
      <t xml:space="preserve">
</t>
    </r>
    <r>
      <rPr>
        <sz val="11"/>
        <color rgb="FF000000"/>
        <rFont val="Calibri"/>
      </rPr>
      <t>This security setting determines whether 128-bit key strength is required for encrypted secure channel data.</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within the domain. This secure channel is used to perform operations such as NTLM passthrough authentication, LSA SID/name Lookup, and so on.</t>
    </r>
    <r>
      <rPr>
        <sz val="11"/>
        <color rgb="FF000000"/>
        <rFont val="Calibri"/>
      </rPr>
      <t xml:space="preserve">
</t>
    </r>
    <r>
      <rPr>
        <sz val="11"/>
        <color rgb="FF000000"/>
        <rFont val="Calibri"/>
      </rPr>
      <t>Depending on what version of Windows is running on the domain controller that the domain member is communicating with and the settings of the parameters:</t>
    </r>
    <r>
      <rPr>
        <sz val="11"/>
        <color rgb="FF000000"/>
        <rFont val="Calibri"/>
      </rPr>
      <t xml:space="preserve">
</t>
    </r>
    <r>
      <rPr>
        <sz val="11"/>
        <color rgb="FF000000"/>
        <rFont val="Calibri"/>
      </rPr>
      <t>Domain member: Digitally encrypt or sign secure channel data (always)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Some or all of the information that is transmitted over the secure channel will be encrypted. This policy setting determines whether or not 128-bit key strength is required for the secure channel information that is encrypted.</t>
    </r>
    <r>
      <rPr>
        <sz val="11"/>
        <color rgb="FF000000"/>
        <rFont val="Calibri"/>
      </rPr>
      <t xml:space="preserve">
</t>
    </r>
    <r>
      <rPr>
        <sz val="11"/>
        <color rgb="FF000000"/>
        <rFont val="Calibri"/>
      </rPr>
      <t>If this setting is enabled, then the secure channel will not be established unless 128-bit encryption can be performed. If this setting is disabled, then the key strength is negotiated with the domain controller.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In order to take advantage of this policy on member workstations and servers, all domain controllers that constitute the member's domain must be running Windows 2000 or later.</t>
    </r>
    <r>
      <rPr>
        <sz val="11"/>
        <color rgb="FF000000"/>
        <rFont val="Calibri"/>
      </rPr>
      <t xml:space="preserve">
</t>
    </r>
    <r>
      <rPr>
        <sz val="11"/>
        <color rgb="FF000000"/>
        <rFont val="Calibri"/>
      </rPr>
      <t>In order to take advantage of this policy on domain controllers, all domain controllers in the same domain as well as all trusted domains must run Windows 2000 or later.</t>
    </r>
  </si>
  <si>
    <t>MACHINE\System\CurrentControlSet\Services\Netlogon\Parameters\RequireStrongKey</t>
  </si>
  <si>
    <t>SEC-58C22FCA</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</si>
  <si>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</si>
  <si>
    <r>
      <rPr>
        <sz val="11"/>
        <color rgb="FF000000"/>
        <rFont val="Calibri"/>
      </rPr>
      <t xml:space="preserve">Set the following UI path to </t>
    </r>
    <r>
      <rPr>
        <b/>
        <sz val="11"/>
        <color rgb="FF000000"/>
        <rFont val="Calibri"/>
      </rPr>
      <t>900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</si>
  <si>
    <r>
      <rPr>
        <sz val="11"/>
        <color rgb="FF000000"/>
        <rFont val="Calibri"/>
      </rPr>
      <t>Interactive logon: Machine inactivity limit.</t>
    </r>
    <r>
      <rPr>
        <sz val="11"/>
        <color rgb="FF000000"/>
        <rFont val="Calibri"/>
      </rPr>
      <t xml:space="preserve">
</t>
    </r>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Default: not enforced.</t>
    </r>
  </si>
  <si>
    <t>MACHINE\Software\Microsoft\Windows\CurrentVersion\Policies\System\InactivityTimeoutSecs</t>
  </si>
  <si>
    <t>SEC-B237D65C</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</si>
  <si>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</si>
  <si>
    <r>
      <rPr>
        <sz val="11"/>
        <color rgb="FF000000"/>
        <rFont val="Calibri"/>
      </rPr>
      <t xml:space="preserve">Set the following UI path to </t>
    </r>
    <r>
      <rPr>
        <b/>
        <sz val="11"/>
        <color rgb="FF000000"/>
        <rFont val="Calibri"/>
      </rPr>
      <t>Lock Workstation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</si>
  <si>
    <r>
      <rPr>
        <sz val="11"/>
        <color rgb="FF000000"/>
        <rFont val="Calibri"/>
      </rPr>
      <t>Interactive logon: Smart card removal behavior</t>
    </r>
    <r>
      <rPr>
        <sz val="11"/>
        <color rgb="FF000000"/>
        <rFont val="Calibri"/>
      </rPr>
      <t xml:space="preserve">
</t>
    </r>
    <r>
      <rPr>
        <sz val="11"/>
        <color rgb="FF000000"/>
        <rFont val="Calibri"/>
      </rPr>
      <t>This security setting determines what happens when the smart card for a logged-on user is removed from the smart card reader.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No Action</t>
    </r>
    <r>
      <rPr>
        <sz val="11"/>
        <color rgb="FF000000"/>
        <rFont val="Calibri"/>
      </rPr>
      <t xml:space="preserve">
</t>
    </r>
    <r>
      <rPr>
        <sz val="11"/>
        <color rgb="FF000000"/>
        <rFont val="Calibri"/>
      </rPr>
      <t>ò Lock Workstation</t>
    </r>
    <r>
      <rPr>
        <sz val="11"/>
        <color rgb="FF000000"/>
        <rFont val="Calibri"/>
      </rPr>
      <t xml:space="preserve">
</t>
    </r>
    <r>
      <rPr>
        <sz val="11"/>
        <color rgb="FF000000"/>
        <rFont val="Calibri"/>
      </rPr>
      <t>ò Force Logoff</t>
    </r>
    <r>
      <rPr>
        <sz val="11"/>
        <color rgb="FF000000"/>
        <rFont val="Calibri"/>
      </rPr>
      <t xml:space="preserve">
</t>
    </r>
    <r>
      <rPr>
        <sz val="11"/>
        <color rgb="FF000000"/>
        <rFont val="Calibri"/>
      </rPr>
      <t>ò Disconnect if a Remote Desktop Services session</t>
    </r>
    <r>
      <rPr>
        <sz val="11"/>
        <color rgb="FF000000"/>
        <rFont val="Calibri"/>
      </rPr>
      <t xml:space="preserve">
</t>
    </r>
    <r>
      <rPr>
        <sz val="11"/>
        <color rgb="FF000000"/>
        <rFont val="Calibri"/>
      </rPr>
      <t>If you click Lock Workstation in the Properties dialog box for this policy,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If you click Force Logoff in the Properties dialog box for this policy, the user is automatically logged off when the smart card is removed.</t>
    </r>
    <r>
      <rPr>
        <sz val="11"/>
        <color rgb="FF000000"/>
        <rFont val="Calibri"/>
      </rPr>
      <t xml:space="preserve">
</t>
    </r>
    <r>
      <rPr>
        <sz val="11"/>
        <color rgb="FF000000"/>
        <rFont val="Calibri"/>
      </rPr>
      <t>If you click Disconnect if a Remote Desktop Services session, removal of the smart card disconnects the session without logging the user off. This allows the user to insert the smart card and resume the session later, or at another smart card reader-equipped computer, without having to log on again. If the session is local, this policy functions identically to Lock Workstation.</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This policy is not defined, which means that the system treats it as No action.</t>
    </r>
    <r>
      <rPr>
        <sz val="11"/>
        <color rgb="FF000000"/>
        <rFont val="Calibri"/>
      </rPr>
      <t xml:space="preserve">
</t>
    </r>
    <r>
      <rPr>
        <sz val="11"/>
        <color rgb="FF000000"/>
        <rFont val="Calibri"/>
      </rPr>
      <t>On Windows Vista and above: For this setting to work, the Smart Card Removal Policy service must be started.</t>
    </r>
  </si>
  <si>
    <t>MACHINE\Software\Microsoft\Windows NT\CurrentVersion\Winlogon\ScRemoveOption</t>
  </si>
  <si>
    <t>SEC-6B6C2D9D</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</si>
  <si>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</si>
  <si>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</si>
  <si>
    <r>
      <rPr>
        <sz val="11"/>
        <color rgb="FF000000"/>
        <rFont val="Calibri"/>
      </rPr>
      <t>Microsoft network client: Digitally sign communications (always)</t>
    </r>
    <r>
      <rPr>
        <sz val="11"/>
        <color rgb="FF000000"/>
        <rFont val="Calibri"/>
      </rPr>
      <t xml:space="preserve">
</t>
    </r>
    <r>
      <rPr>
        <sz val="11"/>
        <color rgb="FF000000"/>
        <rFont val="Calibri"/>
      </rPr>
      <t>This security setting determines whether packet signing is required by the SMB client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server is permitted.</t>
    </r>
    <r>
      <rPr>
        <sz val="11"/>
        <color rgb="FF000000"/>
        <rFont val="Calibri"/>
      </rPr>
      <t xml:space="preserve">
</t>
    </r>
    <r>
      <rPr>
        <sz val="11"/>
        <color rgb="FF000000"/>
        <rFont val="Calibri"/>
      </rPr>
      <t>If this setting is enabled, the Microsoft network client will not communicate with a Microsoft network server unless that server agrees to perform SMB packet signing. If this policy is disabled, SMB packet signing is negotiated between the client and server.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client-side packet signing must also be enabled. To enable client-side SMB packet signing, set Microsoft network client: Digitally sign communications (if server agrees).</t>
    </r>
    <r>
      <rPr>
        <sz val="11"/>
        <color rgb="FF000000"/>
        <rFont val="Calibri"/>
      </rPr>
      <t xml:space="preserve">
</t>
    </r>
    <r>
      <rPr>
        <sz val="11"/>
        <color rgb="FF000000"/>
        <rFont val="Calibri"/>
      </rPr>
      <t>Computers that have this policy set will not be able to communicate with computers that do not have server-side packet signing enabled. By default, server-side packet signing is enabled only on domain controllers running Windows 2000 and later.</t>
    </r>
    <r>
      <rPr>
        <sz val="11"/>
        <color rgb="FF000000"/>
        <rFont val="Calibri"/>
      </rPr>
      <t xml:space="preserve">
</t>
    </r>
    <r>
      <rPr>
        <sz val="11"/>
        <color rgb="FF000000"/>
        <rFont val="Calibri"/>
      </rPr>
      <t>Server-side packet signing can be enabled on computers running Windows 2000 and later by setting Microsoft network server: Digitally sign communications (if client agrees)</t>
    </r>
    <r>
      <rPr>
        <sz val="11"/>
        <color rgb="FF000000"/>
        <rFont val="Calibri"/>
      </rPr>
      <t xml:space="preserve">
</t>
    </r>
    <r>
      <rPr>
        <sz val="11"/>
        <color rgb="FF000000"/>
        <rFont val="Calibri"/>
      </rPr>
      <t>Server-side packet signing can be enabled on computers running Windows NT 4.0 Service Pack 3 and later by setting the following registry value to 1:</t>
    </r>
    <r>
      <rPr>
        <sz val="11"/>
        <color rgb="FF000000"/>
        <rFont val="Calibri"/>
      </rPr>
      <t xml:space="preserve">
</t>
    </r>
    <r>
      <rPr>
        <sz val="11"/>
        <color rgb="FF000000"/>
        <rFont val="Calibri"/>
      </rPr>
      <t>HKLM\System\CurrentControlSet\Services\LanManServer\Parameters\EnableSecuritySignature</t>
    </r>
    <r>
      <rPr>
        <sz val="11"/>
        <color rgb="FF000000"/>
        <rFont val="Calibri"/>
      </rPr>
      <t xml:space="preserve">
</t>
    </r>
    <r>
      <rPr>
        <sz val="11"/>
        <color rgb="FF000000"/>
        <rFont val="Calibri"/>
      </rPr>
      <t>Server-side packet signing cannot be enabled on computers running Windows 95 or Windows 98.</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operating systems,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impose up to a 15 percent performance hit on file service transactions.</t>
    </r>
  </si>
  <si>
    <t>MACHINE\System\CurrentControlSet\Services\LanmanWorkstation\Parameters\RequireSecuritySignature</t>
  </si>
  <si>
    <t>SEC-84649C51</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</si>
  <si>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</si>
  <si>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</si>
  <si>
    <r>
      <rPr>
        <sz val="11"/>
        <color rgb="FF000000"/>
        <rFont val="Calibri"/>
      </rPr>
      <t>Microsoft network client: Send unencrypted password to connect to third-party SMB servers</t>
    </r>
    <r>
      <rPr>
        <sz val="11"/>
        <color rgb="FF000000"/>
        <rFont val="Calibri"/>
      </rPr>
      <t xml:space="preserve">
</t>
    </r>
    <r>
      <rPr>
        <sz val="11"/>
        <color rgb="FF000000"/>
        <rFont val="Calibri"/>
      </rPr>
      <t>If this security setting is enabled, the Server Message Block (SMB) redirector is allowed to send plaintext passwords to non-Microsoft SMB servers that do not support password encryption during authentication.</t>
    </r>
    <r>
      <rPr>
        <sz val="11"/>
        <color rgb="FF000000"/>
        <rFont val="Calibri"/>
      </rPr>
      <t xml:space="preserve">
</t>
    </r>
    <r>
      <rPr>
        <sz val="11"/>
        <color rgb="FF000000"/>
        <rFont val="Calibri"/>
      </rPr>
      <t>Sending unencrypted passwords is a security risk.</t>
    </r>
    <r>
      <rPr>
        <sz val="11"/>
        <color rgb="FF000000"/>
        <rFont val="Calibri"/>
      </rPr>
      <t xml:space="preserve">
</t>
    </r>
    <r>
      <rPr>
        <sz val="11"/>
        <color rgb="FF000000"/>
        <rFont val="Calibri"/>
      </rPr>
      <t>Default: Disabled.</t>
    </r>
  </si>
  <si>
    <t>MACHINE\System\CurrentControlSet\Services\LanmanWorkstation\Parameters\EnablePlainTextPassword</t>
  </si>
  <si>
    <t>SEC-EEB5DF55</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</si>
  <si>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</si>
  <si>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</si>
  <si>
    <r>
      <rPr>
        <sz val="11"/>
        <color rgb="FF000000"/>
        <rFont val="Calibri"/>
      </rPr>
      <t>Microsoft network server: Digitally sign communications (always)</t>
    </r>
    <r>
      <rPr>
        <sz val="11"/>
        <color rgb="FF000000"/>
        <rFont val="Calibri"/>
      </rPr>
      <t xml:space="preserve">
</t>
    </r>
    <r>
      <rPr>
        <sz val="11"/>
        <color rgb="FF000000"/>
        <rFont val="Calibri"/>
      </rPr>
      <t>This security setting determines whether packet signing is required by the SMB server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client is permitted.</t>
    </r>
    <r>
      <rPr>
        <sz val="11"/>
        <color rgb="FF000000"/>
        <rFont val="Calibri"/>
      </rPr>
      <t xml:space="preserve">
</t>
    </r>
    <r>
      <rPr>
        <sz val="11"/>
        <color rgb="FF000000"/>
        <rFont val="Calibri"/>
      </rPr>
      <t>If this setting is enabled, the Microsoft network server will not communicate with a Microsoft network client unless that client agrees to perform SMB packet signing. If this setting is disabled, SMB packet signing is negotiated between the client and server.</t>
    </r>
    <r>
      <rPr>
        <sz val="11"/>
        <color rgb="FF000000"/>
        <rFont val="Calibri"/>
      </rPr>
      <t xml:space="preserve">
</t>
    </r>
    <r>
      <rPr>
        <sz val="11"/>
        <color rgb="FF000000"/>
        <rFont val="Calibri"/>
      </rPr>
      <t>Default:</t>
    </r>
    <r>
      <rPr>
        <sz val="11"/>
        <color rgb="FF000000"/>
        <rFont val="Calibri"/>
      </rPr>
      <t xml:space="preserve">
</t>
    </r>
    <r>
      <rPr>
        <sz val="11"/>
        <color rgb="FF000000"/>
        <rFont val="Calibri"/>
      </rPr>
      <t>Disabled for member servers.</t>
    </r>
    <r>
      <rPr>
        <sz val="11"/>
        <color rgb="FF000000"/>
        <rFont val="Calibri"/>
      </rPr>
      <t xml:space="preserve">
</t>
    </r>
    <r>
      <rPr>
        <sz val="11"/>
        <color rgb="FF000000"/>
        <rFont val="Calibri"/>
      </rPr>
      <t>Enabled for domain controllers.</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t>
    </r>
    <r>
      <rPr>
        <sz val="11"/>
        <color rgb="FF000000"/>
        <rFont val="Calibri"/>
      </rPr>
      <t xml:space="preserve">
</t>
    </r>
    <r>
      <rPr>
        <sz val="11"/>
        <color rgb="FF000000"/>
        <rFont val="Calibri"/>
      </rPr>
      <t>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degrade performance up to 15 percent on file service transactions.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server-side packet signing must also be enabled. To enable server-side SMB packet signing, set the following policy:</t>
    </r>
    <r>
      <rPr>
        <sz val="11"/>
        <color rgb="FF000000"/>
        <rFont val="Calibri"/>
      </rPr>
      <t xml:space="preserve">
</t>
    </r>
    <r>
      <rPr>
        <sz val="11"/>
        <color rgb="FF000000"/>
        <rFont val="Calibri"/>
      </rPr>
      <t>Microsoft network server: Digitally sign communications (if server agrees)</t>
    </r>
    <r>
      <rPr>
        <sz val="11"/>
        <color rgb="FF000000"/>
        <rFont val="Calibri"/>
      </rPr>
      <t xml:space="preserve">
</t>
    </r>
    <r>
      <rPr>
        <sz val="11"/>
        <color rgb="FF000000"/>
        <rFont val="Calibri"/>
      </rPr>
      <t>For Windows 2000 servers to negotiate signing with Windows NT 4.0 clients, the following registry value must be set to 1 on the Windows 2000 server:</t>
    </r>
    <r>
      <rPr>
        <sz val="11"/>
        <color rgb="FF000000"/>
        <rFont val="Calibri"/>
      </rPr>
      <t xml:space="preserve">
</t>
    </r>
    <r>
      <rPr>
        <sz val="11"/>
        <color rgb="FF000000"/>
        <rFont val="Calibri"/>
      </rPr>
      <t>HKLM\System\CurrentControlSet\Services\lanmanserver\parameters\enableW9xsecuritysignature</t>
    </r>
    <r>
      <rPr>
        <sz val="11"/>
        <color rgb="FF000000"/>
        <rFont val="Calibri"/>
      </rPr>
      <t xml:space="preserve">
</t>
    </r>
    <r>
      <rPr>
        <sz val="11"/>
        <color rgb="FF000000"/>
        <rFont val="Calibri"/>
      </rPr>
      <t>Computers that have this policy set will not communicate with computers that do not have client-side packet signing enabled. Client-side packet signing can be enabled on computers running Windows 2000 and later by setting the following policy:</t>
    </r>
  </si>
  <si>
    <t>MACHINE\System\CurrentControlSet\Services\LanManServer\Parameters\RequireSecuritySignature</t>
  </si>
  <si>
    <t>SEC-C9F7EA1C</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</si>
  <si>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</si>
  <si>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</si>
  <si>
    <r>
      <rPr>
        <sz val="11"/>
        <color rgb="FF000000"/>
        <rFont val="Calibri"/>
      </rPr>
      <t>Network access: Allow anonymous SID/name translation</t>
    </r>
    <r>
      <rPr>
        <sz val="11"/>
        <color rgb="FF000000"/>
        <rFont val="Calibri"/>
      </rPr>
      <t xml:space="preserve">
</t>
    </r>
    <r>
      <rPr>
        <sz val="11"/>
        <color rgb="FF000000"/>
        <rFont val="Calibri"/>
      </rPr>
      <t>This security setting determines if an anonymous user can request security identifier (SID) attributes for another user.</t>
    </r>
    <r>
      <rPr>
        <sz val="11"/>
        <color rgb="FF000000"/>
        <rFont val="Calibri"/>
      </rPr>
      <t xml:space="preserve">
</t>
    </r>
    <r>
      <rPr>
        <sz val="11"/>
        <color rgb="FF000000"/>
        <rFont val="Calibri"/>
      </rPr>
      <t>If this policy is enabled, a user with knowledge of an administrator's SID could contact a computer that has this policy enabled and use the SID to get the administrator's name.</t>
    </r>
    <r>
      <rPr>
        <sz val="11"/>
        <color rgb="FF000000"/>
        <rFont val="Calibri"/>
      </rPr>
      <t xml:space="preserve">
</t>
    </r>
    <r>
      <rPr>
        <sz val="11"/>
        <color rgb="FF000000"/>
        <rFont val="Calibri"/>
      </rPr>
      <t>Default on workstations and member servers: Disabled.</t>
    </r>
    <r>
      <rPr>
        <sz val="11"/>
        <color rgb="FF000000"/>
        <rFont val="Calibri"/>
      </rPr>
      <t xml:space="preserve">
</t>
    </r>
    <r>
      <rPr>
        <sz val="11"/>
        <color rgb="FF000000"/>
        <rFont val="Calibri"/>
      </rPr>
      <t>Default on domain controllers: Enabled.</t>
    </r>
  </si>
  <si>
    <t>Not a registry key</t>
  </si>
  <si>
    <t>SEC-6C9406B7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</si>
  <si>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</si>
  <si>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</si>
  <si>
    <r>
      <rPr>
        <sz val="11"/>
        <color rgb="FF000000"/>
        <rFont val="Calibri"/>
      </rPr>
      <t>Network access: Do not allow anonymous enumeration of SAM accounts</t>
    </r>
    <r>
      <rPr>
        <sz val="11"/>
        <color rgb="FF000000"/>
        <rFont val="Calibri"/>
      </rPr>
      <t xml:space="preserve">
</t>
    </r>
    <r>
      <rPr>
        <sz val="11"/>
        <color rgb="FF000000"/>
        <rFont val="Calibri"/>
      </rPr>
      <t>This security setting determines what additional permissions will be granted for anonymous connections to the computer.</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t>
    </r>
    <r>
      <rPr>
        <sz val="11"/>
        <color rgb="FF000000"/>
        <rFont val="Calibri"/>
      </rPr>
      <t xml:space="preserve">
</t>
    </r>
    <r>
      <rPr>
        <sz val="11"/>
        <color rgb="FF000000"/>
        <rFont val="Calibri"/>
      </rPr>
      <t>This security option allows additional restrictions to be placed on anonymous connections as follows:</t>
    </r>
    <r>
      <rPr>
        <sz val="11"/>
        <color rgb="FF000000"/>
        <rFont val="Calibri"/>
      </rPr>
      <t xml:space="preserve">
</t>
    </r>
    <r>
      <rPr>
        <sz val="11"/>
        <color rgb="FF000000"/>
        <rFont val="Calibri"/>
      </rPr>
      <t>Enabled: Do not allow enumeration of SAM accounts. This option replaces Everyone with Authenticated Users in the security permissions for resources.</t>
    </r>
    <r>
      <rPr>
        <sz val="11"/>
        <color rgb="FF000000"/>
        <rFont val="Calibri"/>
      </rPr>
      <t xml:space="preserve">
</t>
    </r>
    <r>
      <rPr>
        <sz val="11"/>
        <color rgb="FF000000"/>
        <rFont val="Calibri"/>
      </rPr>
      <t>Disabled: No additional restrictions. Rely on default permissions.</t>
    </r>
    <r>
      <rPr>
        <sz val="11"/>
        <color rgb="FF000000"/>
        <rFont val="Calibri"/>
      </rPr>
      <t xml:space="preserve">
</t>
    </r>
    <r>
      <rPr>
        <sz val="11"/>
        <color rgb="FF000000"/>
        <rFont val="Calibri"/>
      </rPr>
      <t>Default on workstations: Enabled.</t>
    </r>
    <r>
      <rPr>
        <sz val="11"/>
        <color rgb="FF000000"/>
        <rFont val="Calibri"/>
      </rPr>
      <t xml:space="preserve">
</t>
    </r>
    <r>
      <rPr>
        <sz val="11"/>
        <color rgb="FF000000"/>
        <rFont val="Calibri"/>
      </rPr>
      <t>Default on server:Disabled.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policy has no impact on domain controllers.</t>
    </r>
  </si>
  <si>
    <t>MACHINE\System\CurrentControlSet\Control\Lsa\RestrictAnonymousSAM</t>
  </si>
  <si>
    <t>SEC-FFAE52F7</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</si>
  <si>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</si>
  <si>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</si>
  <si>
    <r>
      <rPr>
        <sz val="11"/>
        <color rgb="FF000000"/>
        <rFont val="Calibri"/>
      </rPr>
      <t>Network access: Do not allow anonymous enumeration of SAM accounts and shares</t>
    </r>
    <r>
      <rPr>
        <sz val="11"/>
        <color rgb="FF000000"/>
        <rFont val="Calibri"/>
      </rPr>
      <t xml:space="preserve">
</t>
    </r>
    <r>
      <rPr>
        <sz val="11"/>
        <color rgb="FF000000"/>
        <rFont val="Calibri"/>
      </rPr>
      <t>This security setting determines whether anonymous enumeration of SAM accounts and shares is allowed.</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 If you do not want to allow anonymous enumeration of SAM accounts and shares, then enable this policy.</t>
    </r>
    <r>
      <rPr>
        <sz val="11"/>
        <color rgb="FF000000"/>
        <rFont val="Calibri"/>
      </rPr>
      <t xml:space="preserve">
</t>
    </r>
    <r>
      <rPr>
        <sz val="11"/>
        <color rgb="FF000000"/>
        <rFont val="Calibri"/>
      </rPr>
      <t>Default: Disabled.</t>
    </r>
  </si>
  <si>
    <t>MACHINE\System\CurrentControlSet\Control\Lsa\RestrictAnonymous</t>
  </si>
  <si>
    <t>SEC-9F84F3CE</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</si>
  <si>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</si>
  <si>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</si>
  <si>
    <r>
      <rPr>
        <sz val="11"/>
        <color rgb="FF000000"/>
        <rFont val="Calibri"/>
      </rPr>
      <t>Network access: Restrict anonymous access to Named Pipes and Shares</t>
    </r>
    <r>
      <rPr>
        <sz val="11"/>
        <color rgb="FF000000"/>
        <rFont val="Calibri"/>
      </rPr>
      <t xml:space="preserve">
</t>
    </r>
    <r>
      <rPr>
        <sz val="11"/>
        <color rgb="FF000000"/>
        <rFont val="Calibri"/>
      </rPr>
      <t>When enabled, this security setting restricts anonymous access to shares and pipes to the settings for:</t>
    </r>
    <r>
      <rPr>
        <sz val="11"/>
        <color rgb="FF000000"/>
        <rFont val="Calibri"/>
      </rPr>
      <t xml:space="preserve">
</t>
    </r>
    <r>
      <rPr>
        <sz val="11"/>
        <color rgb="FF000000"/>
        <rFont val="Calibri"/>
      </rPr>
      <t>Network access: Named pipes that can be accessed anonymously</t>
    </r>
    <r>
      <rPr>
        <sz val="11"/>
        <color rgb="FF000000"/>
        <rFont val="Calibri"/>
      </rPr>
      <t xml:space="preserve">
</t>
    </r>
    <r>
      <rPr>
        <sz val="11"/>
        <color rgb="FF000000"/>
        <rFont val="Calibri"/>
      </rPr>
      <t>Network access: Shares that can be accessed anonymously</t>
    </r>
    <r>
      <rPr>
        <sz val="11"/>
        <color rgb="FF000000"/>
        <rFont val="Calibri"/>
      </rPr>
      <t xml:space="preserve">
</t>
    </r>
    <r>
      <rPr>
        <sz val="11"/>
        <color rgb="FF000000"/>
        <rFont val="Calibri"/>
      </rPr>
      <t>Default: Enabled.</t>
    </r>
  </si>
  <si>
    <t>MACHINE\System\CurrentControlSet\Services\LanManServer\Parameters\RestrictNullSessAccess</t>
  </si>
  <si>
    <t>SEC-DEE79A11</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</si>
  <si>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</si>
  <si>
    <r>
      <rPr>
        <sz val="11"/>
        <color rgb="FF000000"/>
        <rFont val="Calibri"/>
      </rPr>
      <t xml:space="preserve">Set the following UI path to </t>
    </r>
    <r>
      <rPr>
        <b/>
        <sz val="11"/>
        <color rgb="FF000000"/>
        <rFont val="Calibri"/>
      </rPr>
      <t>O:BAG:BAD:(A;;RC;;;BA)</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</si>
  <si>
    <r>
      <rPr>
        <sz val="11"/>
        <color rgb="FF000000"/>
        <rFont val="Calibri"/>
      </rPr>
      <t>Network access: Restrict clients allowed to make remote calls to SAM</t>
    </r>
  </si>
  <si>
    <t>MACHINE\System\CurrentControlSet\Control\Lsa\RestrictRemoteSAM</t>
  </si>
  <si>
    <t>SEC-73133E5E</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</si>
  <si>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</si>
  <si>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</si>
  <si>
    <r>
      <rPr>
        <sz val="11"/>
        <color rgb="FF000000"/>
        <rFont val="Calibri"/>
      </rPr>
      <t>Network security: Allow LocalSystem NULL session fallback</t>
    </r>
    <r>
      <rPr>
        <sz val="11"/>
        <color rgb="FF000000"/>
        <rFont val="Calibri"/>
      </rPr>
      <t xml:space="preserve">
</t>
    </r>
    <r>
      <rPr>
        <sz val="11"/>
        <color rgb="FF000000"/>
        <rFont val="Calibri"/>
      </rPr>
      <t>Allow NTLM to fall back to NULL session when used with LocalSystem.</t>
    </r>
    <r>
      <rPr>
        <sz val="11"/>
        <color rgb="FF000000"/>
        <rFont val="Calibri"/>
      </rPr>
      <t xml:space="preserve">
</t>
    </r>
    <r>
      <rPr>
        <sz val="11"/>
        <color rgb="FF000000"/>
        <rFont val="Calibri"/>
      </rPr>
      <t>The default is TRUE up to Windows Vista and FALSE in Windows 7.</t>
    </r>
  </si>
  <si>
    <t>MACHINE\System\CurrentControlSet\Control\Lsa\MSV1_0\allownullsessionfallback</t>
  </si>
  <si>
    <t>SEC-876A675C</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</si>
  <si>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</si>
  <si>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</si>
  <si>
    <r>
      <rPr>
        <sz val="11"/>
        <color rgb="FF000000"/>
        <rFont val="Calibri"/>
      </rPr>
      <t>Network security: Do not store LAN Manager hash value on next password change</t>
    </r>
    <r>
      <rPr>
        <sz val="11"/>
        <color rgb="FF000000"/>
        <rFont val="Calibri"/>
      </rPr>
      <t xml:space="preserve">
</t>
    </r>
    <r>
      <rPr>
        <sz val="11"/>
        <color rgb="FF000000"/>
        <rFont val="Calibri"/>
      </rPr>
      <t>This security setting determines if, at the next password change, the LAN Manager (LM) hash value for the new password is stored. The LM hash is relatively weak and prone to attack, as compared with the cryptographically stronger Windows NT hash. Since the LM hash is stored on the local computer in the security database the passwords can be compromised if the security database is attacked.</t>
    </r>
    <r>
      <rPr>
        <sz val="11"/>
        <color rgb="FF000000"/>
        <rFont val="Calibri"/>
      </rPr>
      <t xml:space="preserve">
</t>
    </r>
    <r>
      <rPr>
        <sz val="11"/>
        <color rgb="FF000000"/>
        <rFont val="Calibri"/>
      </rPr>
      <t>Default on Windows Vista: Enabled</t>
    </r>
    <r>
      <rPr>
        <sz val="11"/>
        <color rgb="FF000000"/>
        <rFont val="Calibri"/>
      </rPr>
      <t xml:space="preserve">
</t>
    </r>
    <r>
      <rPr>
        <sz val="11"/>
        <color rgb="FF000000"/>
        <rFont val="Calibri"/>
      </rPr>
      <t>Default on Windows XP: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Windows 2000 Service Pack 2 (SP2) and above offer compatibility with authentication to previous versions of Windows, such as Microsoft Windows NT 4.0.</t>
    </r>
    <r>
      <rPr>
        <sz val="11"/>
        <color rgb="FF000000"/>
        <rFont val="Calibri"/>
      </rPr>
      <t xml:space="preserve">
</t>
    </r>
    <r>
      <rPr>
        <sz val="11"/>
        <color rgb="FF000000"/>
        <rFont val="Calibri"/>
      </rPr>
      <t>This setting can affect the ability of computers running Windows 2000 Server, Windows 2000 Professional, Windows XP, and the Windows Server 2003 family to communicate with computers running Windows 95 and Windows 98.</t>
    </r>
  </si>
  <si>
    <t>MACHINE\System\CurrentControlSet\Control\Lsa\NoLMHash</t>
  </si>
  <si>
    <t>SEC-92A87BD6</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</si>
  <si>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</si>
  <si>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</si>
  <si>
    <r>
      <rPr>
        <sz val="11"/>
        <color rgb="FF000000"/>
        <rFont val="Calibri"/>
      </rPr>
      <t>Network security: LAN Manager authentication level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security setting determines which challenge/response authentication protocol is used for network logons. This choice affects the level of authentication protocol used by clients, the level of session security negotiated, and the level of authentication accepted by servers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Send LM &amp; NTLM responses: Clients use LM and NTLM authentication and never use NTLMv2 session security; domain controllers accept LM, NTLM, and NTLMv2 authentication.</t>
    </r>
    <r>
      <rPr>
        <sz val="11"/>
        <color rgb="FF000000"/>
        <rFont val="Calibri"/>
      </rPr>
      <t xml:space="preserve">
</t>
    </r>
    <r>
      <rPr>
        <sz val="11"/>
        <color rgb="FF000000"/>
        <rFont val="Calibri"/>
      </rPr>
      <t>Send LM &amp; NTLM - use NTLMv2 session security if negotiated: Clients use LM and NTLM authentication and use NTLMv2 session security if the server supports it; domain controllers accept LM, NTLM, and NTLMv2 authentication.</t>
    </r>
    <r>
      <rPr>
        <sz val="11"/>
        <color rgb="FF000000"/>
        <rFont val="Calibri"/>
      </rPr>
      <t xml:space="preserve">
</t>
    </r>
    <r>
      <rPr>
        <sz val="11"/>
        <color rgb="FF000000"/>
        <rFont val="Calibri"/>
      </rPr>
      <t>Send NTLM response only: Clients use NTLM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 Clients use NTLMv2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only\\refuse LM: Clients use NTLMv2 authentication only and use NTLMv2 session security if the server supports it; domain controllers refuse LM (accept only NTLM and NTLMv2 authentication).</t>
    </r>
    <r>
      <rPr>
        <sz val="11"/>
        <color rgb="FF000000"/>
        <rFont val="Calibri"/>
      </rPr>
      <t xml:space="preserve">
</t>
    </r>
    <r>
      <rPr>
        <sz val="11"/>
        <color rgb="FF000000"/>
        <rFont val="Calibri"/>
      </rPr>
      <t>Send NTLMv2 response only\\refuse LM &amp; NTLM: Clients use NTLMv2 authentication only and use NTLMv2 session security if the server supports it; domain controllers refuse LM and NTLM (accept only NTLMv2 authentication).</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 not support NTLMv2. Computers running Windows 95 and Windows 98 did not support NTLM.</t>
    </r>
    <r>
      <rPr>
        <sz val="11"/>
        <color rgb="FF000000"/>
        <rFont val="Calibri"/>
      </rPr>
      <t xml:space="preserve">
</t>
    </r>
    <r>
      <rPr>
        <sz val="11"/>
        <color rgb="FF000000"/>
        <rFont val="Calibri"/>
      </rPr>
      <t>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Windows 2000 and windows XP "send LM &amp; NTLM responses on server"</t>
    </r>
    <r>
      <rPr>
        <sz val="11"/>
        <color rgb="FF000000"/>
        <rFont val="Calibri"/>
      </rPr>
      <t xml:space="preserve">
</t>
    </r>
    <r>
      <rPr>
        <sz val="11"/>
        <color rgb="FF000000"/>
        <rFont val="Calibri"/>
      </rPr>
      <t>Windows Server 2003: Send NTLM response only</t>
    </r>
    <r>
      <rPr>
        <sz val="11"/>
        <color rgb="FF000000"/>
        <rFont val="Calibri"/>
      </rPr>
      <t xml:space="preserve">
</t>
    </r>
    <r>
      <rPr>
        <sz val="11"/>
        <color rgb="FF000000"/>
        <rFont val="Calibri"/>
      </rPr>
      <t>Windows Vista and Windows Server 2008: Send NTLMv2 response only</t>
    </r>
  </si>
  <si>
    <t>MACHINE\System\CurrentControlSet\Control\Lsa\LmCompatibilityLevel</t>
  </si>
  <si>
    <t>SEC-5D317A35</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</si>
  <si>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</si>
  <si>
    <r>
      <rPr>
        <sz val="11"/>
        <color rgb="FF000000"/>
        <rFont val="Calibri"/>
      </rPr>
      <t xml:space="preserve">Set the following UI path to </t>
    </r>
    <r>
      <rPr>
        <b/>
        <sz val="11"/>
        <color rgb="FF000000"/>
        <rFont val="Calibri"/>
      </rPr>
      <t>Negotiate signing</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</si>
  <si>
    <r>
      <rPr>
        <sz val="11"/>
        <color rgb="FF000000"/>
        <rFont val="Calibri"/>
      </rPr>
      <t>Network security: LDAP client signing requirements</t>
    </r>
    <r>
      <rPr>
        <sz val="11"/>
        <color rgb="FF000000"/>
        <rFont val="Calibri"/>
      </rPr>
      <t xml:space="preserve">
</t>
    </r>
    <r>
      <rPr>
        <sz val="11"/>
        <color rgb="FF000000"/>
        <rFont val="Calibri"/>
      </rPr>
      <t>This security setting determines the level of data signing that is requested on behalf of clients issuing LDAP BIND requests, as follows:</t>
    </r>
    <r>
      <rPr>
        <sz val="11"/>
        <color rgb="FF000000"/>
        <rFont val="Calibri"/>
      </rPr>
      <t xml:space="preserve">
</t>
    </r>
    <r>
      <rPr>
        <sz val="11"/>
        <color rgb="FF000000"/>
        <rFont val="Calibri"/>
      </rPr>
      <t>None: The LDAP BIND request is issued with the options that are specified by the caller.</t>
    </r>
    <r>
      <rPr>
        <sz val="11"/>
        <color rgb="FF000000"/>
        <rFont val="Calibri"/>
      </rPr>
      <t xml:space="preserve">
</t>
    </r>
    <r>
      <rPr>
        <sz val="11"/>
        <color rgb="FF000000"/>
        <rFont val="Calibri"/>
      </rPr>
      <t>Negotiate signing: If Transport Layer Security/Secure Sockets Layer (TLS\SSL) has not been started, the LDAP BIND request is initiated with the LDAP data signing option set in addition to the options specified by the caller. If TLS\SSL has been started, the LDAP BIND request is initiated with the options that are specified by the caller.</t>
    </r>
    <r>
      <rPr>
        <sz val="11"/>
        <color rgb="FF000000"/>
        <rFont val="Calibri"/>
      </rPr>
      <t xml:space="preserve">
</t>
    </r>
    <r>
      <rPr>
        <sz val="11"/>
        <color rgb="FF000000"/>
        <rFont val="Calibri"/>
      </rPr>
      <t>Require signature: This is the same as Negotiate signing. However, if the LDAP server's intermediate saslBindInProgress response does not indicate that LDAP traffic signing is required, the caller is told that the LDAP BIND command request failed.</t>
    </r>
    <r>
      <rPr>
        <sz val="11"/>
        <color rgb="FF000000"/>
        <rFont val="Calibri"/>
      </rPr>
      <t xml:space="preserve">
</t>
    </r>
    <r>
      <rPr>
        <sz val="11"/>
        <color rgb="FF000000"/>
        <rFont val="Calibri"/>
      </rPr>
      <t>Caution</t>
    </r>
    <r>
      <rPr>
        <sz val="11"/>
        <color rgb="FF000000"/>
        <rFont val="Calibri"/>
      </rPr>
      <t xml:space="preserve">
</t>
    </r>
    <r>
      <rPr>
        <sz val="11"/>
        <color rgb="FF000000"/>
        <rFont val="Calibri"/>
      </rPr>
      <t>If you set the server to Require signature, you must also set the client. Not setting the client results in a loss of connection with the server.</t>
    </r>
    <r>
      <rPr>
        <sz val="11"/>
        <color rgb="FF000000"/>
        <rFont val="Calibri"/>
      </rPr>
      <t xml:space="preserve">
</t>
    </r>
    <r>
      <rPr>
        <sz val="11"/>
        <color rgb="FF000000"/>
        <rFont val="Calibri"/>
      </rPr>
      <t>Note: This setting does not have any impact on ldap_simple_bind or ldap_simple_bind_s. No Microsoft LDAP clients that are shipped with Windows XP Professional use ldap_simple_bind or ldap_simple_bind_s to talk to a domain controller.</t>
    </r>
    <r>
      <rPr>
        <sz val="11"/>
        <color rgb="FF000000"/>
        <rFont val="Calibri"/>
      </rPr>
      <t xml:space="preserve">
</t>
    </r>
    <r>
      <rPr>
        <sz val="11"/>
        <color rgb="FF000000"/>
        <rFont val="Calibri"/>
      </rPr>
      <t>Default: Negotiate signing.</t>
    </r>
  </si>
  <si>
    <t>MACHINE\System\CurrentControlSet\Services\LDAP\LDAPClientIntegrity</t>
  </si>
  <si>
    <t>SEC-3E36481C</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</si>
  <si>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</si>
  <si>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and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</si>
  <si>
    <r>
      <rPr>
        <sz val="11"/>
        <color rgb="FF000000"/>
        <rFont val="Calibri"/>
      </rPr>
      <t>Network security: Minimum session security for NTLM SSP based (including secure RPC) clients</t>
    </r>
    <r>
      <rPr>
        <sz val="11"/>
        <color rgb="FF000000"/>
        <rFont val="Calibri"/>
      </rPr>
      <t xml:space="preserve">
</t>
    </r>
    <r>
      <rPr>
        <sz val="11"/>
        <color rgb="FF000000"/>
        <rFont val="Calibri"/>
      </rPr>
      <t>This security setting allows a client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NTLMv2 protocol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</si>
  <si>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MACHINE\System\CurrentControlSet\Control\Lsa\MSV1_0\NTLMMinClientSec</t>
  </si>
  <si>
    <t>SEC-F23235A0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</si>
  <si>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</si>
  <si>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and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</si>
  <si>
    <r>
      <rPr>
        <sz val="11"/>
        <color rgb="FF000000"/>
        <rFont val="Calibri"/>
      </rPr>
      <t>Network security: Minimum session security for NTLM SSP based (including secure RPC) servers</t>
    </r>
    <r>
      <rPr>
        <sz val="11"/>
        <color rgb="FF000000"/>
        <rFont val="Calibri"/>
      </rPr>
      <t xml:space="preserve">
</t>
    </r>
    <r>
      <rPr>
        <sz val="11"/>
        <color rgb="FF000000"/>
        <rFont val="Calibri"/>
      </rPr>
      <t>This security setting allows a server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message integrity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</si>
  <si>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MACHINE\System\CurrentControlSet\Control\Lsa\MSV1_0\NTLMMinServerSec</t>
  </si>
  <si>
    <t>SEC-67DE3A4C</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</si>
  <si>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</si>
  <si>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</si>
  <si>
    <r>
      <rPr>
        <sz val="11"/>
        <color rgb="FF000000"/>
        <rFont val="Calibri"/>
      </rPr>
      <t>System objects: Strengthen default permissions of internal system objects (e.g., Symbolic Links)</t>
    </r>
    <r>
      <rPr>
        <sz val="11"/>
        <color rgb="FF000000"/>
        <rFont val="Calibri"/>
      </rPr>
      <t xml:space="preserve">
</t>
    </r>
    <r>
      <rPr>
        <sz val="11"/>
        <color rgb="FF000000"/>
        <rFont val="Calibri"/>
      </rPr>
      <t>This security setting determines the strength of the default discretionary access control list (DACL) for objects.</t>
    </r>
    <r>
      <rPr>
        <sz val="11"/>
        <color rgb="FF000000"/>
        <rFont val="Calibri"/>
      </rPr>
      <t xml:space="preserve">
</t>
    </r>
    <r>
      <rPr>
        <sz val="11"/>
        <color rgb="FF000000"/>
        <rFont val="Calibri"/>
      </rPr>
      <t>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If this policy is enabled, the default DACL is stronger, allowing users who are not administrators to read shared objects but not allowing these users to modify shared objects that they did not create.</t>
    </r>
    <r>
      <rPr>
        <sz val="11"/>
        <color rgb="FF000000"/>
        <rFont val="Calibri"/>
      </rPr>
      <t xml:space="preserve">
</t>
    </r>
    <r>
      <rPr>
        <sz val="11"/>
        <color rgb="FF000000"/>
        <rFont val="Calibri"/>
      </rPr>
      <t>Default: Enabled.</t>
    </r>
  </si>
  <si>
    <t>MACHINE\System\CurrentControlSet\Control\Session Manager\ProtectionMode</t>
  </si>
  <si>
    <t>SEC-9E323B9C</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</si>
  <si>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</si>
  <si>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</si>
  <si>
    <r>
      <rPr>
        <sz val="11"/>
        <color rgb="FF000000"/>
        <rFont val="Calibri"/>
      </rPr>
      <t>User Account Control: Admin Approval Mode for the Built-in Administrator account</t>
    </r>
    <r>
      <rPr>
        <sz val="11"/>
        <color rgb="FF000000"/>
        <rFont val="Calibri"/>
      </rPr>
      <t xml:space="preserve">
</t>
    </r>
    <r>
      <rPr>
        <sz val="11"/>
        <color rgb="FF000000"/>
        <rFont val="Calibri"/>
      </rPr>
      <t>This security setting determines the behavior of Admin Approval mode for the Built-in Administrator account.</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The Built-in Administrator will logon in Admin Approval Mode.  By default any operation that requires elevation of privilege will prompt the Consent Admin to choose either Permit or Deny.</t>
    </r>
    <r>
      <rPr>
        <sz val="11"/>
        <color rgb="FF000000"/>
        <rFont val="Calibri"/>
      </rPr>
      <t xml:space="preserve">
</t>
    </r>
    <r>
      <rPr>
        <sz val="11"/>
        <color rgb="FF000000"/>
        <rFont val="Calibri"/>
      </rPr>
      <t>ò Disabled: The Built-in Administrator will logon in XP compatible mode and run all applications by default with full administrative privilege.</t>
    </r>
    <r>
      <rPr>
        <sz val="11"/>
        <color rgb="FF000000"/>
        <rFont val="Calibri"/>
      </rPr>
      <t xml:space="preserve">
</t>
    </r>
    <r>
      <rPr>
        <sz val="11"/>
        <color rgb="FF000000"/>
        <rFont val="Calibri"/>
      </rPr>
      <t>Default: Disabled</t>
    </r>
  </si>
  <si>
    <t>SOFTWARE\Microsoft\Windows\CurrentVersion\Policies\System\FilterAdministratorToken</t>
  </si>
  <si>
    <t>SEC-EEDBEA47</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</si>
  <si>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</si>
  <si>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</si>
  <si>
    <r>
      <rPr>
        <sz val="11"/>
        <color rgb="FF000000"/>
        <rFont val="Calibri"/>
      </rPr>
      <t>User Account Control: Behavior of the elevation prompt for administrators in Admin Approval Mode</t>
    </r>
    <r>
      <rPr>
        <sz val="11"/>
        <color rgb="FF000000"/>
        <rFont val="Calibri"/>
      </rPr>
      <t xml:space="preserve">
</t>
    </r>
    <r>
      <rPr>
        <sz val="11"/>
        <color rgb="FF000000"/>
        <rFont val="Calibri"/>
      </rPr>
      <t>This security setting determines the behavior of the elevation prompt for administrators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consent: An operation that requires elevation of privilege will prompt the Consent Admin to select either Permit or Deny.  If the Consent Admin selects Permit the operation will continue with their highest available privilege.  This option allows users to enter their name and password to perform a privileged task.</t>
    </r>
    <r>
      <rPr>
        <sz val="11"/>
        <color rgb="FF000000"/>
        <rFont val="Calibri"/>
      </rPr>
      <t xml:space="preserve">
</t>
    </r>
    <r>
      <rPr>
        <sz val="11"/>
        <color rgb="FF000000"/>
        <rFont val="Calibri"/>
      </rPr>
      <t>ò Prompt for credentials: An operation that requires elevation of privilege will prompt the Consent Admin to enter their user name and password.  If the user enters valid credentials the operation will continue with the applicable privilege.</t>
    </r>
    <r>
      <rPr>
        <sz val="11"/>
        <color rgb="FF000000"/>
        <rFont val="Calibri"/>
      </rPr>
      <t xml:space="preserve">
</t>
    </r>
    <r>
      <rPr>
        <sz val="11"/>
        <color rgb="FF000000"/>
        <rFont val="Calibri"/>
      </rPr>
      <t>ò Elevate without prompting: This option allows the Consent Admin to perform an operation that requires elevation without consent or credentials.  Note: this scenario should only be used in the most constrained environments.</t>
    </r>
    <r>
      <rPr>
        <sz val="11"/>
        <color rgb="FF000000"/>
        <rFont val="Calibri"/>
      </rPr>
      <t xml:space="preserve">
</t>
    </r>
    <r>
      <rPr>
        <sz val="11"/>
        <color rgb="FF000000"/>
        <rFont val="Calibri"/>
      </rPr>
      <t>Default: Prompt for consent</t>
    </r>
  </si>
  <si>
    <t>SOFTWARE\Microsoft\Windows\CurrentVersion\Policies\System\ConsentPromptBehaviorAdmin</t>
  </si>
  <si>
    <t>SEC-66B11162</t>
  </si>
  <si>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</si>
  <si>
    <r>
      <rPr>
        <sz val="11"/>
        <color rgb="FF000000"/>
        <rFont val="Calibri"/>
      </rPr>
      <t xml:space="preserve">Set the following UI path to </t>
    </r>
    <r>
      <rPr>
        <b/>
        <sz val="11"/>
        <color rgb="FF000000"/>
        <rFont val="Calibri"/>
      </rPr>
      <t>Prompt for credentials on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running with enhanced privilege protection</t>
    </r>
  </si>
  <si>
    <r>
      <rPr>
        <sz val="11"/>
        <color rgb="FF000000"/>
        <rFont val="Calibri"/>
      </rPr>
      <t>User Account Control: Behavior of the elevation prompt for administrators in Enhanced Privilege Protection Mode</t>
    </r>
    <r>
      <rPr>
        <sz val="11"/>
        <color rgb="FF000000"/>
        <rFont val="Calibri"/>
      </rPr>
      <t xml:space="preserve">
</t>
    </r>
    <r>
      <rPr>
        <sz val="11"/>
        <color rgb="FF000000"/>
        <rFont val="Calibri"/>
      </rPr>
      <t>This policy setting controls the behavior of the elevation prompt for administrators running in Enhanced Privilege Protection Mode.</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 Prompt for consent on the secure desktop: When an operation requires elevation of privilege, the user is prompted on the secure desktop to select either Permit or Deny. If the user selects Permit, the operation continues elevated with enhanced privilege protection.</t>
    </r>
    <r>
      <rPr>
        <sz val="11"/>
        <color rgb="FF000000"/>
        <rFont val="Calibri"/>
      </rPr>
      <t xml:space="preserve">
</t>
    </r>
    <r>
      <rPr>
        <sz val="11"/>
        <color rgb="FF000000"/>
        <rFont val="Calibri"/>
      </rPr>
      <t>• Prompt for credentials: When an operation requires elevation of privilege, the user is prompted on the secure desktop to enter an administrative user name and password. If the user enters valid credentials, the operation continues elevated with enhanced privilege protection.</t>
    </r>
  </si>
  <si>
    <t>MACHINE\Software\Microsoft\Windows\CurrentVersion\Policies\System\ConsentPromptBehaviorEnhancedAdmin</t>
  </si>
  <si>
    <t>SEC-097F3ED9</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</si>
  <si>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</si>
  <si>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</si>
  <si>
    <r>
      <rPr>
        <sz val="11"/>
        <color rgb="FF000000"/>
        <rFont val="Calibri"/>
      </rPr>
      <t>User Account Control: Behavior of the elevation prompt for standard users</t>
    </r>
    <r>
      <rPr>
        <sz val="11"/>
        <color rgb="FF000000"/>
        <rFont val="Calibri"/>
      </rPr>
      <t xml:space="preserve">
</t>
    </r>
    <r>
      <rPr>
        <sz val="11"/>
        <color rgb="FF000000"/>
        <rFont val="Calibri"/>
      </rPr>
      <t>This security setting determines the behavior of the elevation prompt for standard users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credentials: An operation that requires elevation of privilege will prompt the user to enter an administrative user name and password. If the user enters valid credentials the operation will continue with the applicable privilege.</t>
    </r>
    <r>
      <rPr>
        <sz val="11"/>
        <color rgb="FF000000"/>
        <rFont val="Calibri"/>
      </rPr>
      <t xml:space="preserve">
</t>
    </r>
    <r>
      <rPr>
        <sz val="11"/>
        <color rgb="FF000000"/>
        <rFont val="Calibri"/>
      </rPr>
      <t>ò Automatically deny elevation requests: This option results in an access denied error message being returned to the standard user when they try to perform an operation that requires elevation of privilege.  Most enterprises running desktops as standard user will configure this policy to reduce help desk calls.</t>
    </r>
    <r>
      <rPr>
        <sz val="11"/>
        <color rgb="FF000000"/>
        <rFont val="Calibri"/>
      </rPr>
      <t xml:space="preserve">
</t>
    </r>
    <r>
      <rPr>
        <sz val="11"/>
        <color rgb="FF000000"/>
        <rFont val="Calibri"/>
      </rPr>
      <t>Default: Prompt for credentials (home) / Automatically deny elevation requests (enterprise)</t>
    </r>
  </si>
  <si>
    <t>SOFTWARE\Microsoft\Windows\CurrentVersion\Policies\System\ConsentPromptBehaviorUser</t>
  </si>
  <si>
    <t>SEC-65CD105F</t>
  </si>
  <si>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</si>
  <si>
    <r>
      <rPr>
        <sz val="11"/>
        <color rgb="FF000000"/>
        <rFont val="Calibri"/>
      </rPr>
      <t xml:space="preserve">Set the following UI path to </t>
    </r>
    <r>
      <rPr>
        <b/>
        <sz val="11"/>
        <color rgb="FF000000"/>
        <rFont val="Calibri"/>
      </rPr>
      <t>Admin approval mode with enhanced privilege protection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Configure type of Admin Approval Mode</t>
    </r>
  </si>
  <si>
    <r>
      <rPr>
        <sz val="11"/>
        <color rgb="FF000000"/>
        <rFont val="Calibri"/>
      </rPr>
      <t>User Account Control: Configure type of Admin Approval Mode</t>
    </r>
    <r>
      <rPr>
        <sz val="11"/>
        <color rgb="FF000000"/>
        <rFont val="Calibri"/>
      </rPr>
      <t xml:space="preserve">
</t>
    </r>
    <r>
      <rPr>
        <sz val="11"/>
        <color rgb="FF000000"/>
        <rFont val="Calibri"/>
      </rPr>
      <t>This policy setting controls whether enhanced privilege protection is applied to admin approval mode elevations. If you change this policy setting, you must restart your computer. This policy is only supported on Windows Desktop, not Server.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 xml:space="preserve">• Admin Approval Mode is running in legacy mode (Default) </t>
    </r>
    <r>
      <rPr>
        <sz val="11"/>
        <color rgb="FF000000"/>
        <rFont val="Calibri"/>
      </rPr>
      <t xml:space="preserve">
</t>
    </r>
    <r>
      <rPr>
        <sz val="11"/>
        <color rgb="FF000000"/>
        <rFont val="Calibri"/>
      </rPr>
      <t>• Admin Approval Mode is running with enhanced privilege protection</t>
    </r>
  </si>
  <si>
    <t>MACHINE\Software\Microsoft\Windows\CurrentVersion\Policies\System\TypeOfAdminApprovalMode</t>
  </si>
  <si>
    <t>SEC-F5F0292C</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</si>
  <si>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</si>
  <si>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</si>
  <si>
    <r>
      <rPr>
        <sz val="11"/>
        <color rgb="FF000000"/>
        <rFont val="Calibri"/>
      </rPr>
      <t>User Account Control: Detect application installations and prompt for elevation</t>
    </r>
    <r>
      <rPr>
        <sz val="11"/>
        <color rgb="FF000000"/>
        <rFont val="Calibri"/>
      </rPr>
      <t xml:space="preserve">
</t>
    </r>
    <r>
      <rPr>
        <sz val="11"/>
        <color rgb="FF000000"/>
        <rFont val="Calibri"/>
      </rPr>
      <t>This security setting determines the behavior of application installation detection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Application installation packages that require an elevation of privilege to install will be heuristically detected and trigger the configured elevation prompt UX.</t>
    </r>
    <r>
      <rPr>
        <sz val="11"/>
        <color rgb="FF000000"/>
        <rFont val="Calibri"/>
      </rPr>
      <t xml:space="preserve">
</t>
    </r>
    <r>
      <rPr>
        <sz val="11"/>
        <color rgb="FF000000"/>
        <rFont val="Calibri"/>
      </rPr>
      <t>ò Disabled: Enterprises running standard users desktops that leverage delegated installation technologies like Group Policy Software Install (GPSI) or SMS will disable this feature. In this case, installer detection is unnecessary and thus not required.</t>
    </r>
    <r>
      <rPr>
        <sz val="11"/>
        <color rgb="FF000000"/>
        <rFont val="Calibri"/>
      </rPr>
      <t xml:space="preserve">
</t>
    </r>
    <r>
      <rPr>
        <sz val="11"/>
        <color rgb="FF000000"/>
        <rFont val="Calibri"/>
      </rPr>
      <t>Default: Enabled (home) / Disabled (enterprise)</t>
    </r>
  </si>
  <si>
    <t>SOFTWARE\Microsoft\Windows\CurrentVersion\Policies\System\EnableInstallerDetection</t>
  </si>
  <si>
    <t>SEC-A87AEBA9</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</si>
  <si>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</si>
  <si>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</si>
  <si>
    <r>
      <rPr>
        <sz val="11"/>
        <color rgb="FF000000"/>
        <rFont val="Calibri"/>
      </rPr>
      <t>User Account Control: Only elevate UIAccess applications that are installed in secure locations</t>
    </r>
    <r>
      <rPr>
        <sz val="11"/>
        <color rgb="FF000000"/>
        <rFont val="Calibri"/>
      </rPr>
      <t xml:space="preserve">
</t>
    </r>
    <r>
      <rPr>
        <sz val="11"/>
        <color rgb="FF000000"/>
        <rFont val="Calibri"/>
      </rPr>
      <t>This security setting will enforce the requirement that applications that request execution with a UIAccess integrity level (via a marking of UIAccess=true in their application manifest), must reside in a secure location on the file system.  Secure locations are limited to the following directories:</t>
    </r>
    <r>
      <rPr>
        <sz val="11"/>
        <color rgb="FF000000"/>
        <rFont val="Calibri"/>
      </rPr>
      <t xml:space="preserve">
</t>
    </r>
    <r>
      <rPr>
        <sz val="11"/>
        <color rgb="FF000000"/>
        <rFont val="Calibri"/>
      </rPr>
      <t>- à\Program Files\, including subdirectories</t>
    </r>
    <r>
      <rPr>
        <sz val="11"/>
        <color rgb="FF000000"/>
        <rFont val="Calibri"/>
      </rPr>
      <t xml:space="preserve">
</t>
    </r>
    <r>
      <rPr>
        <sz val="11"/>
        <color rgb="FF000000"/>
        <rFont val="Calibri"/>
      </rPr>
      <t>- à\Windows\system32\</t>
    </r>
    <r>
      <rPr>
        <sz val="11"/>
        <color rgb="FF000000"/>
        <rFont val="Calibri"/>
      </rPr>
      <t xml:space="preserve">
</t>
    </r>
    <r>
      <rPr>
        <sz val="11"/>
        <color rgb="FF000000"/>
        <rFont val="Calibri"/>
      </rPr>
      <t>- à\Program Files (x86)\, including subdirectories for 64 bit versions of Windows</t>
    </r>
    <r>
      <rPr>
        <sz val="11"/>
        <color rgb="FF000000"/>
        <rFont val="Calibri"/>
      </rPr>
      <t xml:space="preserve">
</t>
    </r>
    <r>
      <rPr>
        <sz val="11"/>
        <color rgb="FF000000"/>
        <rFont val="Calibri"/>
      </rPr>
      <t>Note: Windows enforces a PKI signature check on any interactive application that requests execution with UIAccess integrity level regardless of the state of this security setting.</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An application will only launch with UIAccess integrity if it resides in a secure location in the file system.</t>
    </r>
    <r>
      <rPr>
        <sz val="11"/>
        <color rgb="FF000000"/>
        <rFont val="Calibri"/>
      </rPr>
      <t xml:space="preserve">
</t>
    </r>
    <r>
      <rPr>
        <sz val="11"/>
        <color rgb="FF000000"/>
        <rFont val="Calibri"/>
      </rPr>
      <t>ò Disabled: An application will launch with UIAccess integrity even if it does not reside in a secure location in the file system.</t>
    </r>
    <r>
      <rPr>
        <sz val="11"/>
        <color rgb="FF000000"/>
        <rFont val="Calibri"/>
      </rPr>
      <t xml:space="preserve">
</t>
    </r>
    <r>
      <rPr>
        <sz val="11"/>
        <color rgb="FF000000"/>
        <rFont val="Calibri"/>
      </rPr>
      <t>Default: Enabled</t>
    </r>
  </si>
  <si>
    <t>SOFTWARE\Microsoft\Windows\CurrentVersion\Policies\System\EnableSecureUIAPaths</t>
  </si>
  <si>
    <t>SEC-9BA5CEFB</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</si>
  <si>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</si>
  <si>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</si>
  <si>
    <r>
      <rPr>
        <sz val="11"/>
        <color rgb="FF000000"/>
        <rFont val="Calibri"/>
      </rPr>
      <t>User Account Control: Run all users, including administrators, as standard users.</t>
    </r>
    <r>
      <rPr>
        <sz val="11"/>
        <color rgb="FF000000"/>
        <rFont val="Calibri"/>
      </rPr>
      <t xml:space="preserve">
</t>
    </r>
    <r>
      <rPr>
        <sz val="11"/>
        <color rgb="FF000000"/>
        <rFont val="Calibri"/>
      </rPr>
      <t>This security setting determines the behavior of all UAC policies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Admin Approval Mode and all other UAC policies are dependent on this option being enabled.  Changing this setting requires a system reboot.</t>
    </r>
    <r>
      <rPr>
        <sz val="11"/>
        <color rgb="FF000000"/>
        <rFont val="Calibri"/>
      </rPr>
      <t xml:space="preserve">
</t>
    </r>
    <r>
      <rPr>
        <sz val="11"/>
        <color rgb="FF000000"/>
        <rFont val="Calibri"/>
      </rPr>
      <t>ò Disabled: Admin Approval Mode user type and all related UAC policies will be disabled.  Note: the Security Center will notify that the overall security of the operating system has been reduced.</t>
    </r>
    <r>
      <rPr>
        <sz val="11"/>
        <color rgb="FF000000"/>
        <rFont val="Calibri"/>
      </rPr>
      <t xml:space="preserve">
</t>
    </r>
    <r>
      <rPr>
        <sz val="11"/>
        <color rgb="FF000000"/>
        <rFont val="Calibri"/>
      </rPr>
      <t>Default: Enabled</t>
    </r>
  </si>
  <si>
    <t>SOFTWARE\Microsoft\Windows\CurrentVersion\Policies\System\EnableLUA</t>
  </si>
  <si>
    <t>SEC-2FCA0BCF</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</si>
  <si>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</si>
  <si>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</si>
  <si>
    <r>
      <rPr>
        <sz val="11"/>
        <color rgb="FF000000"/>
        <rFont val="Calibri"/>
      </rPr>
      <t>User Account Control: Virtualizes file and registry write failures to per-user locations</t>
    </r>
    <r>
      <rPr>
        <sz val="11"/>
        <color rgb="FF000000"/>
        <rFont val="Calibri"/>
      </rPr>
      <t xml:space="preserve">
</t>
    </r>
    <r>
      <rPr>
        <sz val="11"/>
        <color rgb="FF000000"/>
        <rFont val="Calibri"/>
      </rPr>
      <t>This security setting enables the redirection of legacy application write failures to defined locations in both the registry and file system.  This feature mitigates those applications that historically ran as administrator and wrote runtime application data back to either %ProgramFiles%, %Windir%; %Windir%\system32 or HKLM\Software\....</t>
    </r>
    <r>
      <rPr>
        <sz val="11"/>
        <color rgb="FF000000"/>
        <rFont val="Calibri"/>
      </rPr>
      <t xml:space="preserve">
</t>
    </r>
    <r>
      <rPr>
        <sz val="11"/>
        <color rgb="FF000000"/>
        <rFont val="Calibri"/>
      </rPr>
      <t>Virtualization facilitates the running of pre-Vista (legacy) applications that historically failed to run as Standard User.  An administrator running only Windows Vista compliant applications may choose to disable this feature as it is unnecessary.</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Facilitates the runtime redirection of application write failures to defined user locations for both the file system and registry.</t>
    </r>
    <r>
      <rPr>
        <sz val="11"/>
        <color rgb="FF000000"/>
        <rFont val="Calibri"/>
      </rPr>
      <t xml:space="preserve">
</t>
    </r>
    <r>
      <rPr>
        <sz val="11"/>
        <color rgb="FF000000"/>
        <rFont val="Calibri"/>
      </rPr>
      <t>ò Disabled: Applications that write data to protected locations will simply fail as they did in previous versions of Windows.</t>
    </r>
    <r>
      <rPr>
        <sz val="11"/>
        <color rgb="FF000000"/>
        <rFont val="Calibri"/>
      </rPr>
      <t xml:space="preserve">
</t>
    </r>
    <r>
      <rPr>
        <sz val="11"/>
        <color rgb="FF000000"/>
        <rFont val="Calibri"/>
      </rPr>
      <t>Default : Enabled</t>
    </r>
  </si>
  <si>
    <t>SOFTWARE\Microsoft\Windows\CurrentVersion\Policies\System\EnableVirtualization</t>
  </si>
  <si>
    <t>User Rights Assignments</t>
  </si>
  <si>
    <t>SEC-82A39CC4</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</si>
  <si>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</si>
  <si>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</si>
  <si>
    <r>
      <rPr>
        <sz val="11"/>
        <color rgb="FF000000"/>
        <rFont val="Calibri"/>
      </rPr>
      <t>This setting is used by Credential Manager during Backup/Restore. No accounts should have this privilege, as it is only assigned to Winlogon. Users saved credentials might be compromised if this privilege is given to other entities.</t>
    </r>
  </si>
  <si>
    <t>User Rights security settings are not registry keys</t>
  </si>
  <si>
    <t>SEC-5DDBD88B</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</si>
  <si>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</si>
  <si>
    <r>
      <rPr>
        <sz val="11"/>
        <color rgb="FF000000"/>
        <rFont val="Calibri"/>
      </rPr>
      <t xml:space="preserve">Set the following UI path to </t>
    </r>
    <r>
      <rPr>
        <b/>
        <sz val="11"/>
        <color rgb="FF000000"/>
        <rFont val="Calibri"/>
      </rPr>
      <t>Administrators; Remote Desktop Users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</si>
  <si>
    <r>
      <rPr>
        <sz val="11"/>
        <color rgb="FF000000"/>
        <rFont val="Calibri"/>
      </rPr>
      <t>Access this computer from the network</t>
    </r>
    <r>
      <rPr>
        <sz val="11"/>
        <color rgb="FF000000"/>
        <rFont val="Calibri"/>
      </rPr>
      <t xml:space="preserve">
</t>
    </r>
    <r>
      <rPr>
        <sz val="11"/>
        <color rgb="FF000000"/>
        <rFont val="Calibri"/>
      </rPr>
      <t>This user right determines which users and groups are allowed to connect to the computer over the network. Remote Desktop Services are not affected by this user right.</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on workstations and servers: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Authenticated Users</t>
    </r>
    <r>
      <rPr>
        <sz val="11"/>
        <color rgb="FF000000"/>
        <rFont val="Calibri"/>
      </rPr>
      <t xml:space="preserve">
</t>
    </r>
    <r>
      <rPr>
        <sz val="11"/>
        <color rgb="FF000000"/>
        <rFont val="Calibri"/>
      </rPr>
      <t>Enterprise Domain Controllers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Pre-Windows 2000 Compatible Access</t>
    </r>
  </si>
  <si>
    <t>SEC-BC691EBA</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</si>
  <si>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</si>
  <si>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</si>
  <si>
    <r>
      <rPr>
        <sz val="11"/>
        <color rgb="FF000000"/>
        <rFont val="Calibri"/>
      </rPr>
      <t>Act as part of the operating system</t>
    </r>
    <r>
      <rPr>
        <sz val="11"/>
        <color rgb="FF000000"/>
        <rFont val="Calibri"/>
      </rPr>
      <t xml:space="preserve">
</t>
    </r>
    <r>
      <rPr>
        <sz val="11"/>
        <color rgb="FF000000"/>
        <rFont val="Calibri"/>
      </rPr>
      <t>This user right allows a process to impersonate any user without authentication. The process can therefore gain access to the same local resources as that user.</t>
    </r>
    <r>
      <rPr>
        <sz val="11"/>
        <color rgb="FF000000"/>
        <rFont val="Calibri"/>
      </rPr>
      <t xml:space="preserve">
</t>
    </r>
    <r>
      <rPr>
        <sz val="11"/>
        <color rgb="FF000000"/>
        <rFont val="Calibri"/>
      </rPr>
      <t>Processes that require this privilege should use the LocalSystem account, which already includes this privilege, rather than using a separate user account with this privilege specially assigned. If your organization only uses servers that are members of the Windows Server 2003 family, you do not need to assign this privilege to your users. However, if your organization uses servers running Windows 2000 or Windows NT 4.0, you might need to assign this privilege to use applications that exchange passwords in plaintext.</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None.</t>
    </r>
  </si>
  <si>
    <t>SEC-ADC097F2</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</si>
  <si>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</si>
  <si>
    <r>
      <rPr>
        <sz val="11"/>
        <color rgb="FF000000"/>
        <rFont val="Calibri"/>
      </rPr>
      <t xml:space="preserve">Set the following UI path to </t>
    </r>
    <r>
      <rPr>
        <b/>
        <sz val="11"/>
        <color rgb="FF000000"/>
        <rFont val="Calibri"/>
      </rPr>
      <t>Administrators; Users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locally</t>
    </r>
  </si>
  <si>
    <r>
      <rPr>
        <sz val="11"/>
        <color rgb="FF000000"/>
        <rFont val="Calibri"/>
      </rPr>
      <t>Allow log on locally</t>
    </r>
    <r>
      <rPr>
        <sz val="11"/>
        <color rgb="FF000000"/>
        <rFont val="Calibri"/>
      </rPr>
      <t xml:space="preserve">
</t>
    </r>
    <r>
      <rPr>
        <sz val="11"/>
        <color rgb="FF000000"/>
        <rFont val="Calibri"/>
      </rPr>
      <t>This logon right determines which users can interactively log on to this computer. Logons initiated by pressing CTRL+ALT+DEL sequence on the attached keyboard requires the user to have this logon right. Additionally this logon right may be required by some service or administrative applications that can log on users. If you define this policy for a user or group, you must also give the Administrators group this right.</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Default on domain controllers: Account Operators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Print Operators</t>
    </r>
    <r>
      <rPr>
        <sz val="11"/>
        <color rgb="FF000000"/>
        <rFont val="Calibri"/>
      </rPr>
      <t xml:space="preserve">
</t>
    </r>
    <r>
      <rPr>
        <sz val="11"/>
        <color rgb="FF000000"/>
        <rFont val="Calibri"/>
      </rPr>
      <t>Server Operators.</t>
    </r>
  </si>
  <si>
    <t>SEC-53BAE987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</si>
  <si>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</si>
  <si>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Assignment\Back up files and directories</t>
    </r>
  </si>
  <si>
    <r>
      <rPr>
        <sz val="11"/>
        <color rgb="FF000000"/>
        <rFont val="Calibri"/>
      </rPr>
      <t>Back up files and directories</t>
    </r>
    <r>
      <rPr>
        <sz val="11"/>
        <color rgb="FF000000"/>
        <rFont val="Calibri"/>
      </rPr>
      <t xml:space="preserve">
</t>
    </r>
    <r>
      <rPr>
        <sz val="11"/>
        <color rgb="FF000000"/>
        <rFont val="Calibri"/>
      </rPr>
      <t>This user right determines which users can bypass file and directory, registry, and other persistent object permissions for the purposes of backing up the system.</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List Folder/Read Data</t>
    </r>
    <r>
      <rPr>
        <sz val="11"/>
        <color rgb="FF000000"/>
        <rFont val="Calibri"/>
      </rPr>
      <t xml:space="preserve">
</t>
    </r>
    <r>
      <rPr>
        <sz val="11"/>
        <color rgb="FF000000"/>
        <rFont val="Calibri"/>
      </rPr>
      <t>Read Attributes</t>
    </r>
    <r>
      <rPr>
        <sz val="11"/>
        <color rgb="FF000000"/>
        <rFont val="Calibri"/>
      </rPr>
      <t xml:space="preserve">
</t>
    </r>
    <r>
      <rPr>
        <sz val="11"/>
        <color rgb="FF000000"/>
        <rFont val="Calibri"/>
      </rPr>
      <t>Read Extended Attributes</t>
    </r>
    <r>
      <rPr>
        <sz val="11"/>
        <color rgb="FF000000"/>
        <rFont val="Calibri"/>
      </rPr>
      <t xml:space="preserve">
</t>
    </r>
    <r>
      <rPr>
        <sz val="11"/>
        <color rgb="FF000000"/>
        <rFont val="Calibri"/>
      </rPr>
      <t>Read Permissions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there is no way to be sure that a user is backing up data, stealing data, or copying data to be distributed, only assign this user right to trusted users.</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Default on domain controllers:Administrators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Server Operators</t>
    </r>
  </si>
  <si>
    <t>SEC-73D4434E</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</si>
  <si>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</si>
  <si>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pagefile</t>
    </r>
  </si>
  <si>
    <r>
      <rPr>
        <sz val="11"/>
        <color rgb="FF000000"/>
        <rFont val="Calibri"/>
      </rPr>
      <t>Create a pagefile</t>
    </r>
    <r>
      <rPr>
        <sz val="11"/>
        <color rgb="FF000000"/>
        <rFont val="Calibri"/>
      </rPr>
      <t xml:space="preserve">
</t>
    </r>
    <r>
      <rPr>
        <sz val="11"/>
        <color rgb="FF000000"/>
        <rFont val="Calibri"/>
      </rPr>
      <t>This user right determines which users and groups can call an internal application programming interface (API) to create and change the size of a page file. This user right is used internally by the operating system and usually does not need to be assigned to any users.</t>
    </r>
    <r>
      <rPr>
        <sz val="11"/>
        <color rgb="FF000000"/>
        <rFont val="Calibri"/>
      </rPr>
      <t xml:space="preserve">
</t>
    </r>
    <r>
      <rPr>
        <sz val="11"/>
        <color rgb="FF000000"/>
        <rFont val="Calibri"/>
      </rPr>
      <t>For information about how to specify a paging file size for a given drive, see To change the size of the virtual memory paging file.</t>
    </r>
    <r>
      <rPr>
        <sz val="11"/>
        <color rgb="FF000000"/>
        <rFont val="Calibri"/>
      </rPr>
      <t xml:space="preserve">
</t>
    </r>
    <r>
      <rPr>
        <sz val="11"/>
        <color rgb="FF000000"/>
        <rFont val="Calibri"/>
      </rPr>
      <t>Default: Administrators.</t>
    </r>
  </si>
  <si>
    <t>SEC-A9F55122</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</si>
  <si>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</si>
  <si>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token object</t>
    </r>
  </si>
  <si>
    <r>
      <rPr>
        <sz val="11"/>
        <color rgb="FF000000"/>
        <rFont val="Calibri"/>
      </rPr>
      <t>Create a token object</t>
    </r>
    <r>
      <rPr>
        <sz val="11"/>
        <color rgb="FF000000"/>
        <rFont val="Calibri"/>
      </rPr>
      <t xml:space="preserve">
</t>
    </r>
    <r>
      <rPr>
        <sz val="11"/>
        <color rgb="FF000000"/>
        <rFont val="Calibri"/>
      </rPr>
      <t>This security setting determines which accounts can be used by processes to create a token that can then be used to get access to any local resources when the process uses an internal application programming interface (API) to create an access token.</t>
    </r>
    <r>
      <rPr>
        <sz val="11"/>
        <color rgb="FF000000"/>
        <rFont val="Calibri"/>
      </rPr>
      <t xml:space="preserve">
</t>
    </r>
    <r>
      <rPr>
        <sz val="11"/>
        <color rgb="FF000000"/>
        <rFont val="Calibri"/>
      </rPr>
      <t>This user right is used internally by the operating system. Unless it is necessary, do not assign this user right to a user, group, or process other than Local System.</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None</t>
    </r>
  </si>
  <si>
    <t>SEC-AB3E1694</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</si>
  <si>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</si>
  <si>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global objects</t>
    </r>
  </si>
  <si>
    <r>
      <rPr>
        <sz val="11"/>
        <color rgb="FF000000"/>
        <rFont val="Calibri"/>
      </rPr>
      <t>Create global objects</t>
    </r>
    <r>
      <rPr>
        <sz val="11"/>
        <color rgb="FF000000"/>
        <rFont val="Calibri"/>
      </rPr>
      <t xml:space="preserve">
</t>
    </r>
    <r>
      <rPr>
        <sz val="11"/>
        <color rgb="FF000000"/>
        <rFont val="Calibri"/>
      </rPr>
      <t>This security setting determines whether users can create global objects that are available to all sessions. Users can still create objects that are specific to their own session if they do not have this user right. Users who can create global objects could affect processes that run under other users' sessions, which could lead to application failure or data corruption.</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Assign this user right only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</si>
  <si>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t>SEC-45BD1311</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</si>
  <si>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</si>
  <si>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permanent shared objects</t>
    </r>
  </si>
  <si>
    <r>
      <rPr>
        <sz val="11"/>
        <color rgb="FF000000"/>
        <rFont val="Calibri"/>
      </rPr>
      <t>Create permanent shared objects</t>
    </r>
    <r>
      <rPr>
        <sz val="11"/>
        <color rgb="FF000000"/>
        <rFont val="Calibri"/>
      </rPr>
      <t xml:space="preserve">
</t>
    </r>
    <r>
      <rPr>
        <sz val="11"/>
        <color rgb="FF000000"/>
        <rFont val="Calibri"/>
      </rPr>
      <t>This user right determines which accounts can be used by processes to create a directory object using the object manager.</t>
    </r>
    <r>
      <rPr>
        <sz val="11"/>
        <color rgb="FF000000"/>
        <rFont val="Calibri"/>
      </rPr>
      <t xml:space="preserve">
</t>
    </r>
    <r>
      <rPr>
        <sz val="11"/>
        <color rgb="FF000000"/>
        <rFont val="Calibri"/>
      </rPr>
      <t>This user right is used internally by the operating system and is useful to kernel-mode components that extend the object namespace. Because components that are running in kernel mode already have this user right assigned to them, it is not necessary to specifically assign it.</t>
    </r>
    <r>
      <rPr>
        <sz val="11"/>
        <color rgb="FF000000"/>
        <rFont val="Calibri"/>
      </rPr>
      <t xml:space="preserve">
</t>
    </r>
    <r>
      <rPr>
        <sz val="11"/>
        <color rgb="FF000000"/>
        <rFont val="Calibri"/>
      </rPr>
      <t>Default: None.</t>
    </r>
  </si>
  <si>
    <t>SEC-3E32ACA3</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</si>
  <si>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</si>
  <si>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Assignment\Debug programs</t>
    </r>
  </si>
  <si>
    <r>
      <rPr>
        <sz val="11"/>
        <color rgb="FF000000"/>
        <rFont val="Calibri"/>
      </rPr>
      <t>Debug programs</t>
    </r>
    <r>
      <rPr>
        <sz val="11"/>
        <color rgb="FF000000"/>
        <rFont val="Calibri"/>
      </rPr>
      <t xml:space="preserve">
</t>
    </r>
    <r>
      <rPr>
        <sz val="11"/>
        <color rgb="FF000000"/>
        <rFont val="Calibri"/>
      </rPr>
      <t>This user right determines which users can attach a debugger to any process or to the kernel. Developers who are debugging their own applications do not need to be assigned this user right. Developers who are debugging new system components will need this user right to be able to do so. This user right provides complete access to sensitive and critical operating system components.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Administrators</t>
    </r>
  </si>
  <si>
    <t>SEC-ABF35069</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</si>
  <si>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</si>
  <si>
    <r>
      <rPr>
        <sz val="11"/>
        <color rgb="FF000000"/>
        <rFont val="Calibri"/>
      </rPr>
      <t xml:space="preserve">Set the following UI path to </t>
    </r>
    <r>
      <rPr>
        <b/>
        <sz val="11"/>
        <color rgb="FF000000"/>
        <rFont val="Calibri"/>
      </rPr>
      <t>NT AUTHORITY\Local Account</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</si>
  <si>
    <r>
      <rPr>
        <sz val="11"/>
        <color rgb="FF000000"/>
        <rFont val="Calibri"/>
      </rPr>
      <t>Deny access to this computer from the network</t>
    </r>
    <r>
      <rPr>
        <sz val="11"/>
        <color rgb="FF000000"/>
        <rFont val="Calibri"/>
      </rPr>
      <t xml:space="preserve">
</t>
    </r>
    <r>
      <rPr>
        <sz val="11"/>
        <color rgb="FF000000"/>
        <rFont val="Calibri"/>
      </rPr>
      <t>This security setting determines which users are prevented from accessing a computer over the network. This policy setting supersedes the Access this computer from the network policy setting if a user account is subject to both policies.</t>
    </r>
    <r>
      <rPr>
        <sz val="11"/>
        <color rgb="FF000000"/>
        <rFont val="Calibri"/>
      </rPr>
      <t xml:space="preserve">
</t>
    </r>
    <r>
      <rPr>
        <sz val="11"/>
        <color rgb="FF000000"/>
        <rFont val="Calibri"/>
      </rPr>
      <t>Default: Guest</t>
    </r>
  </si>
  <si>
    <t>SEC-F2708BF7</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</si>
  <si>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</si>
  <si>
    <r>
      <rPr>
        <sz val="11"/>
        <color rgb="FF000000"/>
        <rFont val="Calibri"/>
      </rPr>
      <t xml:space="preserve">Set the following UI path to </t>
    </r>
    <r>
      <rPr>
        <b/>
        <sz val="11"/>
        <color rgb="FF000000"/>
        <rFont val="Calibri"/>
      </rPr>
      <t>NT AUTHORITY\Local Account</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</si>
  <si>
    <r>
      <rPr>
        <sz val="11"/>
        <color rgb="FF000000"/>
        <rFont val="Calibri"/>
      </rPr>
      <t>Deny log on through Remote Desktop Services</t>
    </r>
    <r>
      <rPr>
        <sz val="11"/>
        <color rgb="FF000000"/>
        <rFont val="Calibri"/>
      </rPr>
      <t xml:space="preserve">
</t>
    </r>
    <r>
      <rPr>
        <sz val="11"/>
        <color rgb="FF000000"/>
        <rFont val="Calibri"/>
      </rPr>
      <t>This security setting determines which users and groups are prohibited from logging on as a Remote Desktop Services client.</t>
    </r>
    <r>
      <rPr>
        <sz val="11"/>
        <color rgb="FF000000"/>
        <rFont val="Calibri"/>
      </rPr>
      <t xml:space="preserve">
</t>
    </r>
    <r>
      <rPr>
        <sz val="11"/>
        <color rgb="FF000000"/>
        <rFont val="Calibri"/>
      </rPr>
      <t>Default: None.</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does not have any effect on Windows 2000 computers that have not been updated to Service Pack 2.</t>
    </r>
  </si>
  <si>
    <t>SEC-FCD798C9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</si>
  <si>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</si>
  <si>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</si>
  <si>
    <r>
      <rPr>
        <sz val="11"/>
        <color rgb="FF000000"/>
        <rFont val="Calibri"/>
      </rPr>
      <t>Enable computer and user accounts to be trusted for delegation</t>
    </r>
    <r>
      <rPr>
        <sz val="11"/>
        <color rgb="FF000000"/>
        <rFont val="Calibri"/>
      </rPr>
      <t xml:space="preserve">
</t>
    </r>
    <r>
      <rPr>
        <sz val="11"/>
        <color rgb="FF000000"/>
        <rFont val="Calibri"/>
      </rPr>
      <t>This security setting determines which users can set the Trusted for Delegation setting on a user or computer object.</t>
    </r>
    <r>
      <rPr>
        <sz val="11"/>
        <color rgb="FF000000"/>
        <rFont val="Calibri"/>
      </rPr>
      <t xml:space="preserve">
</t>
    </r>
    <r>
      <rPr>
        <sz val="11"/>
        <color rgb="FF000000"/>
        <rFont val="Calibri"/>
      </rPr>
      <t>The user or object that is granted this privilege must have write access to the account control flags on the user or computer object. A server process running on a computer (or under a user context) that is trusted for delegation can access resources on another computer using delegated credentials of a client, as long as the client account does not have the Account cannot be delegated account control flag set.</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Misuse of this user right, or of the Trusted for Delegation setting, could make the network vulnerable to sophisticated attacks using Trojan horse programs that impersonate incoming clients and use their credentials to gain access to network resources.</t>
    </r>
    <r>
      <rPr>
        <sz val="11"/>
        <color rgb="FF000000"/>
        <rFont val="Calibri"/>
      </rPr>
      <t xml:space="preserve">
</t>
    </r>
    <r>
      <rPr>
        <sz val="11"/>
        <color rgb="FF000000"/>
        <rFont val="Calibri"/>
      </rPr>
      <t>Default: Administrators on domain controllers.</t>
    </r>
  </si>
  <si>
    <t>SEC-205070C3</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</si>
  <si>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</si>
  <si>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</si>
  <si>
    <r>
      <rPr>
        <sz val="11"/>
        <color rgb="FF000000"/>
        <rFont val="Calibri"/>
      </rPr>
      <t>Force shutdown from a remote system</t>
    </r>
    <r>
      <rPr>
        <sz val="11"/>
        <color rgb="FF000000"/>
        <rFont val="Calibri"/>
      </rPr>
      <t xml:space="preserve">
</t>
    </r>
    <r>
      <rPr>
        <sz val="11"/>
        <color rgb="FF000000"/>
        <rFont val="Calibri"/>
      </rPr>
      <t>This security setting determines which users are allowed to shut down a computer from a remote location on the network. Misuse of this user right can result in a denial of service.</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workstations and servers: Administrators.</t>
    </r>
    <r>
      <rPr>
        <sz val="11"/>
        <color rgb="FF000000"/>
        <rFont val="Calibri"/>
      </rPr>
      <t xml:space="preserve">
</t>
    </r>
    <r>
      <rPr>
        <sz val="11"/>
        <color rgb="FF000000"/>
        <rFont val="Calibri"/>
      </rPr>
      <t>On domain controllers: Administrators, Server Operators.</t>
    </r>
  </si>
  <si>
    <t>SEC-9DCF7D0A</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</si>
  <si>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</si>
  <si>
    <r>
      <rPr>
        <sz val="11"/>
        <color rgb="FF000000"/>
        <rFont val="Calibri"/>
      </rPr>
      <t xml:space="preserve">Set the following UI path to </t>
    </r>
    <r>
      <rPr>
        <b/>
        <sz val="11"/>
        <color rgb="FF000000"/>
        <rFont val="Calibri"/>
      </rPr>
      <t>Administrators, SERVICE, Local Service, Network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</si>
  <si>
    <r>
      <rPr>
        <sz val="11"/>
        <color rgb="FF000000"/>
        <rFont val="Calibri"/>
      </rPr>
      <t>Impersonate a client after authentication</t>
    </r>
    <r>
      <rPr>
        <sz val="11"/>
        <color rgb="FF000000"/>
        <rFont val="Calibri"/>
      </rPr>
      <t xml:space="preserve">
</t>
    </r>
    <r>
      <rPr>
        <sz val="11"/>
        <color rgb="FF000000"/>
        <rFont val="Calibri"/>
      </rPr>
      <t>Assigning this privilege to a user allows programs running on behalf of that user to impersonate a client. Requiring this user right for this kind of impersonation prevents an unauthorized user from convincing a client to connect (for example, by remote procedure call (RPC) or named pipes) to a service that they have created and then impersonating that client, which can elevate the unauthorized user's permissions to administrative or system levels.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r>
      <rPr>
        <sz val="11"/>
        <color rgb="FF000000"/>
        <rFont val="Calibri"/>
      </rPr>
      <t xml:space="preserve">
</t>
    </r>
    <r>
      <rPr>
        <sz val="11"/>
        <color rgb="FF000000"/>
        <rFont val="Calibri"/>
      </rPr>
      <t>Note: 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 are started.</t>
    </r>
    <r>
      <rPr>
        <sz val="11"/>
        <color rgb="FF000000"/>
        <rFont val="Calibri"/>
      </rPr>
      <t xml:space="preserve">
</t>
    </r>
    <r>
      <rPr>
        <sz val="11"/>
        <color rgb="FF000000"/>
        <rFont val="Calibri"/>
      </rPr>
      <t>In addition, a user can also impersonate an access token if any of the following conditions exist.</t>
    </r>
    <r>
      <rPr>
        <sz val="11"/>
        <color rgb="FF000000"/>
        <rFont val="Calibri"/>
      </rPr>
      <t xml:space="preserve">
</t>
    </r>
    <r>
      <rPr>
        <sz val="11"/>
        <color rgb="FF000000"/>
        <rFont val="Calibri"/>
      </rPr>
      <t>The access token that is being impersonated is for this user.</t>
    </r>
    <r>
      <rPr>
        <sz val="11"/>
        <color rgb="FF000000"/>
        <rFont val="Calibri"/>
      </rPr>
      <t xml:space="preserve">
</t>
    </r>
    <r>
      <rPr>
        <sz val="11"/>
        <color rgb="FF000000"/>
        <rFont val="Calibri"/>
      </rPr>
      <t>The user, in this logon session, created the access token by logging on to the network with explicit credentials.</t>
    </r>
    <r>
      <rPr>
        <sz val="11"/>
        <color rgb="FF000000"/>
        <rFont val="Calibri"/>
      </rPr>
      <t xml:space="preserve">
</t>
    </r>
    <r>
      <rPr>
        <sz val="11"/>
        <color rgb="FF000000"/>
        <rFont val="Calibri"/>
      </rPr>
      <t>The requested level is less than Impersonate, such as Anonymous or Identify.</t>
    </r>
    <r>
      <rPr>
        <sz val="11"/>
        <color rgb="FF000000"/>
        <rFont val="Calibri"/>
      </rPr>
      <t xml:space="preserve">
</t>
    </r>
    <r>
      <rPr>
        <sz val="11"/>
        <color rgb="FF000000"/>
        <rFont val="Calibri"/>
      </rPr>
      <t>Because of these factors, users do not usually need this user right.</t>
    </r>
    <r>
      <rPr>
        <sz val="11"/>
        <color rgb="FF000000"/>
        <rFont val="Calibri"/>
      </rPr>
      <t xml:space="preserve">
</t>
    </r>
    <r>
      <rPr>
        <sz val="11"/>
        <color rgb="FF000000"/>
        <rFont val="Calibri"/>
      </rPr>
      <t>For more information, search for "SeImpersonatePrivilege" in the Microsoft Platform SDK.</t>
    </r>
    <r>
      <rPr>
        <sz val="11"/>
        <color rgb="FF000000"/>
        <rFont val="Calibri"/>
      </rPr>
      <t xml:space="preserve">
</t>
    </r>
    <r>
      <rPr>
        <sz val="11"/>
        <color rgb="FF000000"/>
        <rFont val="Calibri"/>
      </rPr>
      <t>Warning</t>
    </r>
    <r>
      <rPr>
        <sz val="11"/>
        <color rgb="FF000000"/>
        <rFont val="Calibri"/>
      </rPr>
      <t xml:space="preserve">
</t>
    </r>
    <r>
      <rPr>
        <sz val="11"/>
        <color rgb="FF000000"/>
        <rFont val="Calibri"/>
      </rPr>
      <t>If you enable this setting, programs that previously had the Impersonate privilege may lose it, and they may not run.</t>
    </r>
  </si>
  <si>
    <t>SEC-0B2DBC1F</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</si>
  <si>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</si>
  <si>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Assignment\Load and unload device drivers</t>
    </r>
  </si>
  <si>
    <r>
      <rPr>
        <sz val="11"/>
        <color rgb="FF000000"/>
        <rFont val="Calibri"/>
      </rPr>
      <t>Load and unload device drivers</t>
    </r>
    <r>
      <rPr>
        <sz val="11"/>
        <color rgb="FF000000"/>
        <rFont val="Calibri"/>
      </rPr>
      <t xml:space="preserve">
</t>
    </r>
    <r>
      <rPr>
        <sz val="11"/>
        <color rgb="FF000000"/>
        <rFont val="Calibri"/>
      </rPr>
      <t xml:space="preserve">This user right determines which users can dynamically load and unload device drivers or other code in to kernel mode. This user right does not apply to Plug and Play device drivers. It is recommended that you do not assign this privilege to other users. </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Print Operators</t>
    </r>
  </si>
  <si>
    <t>SEC-2B9AC9EA</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</si>
  <si>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</si>
  <si>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Assignment\Lock pages in memory</t>
    </r>
  </si>
  <si>
    <r>
      <rPr>
        <sz val="11"/>
        <color rgb="FF000000"/>
        <rFont val="Calibri"/>
      </rPr>
      <t>Lock pages in memory</t>
    </r>
    <r>
      <rPr>
        <sz val="11"/>
        <color rgb="FF000000"/>
        <rFont val="Calibri"/>
      </rPr>
      <t xml:space="preserve">
</t>
    </r>
    <r>
      <rPr>
        <sz val="11"/>
        <color rgb="FF000000"/>
        <rFont val="Calibri"/>
      </rPr>
      <t>This security setting determines which accounts can use a process to keep data in physical memory, which prevents the system from paging the data to virtual memory on disk. Exercising this privilege could significantly affect system performance by decreasing the amount of available random access memory (RAM).</t>
    </r>
    <r>
      <rPr>
        <sz val="11"/>
        <color rgb="FF000000"/>
        <rFont val="Calibri"/>
      </rPr>
      <t xml:space="preserve">
</t>
    </r>
    <r>
      <rPr>
        <sz val="11"/>
        <color rgb="FF000000"/>
        <rFont val="Calibri"/>
      </rPr>
      <t>Default: None.</t>
    </r>
  </si>
  <si>
    <t>SEC-383C35B5</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</si>
  <si>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</si>
  <si>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</si>
  <si>
    <r>
      <rPr>
        <sz val="11"/>
        <color rgb="FF000000"/>
        <rFont val="Calibri"/>
      </rPr>
      <t>Manage auditing and security log</t>
    </r>
    <r>
      <rPr>
        <sz val="11"/>
        <color rgb="FF000000"/>
        <rFont val="Calibri"/>
      </rPr>
      <t xml:space="preserve">
</t>
    </r>
    <r>
      <rPr>
        <sz val="11"/>
        <color rgb="FF000000"/>
        <rFont val="Calibri"/>
      </rPr>
      <t>This security setting determines which users can specify object access auditing options for individual resources, such as files, Active Directory objects, and registry keys.</t>
    </r>
    <r>
      <rPr>
        <sz val="11"/>
        <color rgb="FF000000"/>
        <rFont val="Calibri"/>
      </rPr>
      <t xml:space="preserve">
</t>
    </r>
    <r>
      <rPr>
        <sz val="11"/>
        <color rgb="FF000000"/>
        <rFont val="Calibri"/>
      </rPr>
      <t>This security setting does not allow a user to enable file and object access auditing in general. For such auditing to be enabled, the Audit object access setting in Security Settings\\Audit Policies must be configured.</t>
    </r>
    <r>
      <rPr>
        <sz val="11"/>
        <color rgb="FF000000"/>
        <rFont val="Calibri"/>
      </rPr>
      <t xml:space="preserve">
</t>
    </r>
    <r>
      <rPr>
        <sz val="11"/>
        <color rgb="FF000000"/>
        <rFont val="Calibri"/>
      </rPr>
      <t>You can view audited events in the security log of the Event Viewer. A user with this privilege can also view and clear the security log.</t>
    </r>
    <r>
      <rPr>
        <sz val="11"/>
        <color rgb="FF000000"/>
        <rFont val="Calibri"/>
      </rPr>
      <t xml:space="preserve">
</t>
    </r>
    <r>
      <rPr>
        <sz val="11"/>
        <color rgb="FF000000"/>
        <rFont val="Calibri"/>
      </rPr>
      <t>Default: Administrators.</t>
    </r>
  </si>
  <si>
    <t>SEC-DD32A6A4</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</si>
  <si>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</si>
  <si>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</si>
  <si>
    <r>
      <rPr>
        <sz val="11"/>
        <color rgb="FF000000"/>
        <rFont val="Calibri"/>
      </rPr>
      <t>Modify firmware environment values</t>
    </r>
    <r>
      <rPr>
        <sz val="11"/>
        <color rgb="FF000000"/>
        <rFont val="Calibri"/>
      </rPr>
      <t xml:space="preserve">
</t>
    </r>
    <r>
      <rPr>
        <sz val="11"/>
        <color rgb="FF000000"/>
        <rFont val="Calibri"/>
      </rPr>
      <t>This security setting determines who can modify firmware environment values. Firmware environment variables are settings stored in the nonvolatile RAM of non-x86-based computers. The effect of the setting depends on the processor.</t>
    </r>
    <r>
      <rPr>
        <sz val="11"/>
        <color rgb="FF000000"/>
        <rFont val="Calibri"/>
      </rPr>
      <t xml:space="preserve">
</t>
    </r>
    <r>
      <rPr>
        <sz val="11"/>
        <color rgb="FF000000"/>
        <rFont val="Calibri"/>
      </rPr>
      <t>On x86-based computers, the only firmware environment value that can be modified by assigning this user right is the Last Known Good Configuration setting, which should only be modified by the system.</t>
    </r>
    <r>
      <rPr>
        <sz val="11"/>
        <color rgb="FF000000"/>
        <rFont val="Calibri"/>
      </rPr>
      <t xml:space="preserve">
</t>
    </r>
    <r>
      <rPr>
        <sz val="11"/>
        <color rgb="FF000000"/>
        <rFont val="Calibri"/>
      </rPr>
      <t>On Itanium-based computers, boot information is stored in nonvolatile RAM. Users must be assigned this user right to run bootcfg.exe and to change the Default Operating System setting on Startup and Recovery in System Properties.</t>
    </r>
    <r>
      <rPr>
        <sz val="11"/>
        <color rgb="FF000000"/>
        <rFont val="Calibri"/>
      </rPr>
      <t xml:space="preserve">
</t>
    </r>
    <r>
      <rPr>
        <sz val="11"/>
        <color rgb="FF000000"/>
        <rFont val="Calibri"/>
      </rPr>
      <t>On all computers, this user right is required to install or upgrade Windows.</t>
    </r>
    <r>
      <rPr>
        <sz val="11"/>
        <color rgb="FF000000"/>
        <rFont val="Calibri"/>
      </rPr>
      <t xml:space="preserve">
</t>
    </r>
    <r>
      <rPr>
        <sz val="11"/>
        <color rgb="FF000000"/>
        <rFont val="Calibri"/>
      </rPr>
      <t>Note: This security setting does not affect who can modify the system environment variables and user environment variables that are displayed on the Advanced tab of System Properties. For information about how to modify these variables, see To add or change the values of environment variables.</t>
    </r>
    <r>
      <rPr>
        <sz val="11"/>
        <color rgb="FF000000"/>
        <rFont val="Calibri"/>
      </rPr>
      <t xml:space="preserve">
</t>
    </r>
    <r>
      <rPr>
        <sz val="11"/>
        <color rgb="FF000000"/>
        <rFont val="Calibri"/>
      </rPr>
      <t>Default: Administrators.</t>
    </r>
  </si>
  <si>
    <t>SEC-C8AAC8B6</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</si>
  <si>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</si>
  <si>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</si>
  <si>
    <r>
      <rPr>
        <sz val="11"/>
        <color rgb="FF000000"/>
        <rFont val="Calibri"/>
      </rPr>
      <t>Perform volume maintenance tasks</t>
    </r>
    <r>
      <rPr>
        <sz val="11"/>
        <color rgb="FF000000"/>
        <rFont val="Calibri"/>
      </rPr>
      <t xml:space="preserve">
</t>
    </r>
    <r>
      <rPr>
        <sz val="11"/>
        <color rgb="FF000000"/>
        <rFont val="Calibri"/>
      </rPr>
      <t>This security setting determines which users and groups can run maintenance tasks on a volume, such as remote defragmentation.</t>
    </r>
    <r>
      <rPr>
        <sz val="11"/>
        <color rgb="FF000000"/>
        <rFont val="Calibri"/>
      </rPr>
      <t xml:space="preserve">
</t>
    </r>
    <r>
      <rPr>
        <sz val="11"/>
        <color rgb="FF000000"/>
        <rFont val="Calibri"/>
      </rPr>
      <t>Use caution when assigning this user right. Users with this user right can explore disks and extend files in to memory that contains other data. When the extended files are opened, the user might be able to read and modify the acquired data.</t>
    </r>
    <r>
      <rPr>
        <sz val="11"/>
        <color rgb="FF000000"/>
        <rFont val="Calibri"/>
      </rPr>
      <t xml:space="preserve">
</t>
    </r>
    <r>
      <rPr>
        <sz val="11"/>
        <color rgb="FF000000"/>
        <rFont val="Calibri"/>
      </rPr>
      <t>Default: Administrators</t>
    </r>
  </si>
  <si>
    <t>SEC-0A382A7D</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</si>
  <si>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</si>
  <si>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Assignment\Profile single process</t>
    </r>
  </si>
  <si>
    <r>
      <rPr>
        <sz val="11"/>
        <color rgb="FF000000"/>
        <rFont val="Calibri"/>
      </rPr>
      <t>Profile single process</t>
    </r>
    <r>
      <rPr>
        <sz val="11"/>
        <color rgb="FF000000"/>
        <rFont val="Calibri"/>
      </rPr>
      <t xml:space="preserve">
</t>
    </r>
    <r>
      <rPr>
        <sz val="11"/>
        <color rgb="FF000000"/>
        <rFont val="Calibri"/>
      </rPr>
      <t>This security setting determines which users can use performance monitoring tools to monitor the performance of nonsystem processes.</t>
    </r>
    <r>
      <rPr>
        <sz val="11"/>
        <color rgb="FF000000"/>
        <rFont val="Calibri"/>
      </rPr>
      <t xml:space="preserve">
</t>
    </r>
    <r>
      <rPr>
        <sz val="11"/>
        <color rgb="FF000000"/>
        <rFont val="Calibri"/>
      </rPr>
      <t>Default: Administrators, Power users.</t>
    </r>
  </si>
  <si>
    <t>SEC-4F137146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</si>
  <si>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</si>
  <si>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Assignment\Restore files and directories</t>
    </r>
  </si>
  <si>
    <r>
      <rPr>
        <sz val="11"/>
        <color rgb="FF000000"/>
        <rFont val="Calibri"/>
      </rPr>
      <t>Restore files and directories</t>
    </r>
    <r>
      <rPr>
        <sz val="11"/>
        <color rgb="FF000000"/>
        <rFont val="Calibri"/>
      </rPr>
      <t xml:space="preserve">
</t>
    </r>
    <r>
      <rPr>
        <sz val="11"/>
        <color rgb="FF000000"/>
        <rFont val="Calibri"/>
      </rPr>
      <t>This security setting determines which users can bypass file, directory, registry, and other persistent objects permissions when restoring backed up files and directories, and determines which users can set any valid security principal as the owner of an object.</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Write</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users with this user right can overwrite registry settings, hide data, and gain ownership of system objects,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Workstations and servers: Administrators, Backup Operators.</t>
    </r>
    <r>
      <rPr>
        <sz val="11"/>
        <color rgb="FF000000"/>
        <rFont val="Calibri"/>
      </rPr>
      <t xml:space="preserve">
</t>
    </r>
    <r>
      <rPr>
        <sz val="11"/>
        <color rgb="FF000000"/>
        <rFont val="Calibri"/>
      </rPr>
      <t>Domain controllers: Administrators, Backup Operators, Server Operators.</t>
    </r>
  </si>
  <si>
    <t>SEC-AB5E1370</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</si>
  <si>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</si>
  <si>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</si>
  <si>
    <r>
      <rPr>
        <sz val="11"/>
        <color rgb="FF000000"/>
        <rFont val="Calibri"/>
      </rPr>
      <t>Take ownership of files or other objects</t>
    </r>
    <r>
      <rPr>
        <sz val="11"/>
        <color rgb="FF000000"/>
        <rFont val="Calibri"/>
      </rPr>
      <t xml:space="preserve">
</t>
    </r>
    <r>
      <rPr>
        <sz val="11"/>
        <color rgb="FF000000"/>
        <rFont val="Calibri"/>
      </rPr>
      <t>This security setting determines which users can take ownership of any securable object in the system, including Active Directory objects, files and folders, printers, registry keys, processes, and threads.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owners of objects have full control of them, only assign this user right to trusted users.</t>
    </r>
    <r>
      <rPr>
        <sz val="11"/>
        <color rgb="FF000000"/>
        <rFont val="Calibri"/>
      </rPr>
      <t xml:space="preserve">
</t>
    </r>
    <r>
      <rPr>
        <sz val="11"/>
        <color rgb="FF000000"/>
        <rFont val="Calibri"/>
      </rPr>
      <t>Default: Administrators.</t>
    </r>
  </si>
  <si>
    <t>Account Logon</t>
  </si>
  <si>
    <t>AUD-BC2651FC</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</si>
  <si>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</si>
  <si>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</si>
  <si>
    <t>Account Management</t>
  </si>
  <si>
    <t>AUD-D48463B3</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</si>
  <si>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</si>
  <si>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</si>
  <si>
    <t>AUD-3993EA61</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</si>
  <si>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</si>
  <si>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</si>
  <si>
    <t>Detailed Tracking</t>
  </si>
  <si>
    <t>AUD-96718EFF</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</si>
  <si>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</si>
  <si>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</si>
  <si>
    <t>AUD-8F574C28</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</si>
  <si>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</si>
  <si>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</si>
  <si>
    <t>Logon/Logoff</t>
  </si>
  <si>
    <t>AUD-2B9B2EB9</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</si>
  <si>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</si>
  <si>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</si>
  <si>
    <t>AUD-49211A04</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</si>
  <si>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</si>
  <si>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</si>
  <si>
    <t>AUD-F5C79BF7</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</si>
  <si>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</si>
  <si>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</si>
  <si>
    <t>AUD-C9A7EC6C</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</si>
  <si>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</si>
  <si>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</si>
  <si>
    <t>AUD-0976E7D6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</si>
  <si>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</si>
  <si>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</si>
  <si>
    <t>Object Access</t>
  </si>
  <si>
    <t>AUD-066F3B9C</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</si>
  <si>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</si>
  <si>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</si>
  <si>
    <t>AUD-FCFB11E0</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</si>
  <si>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</si>
  <si>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</si>
  <si>
    <t>AUD-9A0C3549</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</si>
  <si>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</si>
  <si>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</si>
  <si>
    <t>AUD-DC26E081</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</si>
  <si>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</si>
  <si>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</si>
  <si>
    <t>Policy Change</t>
  </si>
  <si>
    <t>AUD-FECA701A</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</si>
  <si>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</si>
  <si>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</si>
  <si>
    <t>AUD-762FDFB7</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</si>
  <si>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</si>
  <si>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</si>
  <si>
    <t>AUD-6847E71C</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</si>
  <si>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</si>
  <si>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</si>
  <si>
    <t>AUD-ADAAC987</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</si>
  <si>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</si>
  <si>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</si>
  <si>
    <t>Privilege Use</t>
  </si>
  <si>
    <t>AUD-7D3B9551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</si>
  <si>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</si>
  <si>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</si>
  <si>
    <t>System</t>
  </si>
  <si>
    <t>AUD-A1395846</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</si>
  <si>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</si>
  <si>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</si>
  <si>
    <t>AUD-F5678555</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</si>
  <si>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</si>
  <si>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</si>
  <si>
    <t>AUD-EBEF2746</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</si>
  <si>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</si>
  <si>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</si>
  <si>
    <t>AUD-87DF7BF5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</si>
  <si>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</si>
  <si>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</si>
  <si>
    <t>Domain Profile</t>
  </si>
  <si>
    <t>FW-8FD1CB3D</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</si>
  <si>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</si>
  <si>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</si>
  <si>
    <t>FW-E31C313B</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</si>
  <si>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</si>
  <si>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</si>
  <si>
    <t>FW-924BD14E</t>
  </si>
  <si>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</si>
  <si>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Profile\Outbound connections</t>
    </r>
  </si>
  <si>
    <t>FW-72D9C47A</t>
  </si>
  <si>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</si>
  <si>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Profile\Settings Customize\Display a notification</t>
    </r>
  </si>
  <si>
    <t>FW-716A6DDA</t>
  </si>
  <si>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</si>
  <si>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Customize\Size limit (KB)</t>
    </r>
  </si>
  <si>
    <t>FW-F3565741</t>
  </si>
  <si>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</si>
  <si>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dropped packets</t>
    </r>
  </si>
  <si>
    <t>FW-9E51777B</t>
  </si>
  <si>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</si>
  <si>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successful connections</t>
    </r>
  </si>
  <si>
    <t>Private Profile</t>
  </si>
  <si>
    <t>FW-2A879626</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</si>
  <si>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</si>
  <si>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</si>
  <si>
    <t>FW-700B0551</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</si>
  <si>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</si>
  <si>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</si>
  <si>
    <t>FW-3121AFA8</t>
  </si>
  <si>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</si>
  <si>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Profile\Outbound connections</t>
    </r>
  </si>
  <si>
    <t>FW-E2F24E8D</t>
  </si>
  <si>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</si>
  <si>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Profile\Settings Customize\Display a notification</t>
    </r>
  </si>
  <si>
    <t>FW-E80D03F8</t>
  </si>
  <si>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</si>
  <si>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Customize\Size limit (KB)</t>
    </r>
  </si>
  <si>
    <t>FW-DF043150</t>
  </si>
  <si>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</si>
  <si>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dropped packets</t>
    </r>
  </si>
  <si>
    <t>FW-1A631E4B</t>
  </si>
  <si>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</si>
  <si>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successful connections</t>
    </r>
  </si>
  <si>
    <t>Public Profile</t>
  </si>
  <si>
    <t>FW-02520A99</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</si>
  <si>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</si>
  <si>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</si>
  <si>
    <t>FW-09D7F24D</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</si>
  <si>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</si>
  <si>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</si>
  <si>
    <t>FW-5732FF18</t>
  </si>
  <si>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</si>
  <si>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Profile\Outbound connections</t>
    </r>
  </si>
  <si>
    <t>FW-AEE73C43</t>
  </si>
  <si>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</si>
  <si>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Customize\Display a notification</t>
    </r>
  </si>
  <si>
    <t>FW-7D4AB53E</t>
  </si>
  <si>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</si>
  <si>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firewall rules</t>
    </r>
  </si>
  <si>
    <t>FW-1B491F80</t>
  </si>
  <si>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</si>
  <si>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connection security rules</t>
    </r>
  </si>
  <si>
    <t>FW-39FE101E</t>
  </si>
  <si>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</si>
  <si>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Customize\Size limit (KB)</t>
    </r>
  </si>
  <si>
    <t>FW-13A199CC</t>
  </si>
  <si>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</si>
  <si>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dropped packets</t>
    </r>
  </si>
  <si>
    <t>FW-9E8BC40C</t>
  </si>
  <si>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</si>
  <si>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successful connections</t>
    </r>
  </si>
  <si>
    <t>Control Panel\Personalization</t>
  </si>
  <si>
    <t>CPT-8655BD8F</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</si>
  <si>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</si>
  <si>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camera</t>
    </r>
  </si>
  <si>
    <r>
      <rPr>
        <sz val="11"/>
        <color rgb="FF000000"/>
        <rFont val="Calibri"/>
      </rPr>
      <t>Disables the lock screen camera toggle switch in PC Settings and prevents a camera from being invoked on the lock screen.By default users can enable invocation of an available camera on the lock screen.If you enable this setting users will no longer be able to enable or disable lock screen camera access in PC Settings and the camera cannot be invoked on the lock screen.</t>
    </r>
  </si>
  <si>
    <t>HKLM\Software\Policies\Microsoft\Windows\Personalization!NoLockScreenCamera</t>
  </si>
  <si>
    <t>At least Windows Server 2012 R2 Windows 8.1 or Windows RT 8.1</t>
  </si>
  <si>
    <t>CPT-2128FE6D</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</si>
  <si>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</si>
  <si>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slide show</t>
    </r>
  </si>
  <si>
    <r>
      <rPr>
        <sz val="11"/>
        <color rgb="FF000000"/>
        <rFont val="Calibri"/>
      </rPr>
      <t>Disables the lock screen slide show settings in PC Settings and prevents a slide show from playing on the lock screen.By default users can enable a slide show that will run after they lock the machine.If you enable this setting users will no longer be able to modify slide show settings in PC Settings and no slide show will ever start.</t>
    </r>
  </si>
  <si>
    <t>HKLM\Software\Policies\Microsoft\Windows\Personalization!NoLockScreenSlideshow</t>
  </si>
  <si>
    <t>MS Security Guide</t>
  </si>
  <si>
    <t>CPT-75614AD7</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</si>
  <si>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</si>
  <si>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Guide\Apply UAC restrictions to local accounts on network logons</t>
    </r>
  </si>
  <si>
    <r>
      <rPr>
        <sz val="11"/>
        <color rgb="FF000000"/>
        <rFont val="Calibri"/>
      </rPr>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risk.Enabled (recommended): Applies UAC token-filtering to local accounts on network logons. Membership in powerful group such as Administrators is disabled and powerful privileges are removed from the resulting access token. This configures the LocalAccountTokenFilterPolicy registry value to 0. This is the default behavior for Windows.Disabled: Allows local accounts to have full administrative rights when authenticating via network logon by configuring the LocalAccountTokenFilterPolicy registry value to 1.For more information about local accounts and credential theft see "Mitigating Pass-the-Hash (PtH) Attacks and Other Credential Theft Techniques": http://www.microsoft.com/en-us/download/details.aspx?id=36036.For more information about LocalAccountTokenFilterPolicy see http://support.microsoft.com/kb/951016.</t>
    </r>
  </si>
  <si>
    <t>HKLM\SOFTWARE\Microsoft\Windows\CurrentVersion\Policies\System!LocalAccountTokenFilterPolicy</t>
  </si>
  <si>
    <t>At least Windows Vista</t>
  </si>
  <si>
    <t>CPT-C5406ED2</t>
  </si>
  <si>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</si>
  <si>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RPC packet level privacy setting for incoming connections</t>
    </r>
  </si>
  <si>
    <r>
      <rPr>
        <sz val="11"/>
        <color rgb="FF000000"/>
        <rFont val="Calibri"/>
      </rPr>
      <t>This policy setting controls whether packet level privacy is enabled for RPC for incoming connections.By default packet level privacy is enabled for RPC for incoming connections.If you enable or do not configure this policy setting packet level privacy is enabled for RPC for incoming connections.</t>
    </r>
  </si>
  <si>
    <t>HKLM\SYSTEM\CurrentControlSet\Control\Print!RpcAuthnLevelPrivacyEnabled</t>
  </si>
  <si>
    <t>At least Windows Server 2016 Windows 10</t>
  </si>
  <si>
    <t>CPT-4E3D6025</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</si>
  <si>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</si>
  <si>
    <r>
      <rPr>
        <sz val="11"/>
        <color rgb="FF000000"/>
        <rFont val="Calibri"/>
      </rPr>
      <t xml:space="preserve">Set the following UI path to </t>
    </r>
    <r>
      <rPr>
        <b/>
        <sz val="11"/>
        <color rgb="FF000000"/>
        <rFont val="Calibri"/>
      </rPr>
      <t>Disable driver</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client driver</t>
    </r>
  </si>
  <si>
    <r>
      <rPr>
        <sz val="11"/>
        <color rgb="FF000000"/>
        <rFont val="Calibri"/>
      </rPr>
      <t>Configures the SMB v1 client driver's start type.To disable client-side processing of the SMBv1 protocol select the "Enabled" radio button then select "Disable driver" from the dropdown.WARNING: DO NOT SELECT THE "DISABLED" RADIO BUTTON UNDER ANY CIRCUMSTANCES!For Windows 7 and Servers 2008 2008R2 and 2012 you must also configure the "Configure SMB v1 client (extra setting needed for pre-Win8.1/2012R2)" setting.To restore default SMBv1 client-side behavior select "Enabled" and choose the correct default from the dropdown:* "Manual start" for Windows 7 and Windows Servers 2008 2008R2 and 2012;* "Automatic start" for Windows 8.1 and Windows Server 2012R2 and newer.Changes to this setting require a reboot to take effect.For more information see https://support.microsoft.com/kb/2696547</t>
    </r>
  </si>
  <si>
    <t>HKLM\SYSTEM\CurrentControlSet\Services\MrxSmb10!Start</t>
  </si>
  <si>
    <t>At least Windows Server 2008 R2 or Windows 7</t>
  </si>
  <si>
    <t>CPT-48E00A09</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</si>
  <si>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</si>
  <si>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server</t>
    </r>
  </si>
  <si>
    <r>
      <rPr>
        <sz val="11"/>
        <color rgb="FF000000"/>
        <rFont val="Calibri"/>
      </rPr>
      <t>Disabling this setting disables server-side processing of the SMBv1 protocol. (Recommended.)Enabling this setting enables server-side processing of the SMBv1 protocol. (Default.)Changes to this setting require a reboot to take effect.For more information see https://support.microsoft.com/kb/2696547</t>
    </r>
  </si>
  <si>
    <t>HKLM\SYSTEM\CurrentControlSet\Services\LanmanServer\Parameters!SMB1</t>
  </si>
  <si>
    <t>CPT-2FCF89E2</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</si>
  <si>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</si>
  <si>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</si>
  <si>
    <r>
      <rPr>
        <sz val="11"/>
        <color rgb="FF000000"/>
        <rFont val="Calibri"/>
      </rPr>
      <t>If this setting is enabled SEHOP is enforced. For more information see https://support.microsoft.com/en-us/help/956607/how-to-enable-structured-exception-handling-overwrite-protection-sehop-in-windows-operating-systems.If this setting is disabled or not configured SEHOP is not enforced for 32-bit processes.</t>
    </r>
  </si>
  <si>
    <t>HKLM\SYSTEM\CurrentControlSet\Control\Session Manager\kernel!DisableExceptionChainValidation</t>
  </si>
  <si>
    <t>CPT-94D55081</t>
  </si>
  <si>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</si>
  <si>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Guide\LSA Protection</t>
    </r>
  </si>
  <si>
    <r>
      <rPr>
        <sz val="11"/>
        <color rgb="FF000000"/>
        <rFont val="Calibri"/>
      </rPr>
      <t>For Windows 11 version 22H2 and beyond a new setting is used to configure this. IT can be located at 'System\Local Security Authority\Configures LSASS to run as a protected process' which provides additional configuration options.  Enable LSA protection.  For more information see http://technet.microsoft.com/en-us/library/dn408187.aspx</t>
    </r>
  </si>
  <si>
    <t>HKLM\SYSTEM\CurrentControlSet\Control\Lsa!RunAsPPL</t>
  </si>
  <si>
    <t>CPT-E0B316B7</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</si>
  <si>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t>
    </r>
    <r>
      <rPr>
        <sz val="11"/>
        <color rgb="FF000000"/>
        <rFont val="Calibri"/>
      </rPr>
      <t>'</t>
    </r>
  </si>
  <si>
    <r>
      <rPr>
        <sz val="11"/>
        <color rgb="FF000000"/>
        <rFont val="Calibri"/>
      </rPr>
      <t xml:space="preserve">Set the following UI path to </t>
    </r>
    <r>
      <rPr>
        <b/>
        <sz val="11"/>
        <color rgb="FF000000"/>
        <rFont val="Calibri"/>
      </rPr>
      <t>P-node</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Guide\NetBT NodeType configuration</t>
    </r>
  </si>
  <si>
    <r>
      <rPr>
        <sz val="11"/>
        <color rgb="FF000000"/>
        <rFont val="Calibri"/>
      </rPr>
      <t>The NetBT NodeType setting determines what methods NetBT uses to register and resolve names:* A B-node computer uses broadcasts.* A P-node computer uses only point-to-point name queries to a name server (WINS).* An M-node computer broadcasts first and then queries the name server.* An H-node computer queries the name server first and then broadcasts.Resolution through LMHOSTS or DNS follows these methods. If the NodeType value is present it overrides any DhcpNodeType value.If neither NodeType nor DhcpNodeType is present the computer uses B-node if there are no WINS servers configured for the network or H-node if there is at least one WINS server configured.</t>
    </r>
  </si>
  <si>
    <t>HKLM\SYSTEM\CurrentControlSet\Services\NetBT\Parameters!NodeType</t>
  </si>
  <si>
    <t>CPT-4B16F254</t>
  </si>
  <si>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</si>
  <si>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Guide\WDigest Authentication (disabling may require KB2871997)</t>
    </r>
  </si>
  <si>
    <r>
      <rPr>
        <sz val="11"/>
        <color rgb="FF000000"/>
        <rFont val="Calibri"/>
      </rPr>
      <t>When WDigest authentication is enabled Lsass.exe retains a copy of the user's plaintext password in memory where it can be at risk of theft. Microsoft recommends disabling WDigest authentication unless it is needed.If this setting is not configured WDigest authentication is disabled in Windows 8.1 and in Windows Server 2012 R2; it is enabled by default in earlier versions of Windows and Windows Server.Update KB2871997 must first be installed to disable WDigest authentication using this setting in Windows 7 Windows 8 Windows Server 2008 R2 and Windows Server 2012.Enabled: Enables WDigest authentication.Disabled (recommended): Disables WDigest authentication. For this setting to work on Windows 7 Windows 8 Windows Server 2008 R2 or Windows Server 2012 KB2871997 must first be installed.For more information see http://support.microsoft.com/kb/2871997 and http://blogs.technet.com/b/srd/archive/2014/06/05/an-overview-of-kb2871997.aspx .</t>
    </r>
  </si>
  <si>
    <t>HKLM\SYSTEM\CurrentControlSet\Control\SecurityProviders\WDigest!UseLogonCredential</t>
  </si>
  <si>
    <t>MSS (Legacy)</t>
  </si>
  <si>
    <t>CPT-88AEB965</t>
  </si>
  <si>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</si>
  <si>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IPv6) IP source routing protection level</t>
    </r>
  </si>
  <si>
    <r>
      <rPr>
        <sz val="11"/>
        <color rgb="FF000000"/>
        <rFont val="Calibri"/>
      </rPr>
      <t>MSS: (DisableIPSourceRouting IPv6) IP source routing protection level</t>
    </r>
  </si>
  <si>
    <t>HKLM\System\CurrentControlSet\Services\Tcpip6\Parameters!DisableIPSourceRouting</t>
  </si>
  <si>
    <t>CPT-6F8448F4</t>
  </si>
  <si>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</si>
  <si>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 source routing protection level</t>
    </r>
  </si>
  <si>
    <r>
      <rPr>
        <sz val="11"/>
        <color rgb="FF000000"/>
        <rFont val="Calibri"/>
      </rPr>
      <t>MSS: (DisableIPSourceRouting) IP source routing protection level</t>
    </r>
  </si>
  <si>
    <t>HKLM\System\CurrentControlSet\Services\Tcpip\Parameters!DisableIPSourceRouting</t>
  </si>
  <si>
    <t>CPT-34FC7128</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</si>
  <si>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</si>
  <si>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</si>
  <si>
    <r>
      <rPr>
        <sz val="11"/>
        <color rgb="FF000000"/>
        <rFont val="Calibri"/>
      </rPr>
      <t>MSS: (EnableICMPRedirect) Allow ICMP redirects to override OSPF generated routes</t>
    </r>
  </si>
  <si>
    <t>HKLM\System\CurrentControlSet\Services\Tcpip\Parameters!EnableICMPRedirect</t>
  </si>
  <si>
    <t>CPT-C88AB626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</si>
  <si>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</si>
  <si>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</si>
  <si>
    <r>
      <rPr>
        <sz val="11"/>
        <color rgb="FF000000"/>
        <rFont val="Calibri"/>
      </rPr>
      <t>MSS: (NoNameReleaseOnDemand) Allow the computer to ignore NetBIOS name release requests except from WINS servers</t>
    </r>
  </si>
  <si>
    <t>HKLM\System\CurrentControlSet\Services\Netbt\Parameters!NoNameReleaseOnDemand</t>
  </si>
  <si>
    <t>Network\DNS Client</t>
  </si>
  <si>
    <t>CPT-D3DC1C9F</t>
  </si>
  <si>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</si>
  <si>
    <r>
      <rPr>
        <sz val="11"/>
        <color rgb="FF000000"/>
        <rFont val="Calibri"/>
      </rPr>
      <t xml:space="preserve">Set the following UI path to </t>
    </r>
    <r>
      <rPr>
        <b/>
        <sz val="11"/>
        <color rgb="FF000000"/>
        <rFont val="Calibri"/>
      </rPr>
      <t>Enabled: Disable NetBIOS name resolution on public networks</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Templates\Network\DNS Client\Configure NetBIOS settings</t>
    </r>
  </si>
  <si>
    <r>
      <rPr>
        <sz val="11"/>
        <color rgb="FF000000"/>
        <rFont val="Calibri"/>
      </rPr>
      <t>Specifies if the DNS client will perform name resolution over NetBIOS.By default the DNS client will disable NetBIOS name resolution on public networks for security reasons.To use this policy setting click Enabled and then select one of the following options from the drop-down list:Disable NetBIOS name resolution: Never allow NetBIOS name resolution.Allow NetBIOS name resolution: Always allow NetBIOS name resolution.Disable NetBIOS name resolution on public networks: Only allow NetBIOS name resolution on network adapters which are not connected to public networks.NetBIOS learning mode: Always allow NetBIOS name resolution and use it as a fallback after mDNS/LLMNR queries fail.If you disable this policy setting or if you do not configure this policy setting the DNS client will use locally configured settings.</t>
    </r>
  </si>
  <si>
    <t>HKLM\Software\Policies\Microsoft\Windows NT\DNSClient!EnableNetbios</t>
  </si>
  <si>
    <t>CPT-F4180165</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</si>
  <si>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</si>
  <si>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Templates\Network\DNS Client\Turn off multicast name resolution</t>
    </r>
  </si>
  <si>
    <r>
      <rPr>
        <sz val="11"/>
        <color rgb="FF000000"/>
        <rFont val="Calibri"/>
      </rPr>
      <t>Specifies that link local multicast name resolution (LLMNR) is disabled on the DNS client.LLMNR is a secondary name resolution protocol. With LLMNR queries are sent using multicast over a local network link on a single subnet from a DNS client to another DNS client on the same subnet that also has LLMNR enabled. LLMNR does not require a DNS server or DNS client configuration and provides name resolution in scenarios in which conventional DNS name resolution is not possible.If you enable this policy setting LLMNR will be disabled on all available network adapters on the DNS client.If you disable this policy setting or you do not configure this policy setting LLMNR will be enabled on all available network adapters.</t>
    </r>
  </si>
  <si>
    <t>HKLM\Software\Policies\Microsoft\Windows NT\DNSClient!EnableMulticast</t>
  </si>
  <si>
    <t>Network\Lanman Server</t>
  </si>
  <si>
    <t>CPT-40A4E913</t>
  </si>
  <si>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</si>
  <si>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Server\Audit client does not support encryption</t>
    </r>
  </si>
  <si>
    <r>
      <rPr>
        <sz val="11"/>
        <color rgb="FF000000"/>
        <rFont val="Calibri"/>
      </rPr>
      <t>This policy controls whether the SMB server will log the event when the SMB client doesn't support encryption.If you enable this policy setting the SMB server will log the event when the SMB client doesn't support encryption.If you disable or do not configure this policy setting the SMB server will not log the event.</t>
    </r>
  </si>
  <si>
    <t>HKLM\Software\Policies\Microsoft\Windows\LanmanServer!AuditClientDoesNotSupportEncryption</t>
  </si>
  <si>
    <t>At least Windows Server 2025 Windows 11</t>
  </si>
  <si>
    <t>CPT-FCB25173</t>
  </si>
  <si>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</si>
  <si>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Server\Audit client does not support signing</t>
    </r>
  </si>
  <si>
    <r>
      <rPr>
        <sz val="11"/>
        <color rgb="FF000000"/>
        <rFont val="Calibri"/>
      </rPr>
      <t>This policy controls whether the SMB server will log the event when the SMB client doesn't support signing.If you enable this policy setting the SMB server will log the event when the SMB client doesn't support signing.</t>
    </r>
  </si>
  <si>
    <t>HKLM\Software\Policies\Microsoft\Windows\LanmanServer!AuditClientDoesNotSupportSigning</t>
  </si>
  <si>
    <t>CPT-BCF937ED</t>
  </si>
  <si>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</si>
  <si>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Server\Audit insecure guest logon</t>
    </r>
  </si>
  <si>
    <r>
      <rPr>
        <sz val="11"/>
        <color rgb="FF000000"/>
        <rFont val="Calibri"/>
      </rPr>
      <t>This policy controls whether the SMB server will enable the audit event when the client is logged on as guest account.If you enable this policy setting the SMB server will log the event when the client is logged on as guest account.If you disable or do not configure this policy setting the SMB server will not log the event.</t>
    </r>
  </si>
  <si>
    <t>HKLM\Software\Policies\Microsoft\Windows\LanmanServer!AuditInsecureGuestLogon</t>
  </si>
  <si>
    <t>CPT-30F8A86F</t>
  </si>
  <si>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</si>
  <si>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Server\Enable authentication rate limiter</t>
    </r>
  </si>
  <si>
    <r>
      <rPr>
        <sz val="11"/>
        <color rgb="FF000000"/>
        <rFont val="Calibri"/>
      </rPr>
      <t>This policy controls whether the SMB server will enable or disable the authentication rate limiter.If you disable this policy setting the authentication rate limiter will not be enabled.If you do not configure this policy setting the authentication rate limiter may still be working depending on the delay settings (the recommended delay value is 2000ms).</t>
    </r>
  </si>
  <si>
    <t>HKLM\Software\Policies\Microsoft\Windows\LanmanServer!EnableAuthRateLimiter</t>
  </si>
  <si>
    <t>CPT-631EF0D0</t>
  </si>
  <si>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</si>
  <si>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Server\Enable remote mailslots</t>
    </r>
  </si>
  <si>
    <r>
      <rPr>
        <sz val="11"/>
        <color rgb="FF000000"/>
        <rFont val="Calibri"/>
      </rPr>
      <t>This policy controls whether the SMB server will enable or disable remote mailslots over the computer browser service.If you disable this policy setting the computer browser service will no longer run as expected.If you do not configure this policy setting the computer browser may still be working with remote mailslots enabled.Note: This policy requires a Windows reboot to take effect.</t>
    </r>
  </si>
  <si>
    <t>HKLM\Software\Policies\Microsoft\Windows\Bowser!EnableMailslots</t>
  </si>
  <si>
    <t>CPT-A0D7B2A9</t>
  </si>
  <si>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</si>
  <si>
    <r>
      <rPr>
        <sz val="11"/>
        <color rgb="FF000000"/>
        <rFont val="Calibri"/>
      </rPr>
      <t xml:space="preserve">Set the following UI path to </t>
    </r>
    <r>
      <rPr>
        <b/>
        <sz val="11"/>
        <color rgb="FF000000"/>
        <rFont val="Calibri"/>
      </rPr>
      <t>Enabled: SMB 3.1.1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Server\Mandate the maximum version of SMB</t>
    </r>
  </si>
  <si>
    <r>
      <rPr>
        <sz val="11"/>
        <color rgb="FF000000"/>
        <rFont val="Calibri"/>
      </rPr>
      <t>This policy controls the maximum version of SMB protocolNote: This group policy does not prevent use of SMB 1 if that component is still installed and enabled.</t>
    </r>
  </si>
  <si>
    <t>HKLM\Software\Policies\Microsoft\Windows\LanmanServer!MaxSmb2Dialect</t>
  </si>
  <si>
    <t>At least Windows Server 2022 Windows 11</t>
  </si>
  <si>
    <t>CPT-4CCFF6A9</t>
  </si>
  <si>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</si>
  <si>
    <r>
      <rPr>
        <sz val="11"/>
        <color rgb="FF000000"/>
        <rFont val="Calibri"/>
      </rPr>
      <t xml:space="preserve">Set the following UI path to </t>
    </r>
    <r>
      <rPr>
        <b/>
        <sz val="11"/>
        <color rgb="FF000000"/>
        <rFont val="Calibri"/>
      </rPr>
      <t>Enabled: SMB 3.0.0</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Server\Mandate the minimum version of SMB</t>
    </r>
  </si>
  <si>
    <r>
      <rPr>
        <sz val="11"/>
        <color rgb="FF000000"/>
        <rFont val="Calibri"/>
      </rPr>
      <t>This policy controls the minimum version of SMB protocolNote: This group policy does not prevent use of SMB 1 if that component is still installed and enabled.</t>
    </r>
  </si>
  <si>
    <t>HKLM\Software\Policies\Microsoft\Windows\LanmanServer!MinSmb2Dialect</t>
  </si>
  <si>
    <t>CPT-3CA0A420</t>
  </si>
  <si>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</si>
  <si>
    <r>
      <rPr>
        <sz val="11"/>
        <color rgb="FF000000"/>
        <rFont val="Calibri"/>
      </rPr>
      <t xml:space="preserve">Set the following UI path to </t>
    </r>
    <r>
      <rPr>
        <b/>
        <sz val="11"/>
        <color rgb="FF000000"/>
        <rFont val="Calibri"/>
      </rPr>
      <t>Enabled: 2000</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Server\Set authentication rate limiter delay (milliseconds)</t>
    </r>
  </si>
  <si>
    <r>
      <rPr>
        <sz val="11"/>
        <color rgb="FF000000"/>
        <rFont val="Calibri"/>
      </rPr>
      <t>This policy controls whether the SMB server will use a default value in milliseconds for the invalid authentication delay.If you configure this policy setting the authentication rate limiter will use the specified value for delaying invalid authentication attempts.If you do not configure this policy setting the authentication rate limiter will use the default value or the value from local registry under HKLM\SYSTEM\CurrentControlSet\Services\LanmanServer\Parameters.</t>
    </r>
  </si>
  <si>
    <t>HKLM\Software\Policies\Microsoft\Windows\LanmanServer!InvalidAuthenticationDelayTimeInMs</t>
  </si>
  <si>
    <t>Unknown</t>
  </si>
  <si>
    <t>Network\Lanman Workstation</t>
  </si>
  <si>
    <t>CPT-17083A63</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</si>
  <si>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Workstation\Audit insecure guest logon</t>
    </r>
  </si>
  <si>
    <r>
      <rPr>
        <sz val="11"/>
        <color rgb="FF000000"/>
        <rFont val="Calibri"/>
      </rPr>
      <t>This policy controls whether the SMB client will enable the audit event when the client is logged on as guest account.If you enable this policy setting the SMB client will log the event when the client is logged on as guest account.If you disable or do not configure this policy setting the SMB client will not log the event.</t>
    </r>
  </si>
  <si>
    <t>HKLM\Software\Policies\Microsoft\Windows\LanmanWorkstation!AuditInsecureGuestLogon</t>
  </si>
  <si>
    <t>CPT-2257655F</t>
  </si>
  <si>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</si>
  <si>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Workstation\Audit server does not support encryption</t>
    </r>
  </si>
  <si>
    <r>
      <rPr>
        <sz val="11"/>
        <color rgb="FF000000"/>
        <rFont val="Calibri"/>
      </rPr>
      <t>This policy controls whether the SMB client will enable the audit event when the SMB server doesn't support encryption.If you enable this policy setting the SMB client will log the event when the SMB server doesn't support encryption.If you disable or do not configure this policy setting the SMB client will not log the event.</t>
    </r>
  </si>
  <si>
    <t>HKLM\Software\Policies\Microsoft\Windows\LanmanWorkstation!AuditServerDoesNotSupportEncryption</t>
  </si>
  <si>
    <t>CPT-12A842EE</t>
  </si>
  <si>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</si>
  <si>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Workstation\Audit server does not support signing</t>
    </r>
  </si>
  <si>
    <r>
      <rPr>
        <sz val="11"/>
        <color rgb="FF000000"/>
        <rFont val="Calibri"/>
      </rPr>
      <t>This policy controls whether the SMB client will enable the audit event when the SMB server doesn't support signing.If you enable this policy setting the SMB client will log the event when the SMB server doesn't support signing.If you disable or do not configure this policy setting the SMB client will not log the event.</t>
    </r>
  </si>
  <si>
    <t>HKLM\Software\Policies\Microsoft\Windows\LanmanWorkstation!AuditServerDoesNotSupportSigning</t>
  </si>
  <si>
    <t>CPT-57DC5AEC</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</si>
  <si>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</si>
  <si>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insecure guest logons</t>
    </r>
  </si>
  <si>
    <r>
      <rPr>
        <sz val="11"/>
        <color rgb="FF000000"/>
        <rFont val="Calibri"/>
      </rPr>
      <t>This policy setting determines if the SMB client will allow insecure guest logons to an SMB server.If you enable this policy setting or if you do not configure this policy setting the SMB client will allow insecure guest logons.If you disable this policy setting the SMB client will reject insecure guest logons.If you enable signing the SMB client will reject insecure guest logons.Insecure guest logons are used by file servers to allow unauthenticated access to shared folders. While uncommon in an enterprise environment insecure guest logons are frequently used by consumer Network Attached Storage (NAS) appliances acting as file servers. Windows file servers require authentication and do not use insecure guest logons by default. Since insecure guest logons are unauthenticated important security features such as SMB Signing and SMB Encryption are disabled. As a result clients that allow insecure guest logons are vulnerable to a variety of man-in-the-middle attacks that can result in data loss data corruption and exposure to malware. Additionally any data written to a file server using an insecure guest logon is potentially accessible to anyone on the network. Microsoft recommends disabling insecure guest logons and configuring file servers to require authenticated access."</t>
    </r>
  </si>
  <si>
    <t>HKLM\Software\Policies\Microsoft\Windows\LanmanWorkstation!AllowInsecureGuestAuth</t>
  </si>
  <si>
    <t>CPT-E8F53D4A</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</si>
  <si>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remote mailslots</t>
    </r>
  </si>
  <si>
    <r>
      <rPr>
        <sz val="11"/>
        <color rgb="FF000000"/>
        <rFont val="Calibri"/>
      </rPr>
      <t>This policy controls whether the SMB client will enable or disable remote mailslots over MUP.If you disable this policy setting remote mailslots will not function over MUP hence they will not go through the SMB client redirector.If you do not configure this policy setting remote mailslots may be allowed through MUP.</t>
    </r>
  </si>
  <si>
    <t>HKLM\Software\Policies\Microsoft\Windows\NetworkProvider!EnableMailslots</t>
  </si>
  <si>
    <t>CPT-313C1A5F</t>
  </si>
  <si>
    <r>
      <rPr>
        <sz val="11"/>
        <color rgb="FF000000"/>
        <rFont val="Calibri"/>
      </rPr>
      <t xml:space="preserve">Set the following UI path to </t>
    </r>
    <r>
      <rPr>
        <b/>
        <sz val="11"/>
        <color rgb="FF000000"/>
        <rFont val="Calibri"/>
      </rPr>
      <t>Enabled: SMB 3.1.1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Workstation\Mandate the maximum version of SMB</t>
    </r>
  </si>
  <si>
    <t>HKLM\Software\Policies\Microsoft\Windows\LanmanWorkstation!MaxSmb2Dialect</t>
  </si>
  <si>
    <t>CPT-32663191</t>
  </si>
  <si>
    <r>
      <rPr>
        <sz val="11"/>
        <color rgb="FF000000"/>
        <rFont val="Calibri"/>
      </rPr>
      <t xml:space="preserve">Set the following UI path to </t>
    </r>
    <r>
      <rPr>
        <b/>
        <sz val="11"/>
        <color rgb="FF000000"/>
        <rFont val="Calibri"/>
      </rPr>
      <t>Enabled: SMB 3.0.0</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Workstation\Mandate the minimum version of SMB</t>
    </r>
  </si>
  <si>
    <t>HKLM\Software\Policies\Microsoft\Windows\LanmanWorkstation!MinSmb2Dialect</t>
  </si>
  <si>
    <t>CPT-DC502287</t>
  </si>
  <si>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</si>
  <si>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Workstation\Require Encryption</t>
    </r>
  </si>
  <si>
    <r>
      <rPr>
        <sz val="11"/>
        <color rgb="FF000000"/>
        <rFont val="Calibri"/>
      </rPr>
      <t>This policy controls whether the SMB client will require encryption.If you enable this policy setting the SMB client will require the SMB server to support encryption and encrypt the data.If you disable or do not configure this policy setting the SMB client will not require encryption. However SMB encryption may still be required; see notes below.Note: This policy is combined with per-share per-server and per mapped drive connection properties through which SMB encryption may be required. The SMB server must support and enable SMB encryption. For example should this policy be disabled (or not configured) the SMB client may still perform encryption if an SMB server share has required encryption.Important: SMB encryption requires SMB 3.0 or later</t>
    </r>
  </si>
  <si>
    <t>HKLM\Software\Policies\Microsoft\Windows\LanmanWorkstation!RequireEncryption</t>
  </si>
  <si>
    <t>Network\Network Connections</t>
  </si>
  <si>
    <t>CPT-ADF4AA69</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</si>
  <si>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</si>
  <si>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</si>
  <si>
    <r>
      <rPr>
        <sz val="11"/>
        <color rgb="FF000000"/>
        <rFont val="Calibri"/>
      </rPr>
      <t>Determines whether administrators can enable and configure the Internet Connection Sharing (ICS) feature of an Internet connection and if the ICS service can run on the computer.ICS lets administrators configure their system as an Internet gateway for a small network and provides network services such as name resolution and addressing through DHCP to the local private network.If you enable this setting ICS cannot be enabled or configured by administrators and the ICS service cannot run on the computer. The Advanced tab in the Properties dialog box for a LAN or remote access connection is removed. The Internet Connection Sharing page is removed from the New Connection Wizard. The Network Setup Wizard is disabled.If you disable this setting or do not configure it and have two or more connections administrators can enable ICS. The Advanced tab in the properties dialog box for a LAN or remote access connection is available. In addition the user is presented with the option to enable Internet Connection Sharing in the Network Setup Wizard and Make New Connection Wizard. (The Network Setup Wizard is available only in Windows XP Professional.)By default ICS is disabled when you create a remote access connection but administrators can use the Advanced tab to enable it. When running the New Connection Wizard or Network Setup Wizard administrators can choose to enable ICS.Note: Internet Connection Sharing is only available when two or more network connections are present.Note: When the "Prohibit access to properties of a LAN connection" "Ability to change properties of an all user remote access connection" or "Prohibit changing properties of a private remote access connection" settings are set to deny access to the Connection Properties dialog box the Advanced tab for the connection is blocked.Note: Nonadministrators are already prohibited from configuring Internet Connection Sharing regardless of this setting.Note: Disabling this setting does not prevent Wireless Hosted Networking from using the ICS service for DHCP services. To prevent the ICS service from running on the Network Permissions tab in the network's policy properties select the "Don't use hosted networks" check box.</t>
    </r>
  </si>
  <si>
    <t>HKLM\Software\Policies\Microsoft\Windows\Network Connections!NC_ShowSharedAccessUI</t>
  </si>
  <si>
    <t>At least Windows Server 2003 operating systems or Windows XP Professional</t>
  </si>
  <si>
    <t>Network\Network Provider</t>
  </si>
  <si>
    <t>CPT-75B23838</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</si>
  <si>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 RequireIntegrity=1; RequireMutualAuthentication=1; \\*\NETLOGON = RequireIntegrity=1; RequireMutualAuthentication=1</t>
    </r>
    <r>
      <rPr>
        <sz val="11"/>
        <color rgb="FF000000"/>
        <rFont val="Calibri"/>
      </rPr>
      <t>'</t>
    </r>
  </si>
  <si>
    <r>
      <rPr>
        <sz val="11"/>
        <color rgb="FF000000"/>
        <rFont val="Calibri"/>
      </rPr>
      <t xml:space="preserve">Set the following UI path to </t>
    </r>
    <r>
      <rPr>
        <b/>
        <sz val="11"/>
        <color rgb="FF000000"/>
        <rFont val="Calibri"/>
      </rPr>
      <t>Enabled; \\*\SYSVOL = RequireIntegrity=1; RequireMutualAuthentication=1; \\*\NETLOGON = RequireIntegrity=1; RequireMutualAuthentication=1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Provider\Hardened UNC Paths</t>
    </r>
  </si>
  <si>
    <r>
      <rPr>
        <sz val="11"/>
        <color rgb="FF000000"/>
        <rFont val="Calibri"/>
      </rPr>
      <t>This policy setting configures secure access to UNC paths.If you enable this policy Windows only allows access to the specified UNC paths after fulfilling additional security requirements.</t>
    </r>
  </si>
  <si>
    <t>HKLM\Software\Policies\Microsoft\Windows\NetworkProvider\HardenedPaths</t>
  </si>
  <si>
    <t>Network\Windows Connection Manager</t>
  </si>
  <si>
    <t>CPT-74C4F026</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</si>
  <si>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</si>
  <si>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Templates\Network\Windows Connection Manager\Prohibit connection to non-domain networks when connected to domain authenticated network</t>
    </r>
  </si>
  <si>
    <r>
      <rPr>
        <sz val="11"/>
        <color rgb="FF000000"/>
        <rFont val="Calibri"/>
      </rPr>
      <t>This policy setting prevents computers from connecting to both a domain based network and a non-domain based network at the same time.If this policy setting is enabled the computer responds to automatic and manual network connection attempts based on the following circumstances:Automatic connection attempts- When the computer is already connected to a domain based network all automatic connection attempts to non-domain networks are blocked.- When the computer is already connected to a non-domain based network automatic connection attempts to domain based networks are blocked.Manual connection attempts-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blocked.If this policy setting is not configured or is disabled computers are allowed to connect simultaneously to both domain and non-domain networks.</t>
    </r>
  </si>
  <si>
    <t>HKLM\Software\Policies\Microsoft\Windows\WcmSvc\GroupPolicy!fBlockNonDomain</t>
  </si>
  <si>
    <t>At least Windows Server 2012 Windows 8 or Windows RT</t>
  </si>
  <si>
    <t>Network\WLAN Service\WLAN Settings</t>
  </si>
  <si>
    <t>CPT-9D2E81DD</t>
  </si>
  <si>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</si>
  <si>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Templates\Network\WLAN Service\WLAN Settings\Allow Windows to automatically connect to suggested open hotspots to networks shared by contacts and to hotspots offering paid services</t>
    </r>
  </si>
  <si>
    <r>
      <rPr>
        <sz val="11"/>
        <color rgb="FF000000"/>
        <rFont val="Calibri"/>
      </rPr>
      <t>This policy setting determines whether users can enable the following WLAN settings: "Connect to suggested open hotspots" "Connect to networks shared by my contacts" and "Enable paid services"."Connect to suggested open hotspots" enables Windows to automatically connect users to open hotspots it knows about by crowdsourcing networks that other people using Windows have connected to."Connect to networks shared by my contacts" enables Windows to automatically connect to networks that the user's contacts have shared with them and enables users on this device to share networks with their contacts."Enable paid services" enables Windows to temporarily connect to open hotspots to determine if paid services are available.If this policy setting is disabled both "Connect to suggested open hotspots" "Connect to networks shared by my contacts" and "Enable paid services" will be turned off and users on this device will be prevented from enabling them.If this policy setting is not configured or is enabled users can choose to enable or disable either "Connect to suggested open hotspots"  or "Connect to networks shared by my contacts".</t>
    </r>
  </si>
  <si>
    <t>HKLM\Software\Microsoft\wcmsvc\wifinetworkmanager\config!AutoConnectAllowedOEM</t>
  </si>
  <si>
    <t>At least Windows 10</t>
  </si>
  <si>
    <t>Printers</t>
  </si>
  <si>
    <t>CPT-A68439A6</t>
  </si>
  <si>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</si>
  <si>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UI path to </t>
    </r>
    <r>
      <rPr>
        <b/>
        <sz val="11"/>
        <color rgb="FF000000"/>
        <rFont val="Calibri"/>
      </rPr>
      <t>Enabled: Redirection Guard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Redirection Guard</t>
    </r>
  </si>
  <si>
    <r>
      <rPr>
        <sz val="11"/>
        <color rgb="FF000000"/>
        <rFont val="Calibri"/>
      </rPr>
      <t>Determines whether Redirection Guard is enabled for the print spooler.You can enable this setting to configure the Redirection Guard policy being applied to spooler.If you disable or do not configure this policy setting Redirection Guard will default to being 'Enabled'.If you enable this setting you may select the following options:-- Enabled : Redirection Guard will prevent any file redirections from being followed-- Disabed : Redirection Guard will not be enabled and file redirections may be used within the spooler process-- Audit   : Redirection Guard will log events as though it were enabled but will not actually prevent file redirections from being used within the spooler.</t>
    </r>
  </si>
  <si>
    <t>HKLM\Software\Policies\Microsoft\Windows NT\Printers!RedirectionGuardPolicy</t>
  </si>
  <si>
    <t>CPT-4CEA62C6</t>
  </si>
  <si>
    <r>
      <rPr>
        <sz val="11"/>
        <rFont val="Calibri"/>
      </rPr>
      <t xml:space="preserve">Ensure </t>
    </r>
    <r>
      <rPr>
        <sz val="11"/>
        <color rgb="FF000000"/>
        <rFont val="Calibri"/>
      </rPr>
      <t>'</t>
    </r>
    <r>
      <rPr>
        <b/>
        <sz val="11"/>
        <color rgb="FF000000"/>
        <rFont val="Calibri"/>
      </rPr>
      <t>Configure RPC connection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Default</t>
    </r>
    <r>
      <rPr>
        <sz val="11"/>
        <color rgb="FF000000"/>
        <rFont val="Calibri"/>
      </rPr>
      <t>'</t>
    </r>
  </si>
  <si>
    <r>
      <rPr>
        <sz val="11"/>
        <color rgb="FF000000"/>
        <rFont val="Calibri"/>
      </rPr>
      <t xml:space="preserve">Set the following UI path to </t>
    </r>
    <r>
      <rPr>
        <b/>
        <sz val="11"/>
        <color rgb="FF000000"/>
        <rFont val="Calibri"/>
      </rPr>
      <t>Enabled: RPC over TCP | Default</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RPC connection settings</t>
    </r>
  </si>
  <si>
    <r>
      <rPr>
        <sz val="11"/>
        <color rgb="FF000000"/>
        <rFont val="Calibri"/>
      </rPr>
      <t>This policy setting controls which protocol and protocol settings to use for outgoing RPC connections to a remote print spooler.By default RPC over TCP is used and authentication is always enabled. For RPC over named pipes authentication is always enabled for domain joined machines but disabled for non domain joined machines.Protocol to use for outgoing RPC connections:    -- "RPC over TCP": Use RPC over TCP for outgoing RPC connections to a remote print spooler    -- "RPC over named pipes": Use RPC over named pipes for outgoing RPC connections to a remote print spoolerUse authentication for outgoing RPC over named pipes connections:    -- "Default": By default domain joined computers enable RPC authentication for RPC over named pipes while non domain joined computers disable RPC authentication for RPC over named pipes    -- "Authentication enabled": RPC authentication will be used for outgoing RPC over named pipes connections    -- "Authentication disabled": RPC authentication will not be used for outgoing RPC over named pipes connectionsIf you disable or do not configure this policy setting the above defaults will be used.</t>
    </r>
  </si>
  <si>
    <t>HKLM\Software\Policies\Microsoft\Windows NT\Printers\RPC!RpcUseNamedPipeProtocol HKLM\Software\Policies\Microsoft\Windows NT\Printers\RPC!RpcAuthentication</t>
  </si>
  <si>
    <t>CPT-20F847DA</t>
  </si>
  <si>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t>
    </r>
    <r>
      <rPr>
        <sz val="11"/>
        <color rgb="FF000000"/>
        <rFont val="Calibri"/>
      </rPr>
      <t>'</t>
    </r>
  </si>
  <si>
    <r>
      <rPr>
        <sz val="11"/>
        <color rgb="FF000000"/>
        <rFont val="Calibri"/>
      </rPr>
      <t xml:space="preserve">Set the following UI path to </t>
    </r>
    <r>
      <rPr>
        <b/>
        <sz val="11"/>
        <color rgb="FF000000"/>
        <rFont val="Calibri"/>
      </rPr>
      <t>Enabled: RPC over TCP | Negotiate</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RPC listener settings</t>
    </r>
  </si>
  <si>
    <r>
      <rPr>
        <sz val="11"/>
        <color rgb="FF000000"/>
        <rFont val="Calibri"/>
      </rPr>
      <t>This policy setting controls which protocols incoming RPC connections to the print spooler are allowed to use.By default RPC over TCP is enabled and Negotiate is used for the authentication protocol.Protocols to allow for incoming RPC connections:    -- "RPC over named pipes": Incoming RPC connections are only allowed over named pipes    -- "RPC over TCP": Incoming RPC connections are only allowed over TCP (the default option)    -- "RPC over named pipes and TCP": Incoming RPC connections will be allowed over TCP and named pipesAuthentication protocol to use for incoming RPC connections:    -- "Negotiate": Use the Negotiate authentication protocol (the default option)    -- "Kerberos": Use the Kerberos authentication protocolIf you disable or do not configure this policy setting the above defaults will be used.</t>
    </r>
  </si>
  <si>
    <t>HKLM\Software\Policies\Microsoft\Windows NT\Printers\RPC!RpcProtocols HKLM\Software\Policies\Microsoft\Windows NT\Printers\RPC!ForceKerberosForRpc</t>
  </si>
  <si>
    <t>CPT-BD62C805</t>
  </si>
  <si>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</si>
  <si>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RPC over TCP port</t>
    </r>
  </si>
  <si>
    <r>
      <rPr>
        <sz val="11"/>
        <color rgb="FF000000"/>
        <rFont val="Calibri"/>
      </rPr>
      <t>This policy setting controls which port is used for RPC over TCP for incoming connections to the print spooler and outgoing connections to remote print spoolers.By default dynamic TCP ports are used.RPC over TCP port:    -- The port to use for RPC over TCP. A value of 0 is the default and indicates that dynamic TCP ports will be usedIf you disable or do not configure this policy setting dynamic TCP ports are used.</t>
    </r>
  </si>
  <si>
    <t>HKLM\Software\Policies\Microsoft\Windows NT\Printers\RPC!RpcTcpPort</t>
  </si>
  <si>
    <t>CPT-D568DEA7</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</si>
  <si>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RPC packet level privacy setting for incoming connections</t>
    </r>
  </si>
  <si>
    <t>HKLM\System\CurrentControlSet\Control\Print!RpcAuthnLevelPrivacyEnabled</t>
  </si>
  <si>
    <t>CPT-0C150657</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</si>
  <si>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</si>
  <si>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Templates\Printers\Limits print driver installation to Administrators</t>
    </r>
  </si>
  <si>
    <r>
      <rPr>
        <sz val="11"/>
        <color rgb="FF000000"/>
        <rFont val="Calibri"/>
      </rPr>
      <t>Determines whether users that aren't Administrators can install print drivers on this computer.By default users that aren't Administrators can't install print drivers on this computer.If you enable this setting or do not configure it the system will limit installation of print drivers to Administrators of this computer.If you disable this setting the system won't limit installation of print drivers to this computer.</t>
    </r>
  </si>
  <si>
    <t>HKLM\Software\Policies\Microsoft\Windows NT\Printers\PointAndPrint!RestrictDriverInstallationToAdministrators</t>
  </si>
  <si>
    <t>CPT-D48DD0FF</t>
  </si>
  <si>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</si>
  <si>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 xml:space="preserve">Set the following UI path to </t>
    </r>
    <r>
      <rPr>
        <b/>
        <sz val="11"/>
        <color rgb="FF000000"/>
        <rFont val="Calibri"/>
      </rPr>
      <t>Enabled: Limit Queue-specific files to Color profiles</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Templates\Printers\Manage processing of Queue-specific files</t>
    </r>
  </si>
  <si>
    <r>
      <rPr>
        <sz val="11"/>
        <color rgb="FF000000"/>
        <rFont val="Calibri"/>
      </rPr>
      <t>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server.You can enable this setting to change the default behavior involving queue-specific files. To use this setting select one of the options below from the "Manage processing of Queue-specific files" box.If you disable or do not configure this policy setting the default behavior is "Limit Queue-specific files to Color profiles".--  "Do not allow Queue-specific files" specifies that no queue-specific files will be allowed/processed during print queue/printer connection installation.--  "Limit Queue-specific files to Color profiles" specifies that only queue-specific files that adhere to the standard color profile scheme will be allowed. This means entries using the Registry Key CopyFiles\ICM containing a Directory value of COLOR and supporting mscms.dll as the Module value. "Limit Queue-specific files to Color profiles" is the default behavior.--  "Allow all Queue-specific files" specifies that all queue-specific files will be allowed/processed during print queue/printer connection installation.</t>
    </r>
  </si>
  <si>
    <t>HKLM\Software\Policies\Microsoft\Windows NT\Printers!CopyFilesPolicy</t>
  </si>
  <si>
    <t>CPT-A995CB07</t>
  </si>
  <si>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</si>
  <si>
    <r>
      <rPr>
        <sz val="11"/>
        <color rgb="FF000000"/>
        <rFont val="Calibri"/>
      </rPr>
      <t xml:space="preserve">Set the following UI path to </t>
    </r>
    <r>
      <rPr>
        <b/>
        <sz val="11"/>
        <color rgb="FF000000"/>
        <rFont val="Calibri"/>
      </rPr>
      <t>Enabled: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Templates\System\Configure the behavior of the sudo command</t>
    </r>
  </si>
  <si>
    <r>
      <rPr>
        <sz val="11"/>
        <color rgb="FF000000"/>
        <rFont val="Calibri"/>
      </rPr>
      <t>This policy setting controls use of the sudo.exe command line tool. If you enable this policy setting then you may set a maximum allowed mode to run sudo in. This restricts the ways in which users may interact with command-line applications run with sudo. You may pick one of the following modes to allow sudo to run in:"Disabled": sudo is entirely disabled on this machine. When the user tries to run sudo sudo will print an error message and exit."Force new window": When sudo launches a command line application it will launch that app in a new console window."Disable input": When sudo launches a command line application it will launch the app in the current console window but the user will not be able to type input to the command line app. The user may also choose to run sudo in "Force new window" mode."Normal": When sudo launches a command line application it will launch the app in the current console window. The user may also choose to run sudo in "Force new window" or "Disable input" mode.If you disable this policy or do not configure it the user will be able to run sudo.exe normally (after enabling the setting in the Settings app).</t>
    </r>
  </si>
  <si>
    <t>HKLM\Software\Policies\Microsoft\Windows\Sudo!Enabled</t>
  </si>
  <si>
    <t>At least Windows 11</t>
  </si>
  <si>
    <t>System\Credentials Delegation</t>
  </si>
  <si>
    <t>CPT-6191EEC7</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</si>
  <si>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</si>
  <si>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UI path to </t>
    </r>
    <r>
      <rPr>
        <b/>
        <sz val="11"/>
        <color rgb="FF000000"/>
        <rFont val="Calibri"/>
      </rPr>
      <t>Enabled: Force Updated Clients</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Delegation\Encryption Oracle Remediation</t>
    </r>
  </si>
  <si>
    <r>
      <rPr>
        <sz val="11"/>
        <color rgb="FF000000"/>
        <rFont val="Calibri"/>
      </rPr>
      <t>Encryption Oracle RemediationThis policy setting applies to applications using the CredSSP component (for example: Remote Desktop Connection).Some versions of the CredSSP protocol are vulnerable to an encryption oracle attack against the client.  This policy controls compatibility with vulnerable clients and servers.  This policy allows you to set the level of protection desired for the encryption oracle vulnerability.If you enable this policy setting CredSSP version support will be selected based on the following options:Force Updated Clients: Client applications which use CredSSP will not be able to fall back to the insecure versions and services using CredSSP will not accept unpatched clients. Note: this setting should not be deployed until all remote hosts support the newest version.Mitigated: Client applications which use CredSSP will not be able to fall back to the insecure version but services using CredSSP will accept unpatched clients. See the link below for important information about the risk posed by remaining unpatched clients.Vulnerable: Client applications which use CredSSP will expose the remote servers to attacks by supporting fall back to the insecure versions and services using CredSSP will accept unpatched clients.For more information about the vulnerability and servicing requirements for protection see https://go.microsoft.com/fwlink/?linkid=866660</t>
    </r>
  </si>
  <si>
    <t>HKLM\Software\Microsoft\Windows\CurrentVersion\Policies\System\CredSSP\Parameters!AllowEncryptionOracle</t>
  </si>
  <si>
    <t>CPT-662D7782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</si>
  <si>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</si>
  <si>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</si>
  <si>
    <r>
      <rPr>
        <sz val="11"/>
        <color rgb="FF000000"/>
        <rFont val="Calibri"/>
      </rPr>
      <t>Remote host allows delegation of non-exportable credentialsWhen using credential delegation devices provide an exportable version of credentials to the remote host. This exposes users to the risk of credential theft from attackers on the remote host.If you enable this policy setting the host supports Restricted Admin or Remote Credential Guard mode.If you disable or do not configure this policy setting Restricted Administration and Remote Credential Guard mode are not supported. User will always need to pass their credentials to the host.</t>
    </r>
  </si>
  <si>
    <t>HKLM\Software\Policies\Microsoft\Windows\CredentialsDelegation!AllowProtectedCreds</t>
  </si>
  <si>
    <t>At least Windows Server 2016 Windows 10 Version 1703</t>
  </si>
  <si>
    <t>System\Device Guard</t>
  </si>
  <si>
    <t>CPT-B96264BB</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</si>
  <si>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t>
    </r>
  </si>
  <si>
    <r>
      <rPr>
        <sz val="11"/>
        <color rgb="FF000000"/>
        <rFont val="Calibri"/>
      </rPr>
      <t xml:space="preserve">Set the following UI path to </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Guard\Turn On Virtualization Based Security</t>
    </r>
  </si>
  <si>
    <r>
      <rPr>
        <sz val="11"/>
        <color rgb="FF000000"/>
        <rFont val="Calibri"/>
      </rPr>
      <t>Specifies whether Virtualization Based Security is enabled.          Virtualization Based Security uses the Windows Hypervisor to provide support for security services. Virtualization Based Security requires Secure Boot and can optionally be enabled with the use of DMA Protections. DMA protections require hardware support and will only be enabled on correctly configured devices.          Virtualization Based Protection of Code Integrity          This setting enables virtualization based protection of Kernel Mode Code Integrity. When this is enabled kernel mode memory protections are enforced and the Code Integrity validation path is protected by the Virtualization Based Security feature.          The "Disabled" option turns off Virtualization Based Protection of Code Integrity remotely if it was previously turned on with the "Enabled without lock" option.          The "Enabled with UEFI lock" option ensures that Virtualization Based Protection of Code Integrity cannot be disabled remotely. In order to disable the feature you must set the Group Policy to "Disabled" as well as remove the security functionality from each computer with a physically present user in order to clear configuration persisted in UEFI.          The "Enabled without lock" option allows Virtualization Based Protection of Code Integrity to be disabled remotely by using Group Policy.          The "Not Configured" option leaves the policy setting undefined. Group Policy does not write the policy setting to the registry and so it has no impact on computers or users. If there is a current setting in the registry it will not be modified.          The "Require UEFI Memory Attributes Table"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          Warning: All drivers on the system must be compatible with this feature or the system may crash. Ensure that this policy setting is only deployed to computers which are known to be compatible.          Credential Guard          This setting lets users turn on Credential Guard with virtualization-based security to help protect credentials.          For Windows 11 21H2 and earlier the "Disabled" option turns off Credential Guard remotely if it was previously turned on with the "Enabled without lock" option. For later versions the "Disabled" option turns off Credential Guard remotely if it was previously turned on with the "Enabled without lock" option or was "Not Configured".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          The "Enabled without lock" option allows Credential Guard to be disabled remotely by using Group Policy. The devices that use this setting must be running at least Windows 10 (Version 1511).          For Windows 11 21H2 and earlier the "Not Configured" option leaves the policy setting undefined. Group Policy does not write the policy setting to the registry and so it has no impact on computers or users. If there is a current setting in the registry it will not be modified. For later versions if there is no current setting in the registry the "Not Configured" option will enable Credential Guard without UEFI lock.          Machine Identity Isolation          This setting controls Credential Guard protection of Active Directory machine accounts. Enabling this policy has certain prerequisites. The prerequisites and more information about this policy can be found at https://go.microsoft.com/fwlink/?linkid=2251066.          The "Not Configured" option leaves the policy setting undefined. Group Policy does not write the policy setting to the registry and so it has no impact on computers or users. If there is a current setting in the registry it will not be modified.          The "Disabled" option turns off Machine Identity Isolation. If this policy was previously set to "Enabled in audit mode" no further action is needed. If this policy was previously set to â€œEnabled in enforcement modeâ€ the device must be unjoined and rejoined to the domain. More details can be found at the link above.          The "Enabled in audit mode" option copies the machine identity into Credential Guard. Both LSA and Credential Guard will have access to the machine identity. This allows users to validate that "Enabled in enforcement mode" will work in their Active Directory Domain.          The "Enabled in enforcement mode" option moves the machine identity into Credential Guard. This makes the machine identity only accessible to Credential Guard.          Secure Launch          This setting sets the configuration of Secure Launch to secure the boot chain.          The "Not Configured" setting is the default and allows configuration of the feature by Administrative users.          The "Enabled" option turns on Secure Launch on supported hardware.          The "Disabled" option turns off Secure Launch regardless of hardware support.          Kernel-mode Hardware-enforced Stack Protection          This setting enables Hardware-enforced Stack Protection for kernel-mode code. When this security feature is enabled kernel-mode data stacks are hardened with hardware-based shadow stacks which store intended return address targets to ensure that program control flow is not tampered.          This security feature has the following prerequisites:          1) The CPU hardware supports hardware-based shadow stacks.          2) Virtualization Based Protection of Code Integrity is enabled.          If either prerequisite is not met this feature will not be enabled even if an "Enabled" option is selected for this feature. Note that selecting an "Enabled" option for this feature will not automatically enable Virtualization Based Protection of Code Integrity that needs to be done separately.          Devices that enable this security feature must be running at least Windows 11 (Version 22H2).          The "Disabled" option turns off kernel-mode Hardware-enforced Stack Protection.          The "Enabled in audit mode" option enables kernel-mode Hardware-enforced Stack Protection in audit mode where shadow stack violations are not fatal and will be logged to the system event log.          The "Enabled in enforcement mode" option enables kernel-mode Hardware-enforced Stack Protection in enforcement mode where shadow stack violations are fatal.          The "Not Configured" option leaves the policy setting undefined. Group Policy does not write the policy setting to the registry and so it has no impact on computers or users. If there is a current setting in the registry it will not be modified.          Warning: All drivers on the system must be compatible with this security feature or the system may crash in enforcement mode. Audit mode can be used to discover incompatible drivers. For more information refer to https://go.microsoft.com/fwlink/?LinkId=2162953.</t>
    </r>
  </si>
  <si>
    <t>HKLM\SOFTWARE\Policies\Microsoft\Windows\DeviceGuard!EnableVirtualizationBasedSecurity; HKLM\SOFTWARE\Policies\Microsoft\Windows\DeviceGuard!RequirePlatformSecurityFeatures HKLM\SOFTWARE\Policies\Microsoft\Windows\DeviceGuard!HypervisorEnforcedCodeIntegrity HKLM\SOFTWARE\Policies\Microsoft\Windows\DeviceGuard!HVCIMATRequired HKLM\SOFTWARE\Policies\Microsoft\Windows\DeviceGuard!LsaCfgFlags HKLM\SOFTWARE\Policies\Microsoft\Windows\DeviceGuard!MachineIdentityIsolation HKLM\SOFTWARE\Policies\Microsoft\Windows\DeviceGuard!ConfigureSystemGuardLaunch HKLM\SOFTWARE\Policies\Microsoft\Windows\DeviceGuard!ConfigureKernelShadowStacksLaunch</t>
  </si>
  <si>
    <t>System\Device Installation\Device Installation Restrictions</t>
  </si>
  <si>
    <t>CPT-F39656DD</t>
  </si>
  <si>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 Also apply to matching devices that are already installed = True</t>
    </r>
    <r>
      <rPr>
        <sz val="11"/>
        <color rgb="FF000000"/>
        <rFont val="Calibri"/>
      </rPr>
      <t>'</t>
    </r>
  </si>
  <si>
    <r>
      <rPr>
        <sz val="11"/>
        <color rgb="FF000000"/>
        <rFont val="Calibri"/>
      </rPr>
      <t xml:space="preserve">Set the following UI path to </t>
    </r>
    <r>
      <rPr>
        <b/>
        <sz val="11"/>
        <color rgb="FF000000"/>
        <rFont val="Calibri"/>
      </rPr>
      <t>Enabled: {d48179be-ec20-11d1-b6b8-00c04fa372a7}; Also apply to matching devices that are already installed = True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using drivers that match these device setup classes</t>
    </r>
  </si>
  <si>
    <r>
      <rPr>
        <sz val="11"/>
        <color rgb="FF000000"/>
        <rFont val="Calibri"/>
      </rPr>
      <t>This policy setting allows you to specify a list of device setup class globally unique identifiers (GUIDs) for driver packages that Windows is prevented from installing. By default this policy setting takes precedence over any other policy setting that allows Windows to install a device.NOTE: To enable the "Allow installation of devices that match any of these device IDs" and "Allow installation of devices that match any of these device instance IDs" policy settings to supersede this policy setting for applicable devices enable the "Apply layered order of evaluation for Allow and Prevent device installation policies across all device match criteria" policy setting. If you enable this policy setting Windows is prevented from installing or updating driver packages whose device setup class GUIDs appear in the list you create. If you enable this policy setting on a remote desktop server the policy setting affects redirection of the specified devices from a remote desktop client to the remote desktop server.If you disable or do not configure this policy setting Windows can install and update devices as allowed or prevented by other policy settings.</t>
    </r>
  </si>
  <si>
    <t>HKLM\Software\Policies\Microsoft\Windows\DeviceInstall\Restrictions!DenyDeviceClasses; HKLM\Software\Policies\Microsoft\Windows\DeviceInstall\Restrictions\DenyDeviceClasses HKLM\Software\Policies\Microsoft\Windows\DeviceInstall\Restrictions!DenyDeviceClassesRetroactive</t>
  </si>
  <si>
    <t>System\Early Launch Antimalware</t>
  </si>
  <si>
    <t>CPT-28272E83</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</si>
  <si>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</si>
  <si>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UI path to </t>
    </r>
    <r>
      <rPr>
        <b/>
        <sz val="11"/>
        <color rgb="FF000000"/>
        <rFont val="Calibri"/>
      </rPr>
      <t>Enabled: Good, unknown and bad but critical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Templates\System\Early Launch Antimalware\Boot-Start Driver Initialization Policy</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</si>
  <si>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  Good: The driver has been signed and has not been tampered with.-  Bad: The driver has been identified as malware. It is recommended that you do not allow known bad drivers to be initialized.-  Bad but required for boot: The driver has been identified as malware but the computer cannot successfully boot without loading this driver.-  Unknown: This driver has not been attested to by your malware detection application and has not been classified by the Early Launch Antimalware boot-start driver.If you enable this policy setting you will be able to choose which boot-start drivers to initialize the next time the computer is started.If you disable or do not configure this policy setting the boot start drivers determined to be Good Unknown or Bad but Boot Critical are initialized and the initialization of drivers determined to be Bad is skipped.If your malware detection application does not include an Early Launch Antimalware boot-start driver or if your Early Launch Antimalware boot-start driver has been disabled this setting has no effect and all boot-start drivers are initialized.</t>
    </r>
  </si>
  <si>
    <t>HKLM\System\CurrentControlSet\Policies\EarlyLaunch!DriverLoadPolicy; HKLM\System\CurrentControlSet\Policies\EarlyLaunch!DriverLoadPolicy</t>
  </si>
  <si>
    <t>System\Internet Communication Management\Internet Communication settings</t>
  </si>
  <si>
    <t>CPT-6FAAF220</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</si>
  <si>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</si>
  <si>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</si>
  <si>
    <r>
      <rPr>
        <sz val="11"/>
        <color rgb="FF000000"/>
        <rFont val="Calibri"/>
      </rPr>
      <t>This policy setting specifies whether to allow this client to download print driver packages over HTTP.To set up HTTP printing non-inbox drivers need to be downloaded over HTTP.Note: This policy setting does not prevent the client from printing to printers on the Intranet or the Internet over HTTP.  It only prohibits downloading drivers that are not already installed locally.If you enable this policy setting print drivers cannot be downloaded over HTTP.If you disable or do not configure this policy setting users can download print drivers over HTTP.</t>
    </r>
  </si>
  <si>
    <t>HKLM\Software\Policies\Microsoft\Windows NT\Printers!DisableWebPnPDownload</t>
  </si>
  <si>
    <t>At least Windows Server 2003 operating systems with SP1 or Windows XP Professional with SP2</t>
  </si>
  <si>
    <t>CPT-39EE606B</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</si>
  <si>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</si>
  <si>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download for Web publishing and online ordering wizards</t>
    </r>
  </si>
  <si>
    <r>
      <rPr>
        <sz val="11"/>
        <color rgb="FF000000"/>
        <rFont val="Calibri"/>
      </rPr>
      <t>This policy setting specifies whether Windows should download a list of providers for the web publishing and online ordering wizards.These wizards allow users to select from a list of companies that provide services such as online storage and photographic printing. By default Windows displays providers downloaded from a Windows website in addition to providers specified in the registry.If you enable this policy setting Windows does not download providers and only the service providers that are cached in the local registry are displayed.If you disable or do not configure this policy setting a list of providers are downloaded when the user uses the web publishing or online ordering wizards.See the documentation for the web publishing and online ordering wizards for more information including details on specifying service providers in the registry.</t>
    </r>
  </si>
  <si>
    <t>HKLM\Software\Microsoft\Windows\CurrentVersion\Policies\Explorer!NoWebServices</t>
  </si>
  <si>
    <t>At least Windows Server 2003 operating systems or Windows XP Professional with SP2</t>
  </si>
  <si>
    <t>System\KDC</t>
  </si>
  <si>
    <t>CPT-A1E4DBC8</t>
  </si>
  <si>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</si>
  <si>
    <r>
      <rPr>
        <sz val="11"/>
        <color rgb="FF000000"/>
        <rFont val="Calibri"/>
      </rPr>
      <t xml:space="preserve">Set the following UI path to </t>
    </r>
    <r>
      <rPr>
        <b/>
        <sz val="11"/>
        <color rgb="FF000000"/>
        <rFont val="Calibri"/>
      </rPr>
      <t>Enabled: SHA-1 Not Supported; SHA-256 - Supported; SHA-384 - Supported; SHA-512 -  Supported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Templates\System\KDC\Configure hash algorithms for certificate logon</t>
    </r>
  </si>
  <si>
    <r>
      <rPr>
        <sz val="11"/>
        <color rgb="FF000000"/>
        <rFont val="Calibri"/>
      </rPr>
      <t>This policy setting controls hash or checksum algorithms used by the Kerberos client when performing certificate authentication.If you enable this policy you will be able to configure one of four states for each algorithm:- â€œDefaultâ€ sets the algorithm to the recommended state.- â€œSupportedâ€ enables usage of the algorithm. Enabling algorithms that have been disabled by default may reduce your security.- â€œAuditedâ€ enables usage of the algorithm and reports an event (ID 309) every time it is used. This state is intended to verify that the algorithm is not being used and can be safely disabled.- â€œNot Supportedâ€ disables usage of the algorithm. This state is intended for algorithms that are deemed to be insecure.If you disable or do not configure this policy each algorithm will assume the â€œDefaultâ€ state.More information about the hash and checksum algorithms supported by the Windows Kerberos client and their default states can be found at https://go.microsoft.com/fwlink/?linkid=2169037.Events generated by this configuration: 309 310.</t>
    </r>
  </si>
  <si>
    <t>HKLM\Software\Microsoft\Windows\CurrentVersion\Policies\System\KDC\Parameters!PKINITHashAlgorithmConfigurationEnabled; HKLM\Software\Microsoft\Windows\CurrentVersion\Policies\System\KDC\Parameters!PKINITSHA1 HKLM\Software\Microsoft\Windows\CurrentVersion\Policies\System\KDC\Parameters!PKINITSHA256 HKLM\Software\Microsoft\Windows\CurrentVersion\Policies\System\KDC\Parameters!PKINITSHA384 HKLM\Software\Microsoft\Windows\CurrentVersion\Policies\System\KDC\Parameters!PKINITSHA512</t>
  </si>
  <si>
    <t>At least Windows 11 Version 22H2</t>
  </si>
  <si>
    <t>System\Kerberos</t>
  </si>
  <si>
    <t>CPT-68108E6D</t>
  </si>
  <si>
    <r>
      <rPr>
        <sz val="11"/>
        <color rgb="FF000000"/>
        <rFont val="Calibri"/>
      </rPr>
      <t xml:space="preserve">Set the following UI path to </t>
    </r>
    <r>
      <rPr>
        <b/>
        <sz val="11"/>
        <color rgb="FF000000"/>
        <rFont val="Calibri"/>
      </rPr>
      <t>Enabled: SHA-1 Not Supported; SHA-256 - Supported; SHA-384 - Supported; SHA-512 -  Supported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Templates\System\Kerberos\Configure hash algorithms for certificate logon</t>
    </r>
  </si>
  <si>
    <r>
      <rPr>
        <sz val="11"/>
        <color rgb="FF000000"/>
        <rFont val="Calibri"/>
      </rPr>
      <t>This policy setting controls hash or checksum algorithms used by the Kerberos client when performing certificate authentication.If you enable this policy you will be able to configure one of four states for each algorithm:- â€œDefaultâ€ sets the algorithm to the recommended state.- â€œSupportedâ€ enables usage of the algorithm. Enabling algorithms that have been disabled by default may reduce your security.- â€œAuditedâ€ enables usage of the algorithm and reports an event (ID 206) every time it is used. This state is intended to verify that the algorithm is not being used and can be safely disabled.- â€œNot Supportedâ€ disables usage of the algorithm. This state is intended for algorithms that are deemed to be insecure.If you disable or do not configure this policy each algorithm will assume the â€œDefaultâ€ state.More information about the hash and checksum algorithms supported by the Windows Kerberos client and their default states can be found at https://go.microsoft.com/fwlink/?linkid=2169037.Events generated by this configuration: 205 206 207 208.</t>
    </r>
  </si>
  <si>
    <t>HKLM\Software\Microsoft\Windows\CurrentVersion\Policies\System\Kerberos\Parameters!PKInitHashAlgorithmConfigurationEnabled; HKLM\Software\Microsoft\Windows\CurrentVersion\Policies\System\Kerberos\Parameters!PKInitSHA1 HKLM\Software\Microsoft\Windows\CurrentVersion\Policies\System\Kerberos\Parameters!PKInitSHA256 HKLM\Software\Microsoft\Windows\CurrentVersion\Policies\System\Kerberos\Parameters!PKInitSHA384 HKLM\Software\Microsoft\Windows\CurrentVersion\Policies\System\Kerberos\Parameters!PKInitSHA512</t>
  </si>
  <si>
    <t>System\Kernel DMA Protection</t>
  </si>
  <si>
    <t>CPT-93480E4E</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</si>
  <si>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</si>
  <si>
    <r>
      <rPr>
        <sz val="11"/>
        <color rgb="FF000000"/>
        <rFont val="Calibri"/>
      </rPr>
      <t xml:space="preserve">Set the following UI path to </t>
    </r>
    <r>
      <rPr>
        <b/>
        <sz val="11"/>
        <color rgb="FF000000"/>
        <rFont val="Calibri"/>
      </rPr>
      <t>Enabled: Block all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</si>
  <si>
    <r>
      <rPr>
        <sz val="11"/>
        <color rgb="FF000000"/>
        <rFont val="Calibri"/>
      </rPr>
      <t>Enumeration policy for external DMA-capable devices incompatible with DMA remapping. This policy only takes effect when Kernel DMA Protection is enabled and supported by the system. Note: this policy does not apply to 1394 PCMCIA or ExpressCard devices.</t>
    </r>
  </si>
  <si>
    <t>HKLM\Software\Policies\Microsoft\Windows\Kernel DMA Protection!DeviceEnumerationPolicy</t>
  </si>
  <si>
    <t>System\LAPS</t>
  </si>
  <si>
    <t>CPT-58433C9F</t>
  </si>
  <si>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</si>
  <si>
    <r>
      <rPr>
        <sz val="11"/>
        <color rgb="FF000000"/>
        <rFont val="Calibri"/>
      </rPr>
      <t xml:space="preserve">Set the following UI path to </t>
    </r>
    <r>
      <rPr>
        <b/>
        <sz val="11"/>
        <color rgb="FF000000"/>
        <rFont val="Calibri"/>
      </rPr>
      <t>Enabled: Active Directory</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Templates\System\LAPS\Configure password backup directory</t>
    </r>
  </si>
  <si>
    <r>
      <rPr>
        <sz val="11"/>
        <color rgb="FF000000"/>
        <rFont val="Calibri"/>
      </rPr>
      <t>Use this setting to configure which directory the local admin account password is backed up to.The allowable settings are:0=Disabled (password will not be backed up)1=Backup the password to Azure Active Directory2=Backup the password to Active DirectoryIf not specified this setting will default to 0 (Disabled).If this setting is configured to 1 and the managed device is not joined to Azure Active Directory the local administrator password will not be managed.If this setting is configured to 2 and the managed device is not joined to Active Directory the local administrator password will not be managed.If this setting is disabled or not configured the local administrator password is not managed.See https://go.microsoft.com/fwlink/?linkid=2188435 for more information.</t>
    </r>
  </si>
  <si>
    <t>HKLM\SOFTWARE\Microsoft\Windows\CurrentVersion\Policies\LAPS!BackupDirectory</t>
  </si>
  <si>
    <t>At least Microsoft Windows 10 or later</t>
  </si>
  <si>
    <t>CPT-0CD8FD31</t>
  </si>
  <si>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</si>
  <si>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Templates\System\LAPS\Enable password backup for DSRM accounts</t>
    </r>
  </si>
  <si>
    <r>
      <rPr>
        <sz val="11"/>
        <color rgb="FF000000"/>
        <rFont val="Calibri"/>
      </rPr>
      <t>When you enable this setting the DSRM administrator account password will be managed and backed up to Active Directory.Enabling this setting has no effect unless the managed device is a domain controller and password encryption is also enabled.If this setting is enabled the password for the DSRM administrator account on the domain controller will be backed up to Active Directory.If this setting is disabled or not configured the password for the DSRM administrator account on the domain controller will not be backed up to Active Directory.See https://go.microsoft.com/fwlink/?linkid=2188435 for more information.</t>
    </r>
  </si>
  <si>
    <t>HKLM\SOFTWARE\Microsoft\Windows\CurrentVersion\Policies\LAPS!ADBackupDSRMPassword</t>
  </si>
  <si>
    <t>CPT-ED18F96B</t>
  </si>
  <si>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</si>
  <si>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Templates\System\LAPS\Enable password encryption</t>
    </r>
  </si>
  <si>
    <r>
      <rPr>
        <sz val="11"/>
        <color rgb="FF000000"/>
        <rFont val="Calibri"/>
      </rPr>
      <t>When you enable this setting the managed password is encrypted before being sent to Active Directory.Enabling this setting has no effect unless 1) the password has been configured to be backed up to Active Directory and 2) the Active Directory domain functional level is at Windows Server 2016 or above.If this setting is enabled and the domain functional level is at or above Windows Server 2016 the managed account password is encrypted.If this setting is enabled and the domain functional level is less than Windows Server 2016 the managed account password is not backed up to the directory.If this setting is disabled the managed account password is not encrypted.This setting will default to enabled if not configured.See https://go.microsoft.com/fwlink/?linkid=2188435 for more information.</t>
    </r>
  </si>
  <si>
    <t>HKLM\SOFTWARE\Microsoft\Windows\CurrentVersion\Policies\LAPS!ADPasswordEncryptionEnabled</t>
  </si>
  <si>
    <t>System\Local Security Authority</t>
  </si>
  <si>
    <t>CPT-D7B40CA3</t>
  </si>
  <si>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</si>
  <si>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Templates\System\Local Security Authority\Allow Custom SSPs and APs to be loaded into LSASS</t>
    </r>
  </si>
  <si>
    <r>
      <rPr>
        <sz val="11"/>
        <color rgb="FF000000"/>
        <rFont val="Calibri"/>
      </rPr>
      <t>This policy controls the configuration under which LSASS loads custom SSPs and APs.If you enable this setting or do not configure it LSA allows custom SSPs and APs to be loaded.If you disable this setting LSA does not load custom SSPs and APs.</t>
    </r>
  </si>
  <si>
    <t>HKLM\Software\Policies\Microsoft\Windows\System!AllowCustomSSPsAPs</t>
  </si>
  <si>
    <t>At least Windows 10 Version 1903</t>
  </si>
  <si>
    <t>CPT-48E5CB29</t>
  </si>
  <si>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</si>
  <si>
    <r>
      <rPr>
        <sz val="11"/>
        <color rgb="FF000000"/>
        <rFont val="Calibri"/>
      </rPr>
      <t xml:space="preserve">Set the following UI path to </t>
    </r>
    <r>
      <rPr>
        <b/>
        <sz val="11"/>
        <color rgb="FF000000"/>
        <rFont val="Calibri"/>
      </rPr>
      <t>Enabled: Enabled with UEFI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Templates\System\Local Security Authority\Configures LSASS to run as a protected process</t>
    </r>
  </si>
  <si>
    <r>
      <rPr>
        <sz val="11"/>
        <color rgb="FF000000"/>
        <rFont val="Calibri"/>
      </rPr>
      <t>This policy controls the configuration under which LSASS is run.If you do not configure this policy and there is no current setting in the registry LSA will run as protected process for all clean installed HVCI capable client SKUs. This configuration is not UEFI locked. This can be overridden if the policy is configured.If you configure and set this policy setting to "Disabled" LSA will not run as a protected process.If you configure and set this policy setting to "EnabledWithUEFILock" LSA will run as a protected process and this configuration is UEFI locked.If you configure and set this policy setting to "EnabledWithoutUEFILock" LSA will run as a protected process and this configuration is not UEFI locked.</t>
    </r>
  </si>
  <si>
    <t>HKLM\Software\Policies\Microsoft\Windows\System!RunAsPPL</t>
  </si>
  <si>
    <t>System\Logon</t>
  </si>
  <si>
    <t>CPT-2C03ACCD</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</si>
  <si>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</si>
  <si>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Templates\System\Logon\Enumerate local users on domain-joined computers</t>
    </r>
  </si>
  <si>
    <r>
      <rPr>
        <sz val="11"/>
        <color rgb="FF000000"/>
        <rFont val="Calibri"/>
      </rPr>
      <t>This policy setting allows local users to be enumerated on domain-joined computers.  If you enable this policy setting Logon UI will enumerate all local users on domain-joined computers.If you disable or do not configure this policy setting the Logon UI will not enumerate local users on domain-joined computers.</t>
    </r>
  </si>
  <si>
    <t>HKLM\Software\Policies\Microsoft\Windows\System!EnumerateLocalUsers</t>
  </si>
  <si>
    <t>CPT-144D4C04</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</si>
  <si>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</si>
  <si>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Templates\System\Logon\Turn on convenience PIN sign-in</t>
    </r>
  </si>
  <si>
    <r>
      <rPr>
        <sz val="11"/>
        <color rgb="FF000000"/>
        <rFont val="Calibri"/>
      </rPr>
      <t>This policy setting allows you to control whether a domain user can sign in using a convenience PIN.If you enable this policy setting a domain user can set up and sign in with a convenience PIN.If you disable or don't configure this policy setting a domain user can't set up and use a convenience PIN.Note: The user's domain password will be cached in the system vault when using this feature.To configure Windows Hello for Business use the Administrative Template policies under Windows Hello for Business.</t>
    </r>
  </si>
  <si>
    <t>HKLM\Software\Policies\Microsoft\Windows\System!AllowDomainPINLogon</t>
  </si>
  <si>
    <t>System\Power Management\Sleep Settings</t>
  </si>
  <si>
    <t>CPT-C3D0443C</t>
  </si>
  <si>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</si>
  <si>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Settings\Allow standby states (S1-S3) when sleeping (on battery)</t>
    </r>
  </si>
  <si>
    <r>
      <rPr>
        <sz val="11"/>
        <color rgb="FF000000"/>
        <rFont val="Calibri"/>
      </rPr>
      <t>This policy setting manages whether or not Windows is allowed to use standby states when putting the computer in a sleep state.If you enable or do not configure this policy setting Windows uses standby states to put the computer in a sleep state.If you disable this policy setting standby states (S1-S3) are not allowed.</t>
    </r>
  </si>
  <si>
    <t>HKLM\Software\Policies\Microsoft\Power\PowerSettings\abfc2519-3608-4c2a-94ea-171b0ed546ab!DCSettingIndex</t>
  </si>
  <si>
    <t>CPT-B50A8715</t>
  </si>
  <si>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</si>
  <si>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Settings\Allow standby states (S1-S3) when sleeping (plugged in)</t>
    </r>
  </si>
  <si>
    <t>HKLM\Software\Policies\Microsoft\Power\PowerSettings\abfc2519-3608-4c2a-94ea-171b0ed546ab!ACSettingIndex</t>
  </si>
  <si>
    <t>CPT-744DFE8D</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</si>
  <si>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</si>
  <si>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</si>
  <si>
    <r>
      <rPr>
        <sz val="11"/>
        <color rgb="FF000000"/>
        <rFont val="Calibri"/>
      </rPr>
      <t>This policy setting specifies whether or not the user is prompted for a password when the system resumes from sleep.If you enable or do not configure this policy setting the user is prompted for a password when the system resumes from sleep.If you disable this policy setting the user is not prompted for a password when the system resumes from sleep.</t>
    </r>
  </si>
  <si>
    <t>HKLM\Software\Policies\Microsoft\Power\PowerSettings\0e796bdb-100d-47d6-a2d5-f7d2daa51f51!DCSettingIndex</t>
  </si>
  <si>
    <t>CPT-E8621665</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</si>
  <si>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</si>
  <si>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</si>
  <si>
    <t>HKLM\Software\Policies\Microsoft\Power\PowerSettings\0e796bdb-100d-47d6-a2d5-f7d2daa51f51!ACSettingIndex</t>
  </si>
  <si>
    <t>System\Remote Assistance</t>
  </si>
  <si>
    <t>CPT-93D467D2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</si>
  <si>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</si>
  <si>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Templates\System\Remote Assistance\Configure Solicited Remote Assistance</t>
    </r>
  </si>
  <si>
    <r>
      <rPr>
        <sz val="11"/>
        <color rgb="FF000000"/>
        <rFont val="Calibri"/>
      </rPr>
      <t>This policy setting allows you to turn on or turn off Solicited (Ask for) Remote Assistance on this computer.If you enable this policy setting users on this computer can use email or file transfer to ask someone for help. Also users can use instant messaging programs to allow connections to this computer and you can configure additional Remote Assistance settings.If you disable this policy setting users on this computer cannot use email or file transfer to ask someone for help. Also users cannot use instant messaging programs to allow connections to this computer.If you do not configure this policy setting users can turn on or turn off Solicited (Ask for) Remote Assistance themselves in System Properties in Control Panel. Users can also configure Remote Assistance settings.If you enable this policy setting you have two ways to allow helpers to provide Remote Assistance: "Allow helpers to only view the computer" or "Allow helpers to remotely control the computer."The "Maximum ticket time" policy setting sets a limit on the amount of time that a Remote Assistance invitation created by using email or file transfer can remain open.The "Select the method for sending email invitations" setting specifies which email standard to use to send Remote Assistance invitations. Depending on your email program you can use either the Mailto standard (the invitation recipient connects through an Internet link) or the SMAPI (Simple MAPI) standard (the invitation is attached to your email message). This policy setting is not available in Windows Vista since SMAPI is the only method supported.If you enable this policy setting you should also enable appropriate firewall exceptions to allow Remote Assistance communications.</t>
    </r>
  </si>
  <si>
    <t>HKLM\Software\policies\Microsoft\Windows NT\Terminal Services!fAllowToGetHelp; HKLM\Software\policies\Microsoft\Windows NT\Terminal Services!fAllowFullControl HKLM\Software\policies\Microsoft\Windows NT\Terminal Services!MaxTicketExpiry HKLM\Software\policies\Microsoft\Windows NT\Terminal Services!MaxTicketExpiryUnits HKLM\Software\policies\Microsoft\Windows NT\Terminal Services!fUseMailto</t>
  </si>
  <si>
    <t>System\Remote Procedure Call</t>
  </si>
  <si>
    <t>CPT-1B7A1FB7</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</si>
  <si>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</si>
  <si>
    <r>
      <rPr>
        <sz val="11"/>
        <color rgb="FF000000"/>
        <rFont val="Calibri"/>
      </rPr>
      <t xml:space="preserve">Set the following UI path to </t>
    </r>
    <r>
      <rPr>
        <b/>
        <sz val="11"/>
        <color rgb="FF000000"/>
        <rFont val="Calibri"/>
      </rPr>
      <t>Enabled: Authenticated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Templates\System\Remote Procedure Call\Restrict Unauthenticated RPC clients</t>
    </r>
  </si>
  <si>
    <r>
      <rPr>
        <sz val="11"/>
        <color rgb="FF000000"/>
        <rFont val="Calibri"/>
      </rPr>
      <t>This policy setting controls how the RPC server runtime handles unauthenticated RPC clients connecting to RPC servers.This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This policy setting should never be applied to a domain controller.If you disable this policy setting the RPC server runtime uses the value of "Authenticated" on Windows Client and the value of "None" on Windows Server versions that support this policy setting. If you do not configure this policy setting it remains disabled.  The RPC server runtime will behave as though it was enabled with the value of "Authenticated" used for Windows Client and the value of "None" used for Server SKUs that support this policy setting. If you enable this policy setting it directs the RPC server runtime to restrict unauthenticated RPC clients connecting to RPC servers running on a machine. 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  "None" allows all RPC clients to connect to RPC Servers running on the machine on which the policy setting is applied.--  "Authenticated" allows only authenticated RPC Clients (per the definition above) to connect to RPC Servers running on the machine on which the policy setting is applied. Exemptions are granted to interfaces that have requested them.--  "Authenticated without exceptions" allows only authenticated RPC Clients (per the definition above) to connect to RPC Servers running on the machine on which the policy setting is applied.  No exceptions are allowed.Note: This policy setting will not be applied until the system is rebooted.</t>
    </r>
  </si>
  <si>
    <t>HKLM\Software\Policies\Microsoft\Windows NT\Rpc!RestrictRemoteClients</t>
  </si>
  <si>
    <t>At least Windows XP Professional with SP2</t>
  </si>
  <si>
    <t>Windows Components\App Privacy</t>
  </si>
  <si>
    <t>CPT-B4FA7296</t>
  </si>
  <si>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</si>
  <si>
    <r>
      <rPr>
        <sz val="11"/>
        <color rgb="FF000000"/>
        <rFont val="Calibri"/>
      </rPr>
      <t xml:space="preserve">Set the following UI path to </t>
    </r>
    <r>
      <rPr>
        <b/>
        <sz val="11"/>
        <color rgb="FF000000"/>
        <rFont val="Calibri"/>
      </rPr>
      <t>Enabled: Force Deny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Components\App Privacy\Let Windows apps activate with voice while the system is locked</t>
    </r>
  </si>
  <si>
    <r>
      <rPr>
        <sz val="11"/>
        <color rgb="FF000000"/>
        <rFont val="Calibri"/>
      </rPr>
      <t>This policy setting specifies whether Windows apps can be activated by voice while the system is locked.If you choose the "User is in control" option employees in your organization can decide whether users can interact with applications using speech while the system is locked by using Settings &gt; Privacy on the device.If you choose the "Force Allow" option users can interact with applications using speech while the system is locked and employees in your organization cannot change it.If you choose the "Force Deny" option users cannot interact with applications using speech while the system is locked and employees in your organization cannot change it.If you disable or do not configure this policy setting employees in your organization can decide whether users can interact with applications using speech while the system is locked by using Settings &gt; Privacy on the device.This policy is applied to Windows apps and Cortana. It takes precedence of the â€œAllow Cortana above lockâ€ policy. This policy is applicable only when â€œAllow voice activationâ€ policy is configured to allow applications to be activated with voice.</t>
    </r>
  </si>
  <si>
    <t>HKLM\Software\Policies\Microsoft\Windows\AppPrivacy!LetAppsActivateWithVoiceAboveLock</t>
  </si>
  <si>
    <t>Windows Components\App runtime</t>
  </si>
  <si>
    <t>CPT-B5AA4296</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</si>
  <si>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</si>
  <si>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Components\App runtime\Allow Microsoft accounts to be optional</t>
    </r>
  </si>
  <si>
    <r>
      <rPr>
        <sz val="11"/>
        <color rgb="FF000000"/>
        <rFont val="Calibri"/>
      </rPr>
      <t>This policy setting lets you control whether Microsoft accounts are optional for packaged Microsoft Store apps that require an account to sign in. This policy only affects packaged Microsoft Store apps that support it.If you enable this policy setting packaged Microsoft Store apps that typically require a Microsoft account to sign in will allow users to sign in with an enterprise account instead.If you disable or do not configure this policy setting users will need to sign in with a Microsoft account.</t>
    </r>
  </si>
  <si>
    <t>HKLM\Software\Microsoft\Windows\CurrentVersion\Policies\System!MSAOptional</t>
  </si>
  <si>
    <t>Windows Components\AutoPlay Policies</t>
  </si>
  <si>
    <t>CPT-18B7B503</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</si>
  <si>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</si>
  <si>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Policies\Disallow Autoplay for non-volume devices</t>
    </r>
  </si>
  <si>
    <r>
      <rPr>
        <sz val="11"/>
        <color rgb="FF000000"/>
        <rFont val="Calibri"/>
      </rPr>
      <t>This policy setting disallows AutoPlay for MTP devices like cameras or phones.          If you enable this policy setting AutoPlay is not allowed for MTP devices like cameras or phones.          If you disable or do not configure this policy setting AutoPlay is enabled for non-volume devices.</t>
    </r>
  </si>
  <si>
    <t>HKLM\Software\Policies\Microsoft\Windows\Explorer!NoAutoplayfornonVolume</t>
  </si>
  <si>
    <t>CPT-23717DEA</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</si>
  <si>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</si>
  <si>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UI path to </t>
    </r>
    <r>
      <rPr>
        <b/>
        <sz val="11"/>
        <color rgb="FF000000"/>
        <rFont val="Calibri"/>
      </rPr>
      <t>Enabled: Do not execute any autorun commands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Policies\Set the default behavior for AutoRun</t>
    </r>
  </si>
  <si>
    <r>
      <rPr>
        <sz val="11"/>
        <color rgb="FF000000"/>
        <rFont val="Calibri"/>
      </rPr>
      <t>This policy setting sets the default behavior for Autorun commands.          Autorun commands are generally stored in autorun.inf files. They often launch the installation program or other routines.          Prior to Windows Vista when media containing an autorun command is inserted the system will automatically execute the program without user intervention.          This creates a major security concern as code may be executed without user's knowledge. The default behavior starting with Windows Vista is to prompt the user whether autorun command is to be run. The autorun command is represented as a handler in the Autoplay dialog.          If you enable this policy setting an Administrator can change the default Windows Vista or later behavior for autorun to:          a) Completely disable autorun commands or          b) Revert back to pre-Windows Vista behavior of automatically executing the autorun command.          If you disable or not configure this policy setting Windows Vista or later will prompt the user whether autorun command is to be run.</t>
    </r>
  </si>
  <si>
    <t>HKLM\Software\Microsoft\Windows\CurrentVersion\Policies\Explorer!NoAutorun</t>
  </si>
  <si>
    <t>CPT-EED424BA</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</si>
  <si>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</si>
  <si>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UI path to </t>
    </r>
    <r>
      <rPr>
        <b/>
        <sz val="11"/>
        <color rgb="FF000000"/>
        <rFont val="Calibri"/>
      </rPr>
      <t>Enabled: All drives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Policies\Turn off Autoplay</t>
    </r>
  </si>
  <si>
    <r>
      <rPr>
        <sz val="11"/>
        <color rgb="FF000000"/>
        <rFont val="Calibri"/>
      </rPr>
      <t>This policy setting allows you to turn off the Autoplay feature.          Autoplay begins reading from a drive as soon as you insert media in the drive. As a result the setup file of programs and the music on audio media start immediately.          Prior to Windows XP SP2 Autoplay is disabled by default on removable drives such as the floppy disk drive (but not the CD-ROM drive) and on network drives.          Starting with Windows XP SP2 Autoplay is enabled for removable drives as well including Zip drives and some USB mass storage devices.          If you enable this policy setting Autoplay is disabled on CD-ROM and removable media drives or disabled on all drives.          This policy setting disables Autoplay on additional types of drives. You cannot use this setting to enable Autoplay on drives on which it is disabled by default.          If you disable or do not configure this policy setting AutoPlay is enabled.          Note: This policy setting appears in both the Computer Configuration and User Configuration folders. If the policy settings conflict the policy setting in Computer Configuration takes precedence over the policy setting in User Configuration.</t>
    </r>
  </si>
  <si>
    <t>HKLM\Software\Microsoft\Windows\CurrentVersion\Policies\Explorer!NoDriveTypeAutoRun</t>
  </si>
  <si>
    <t>At least Windows 2000</t>
  </si>
  <si>
    <t>Windows Components\Biometrics\Facial Features</t>
  </si>
  <si>
    <t>CPT-D5CA2882</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</si>
  <si>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</si>
  <si>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Components\Biometrics\Facial Features\Configure enhanced anti-spoofing</t>
    </r>
  </si>
  <si>
    <r>
      <rPr>
        <sz val="11"/>
        <color rgb="FF000000"/>
        <rFont val="Calibri"/>
      </rPr>
      <t>This policy setting determines whether enhanced anti-spoofing is required for Windows Hello face authentication.If you enable this setting Windows requires all users on managed devices to use enhanced anti-spoofing for Windows Hello face authentication. This disables Windows Hello face authentication on devices that do not support enhanced anti-spoofing.If you disable or don't configure this setting Windows doesn't require enhanced anti-spoofing for Windows Hello face authentication.Note that enhanced anti-spoofing for Windows Hello face authentication is not required on unmanaged devices.</t>
    </r>
  </si>
  <si>
    <t>HKLM\SOFTWARE\Policies\Microsoft\Biometrics\FacialFeatures!EnhancedAntiSpoofing</t>
  </si>
  <si>
    <t>At least Windows Server 2016 or Windows 10</t>
  </si>
  <si>
    <t>Windows Components\BitLocker Drive Encryption</t>
  </si>
  <si>
    <t>CPT-AADB51E5</t>
  </si>
  <si>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</si>
  <si>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Encryption\Disable new DMA devices when this computer is locked</t>
    </r>
  </si>
  <si>
    <r>
      <rPr>
        <sz val="11"/>
        <color rgb="FF000000"/>
        <rFont val="Calibri"/>
      </rPr>
      <t>This policy setting allows you toÂ block direct memory access (DMA) for all Thunderbolt hot pluggable PCI downstream ports until a user logs into Windows. Once a user logs in Windows willÂ enumerate the PCI devices connected to the host Thunderbolt PCI ports. Every time the user locks the machine DMA will be blocked on hot plug Thunderbolt PCI ports with no children devices until the user logs in again. Devices which were already enumerated when the machine was unlocked will continue to function until unplugged or the system is rebooted or hibernated. This policy setting is only enforced when BitLocker or device encryption is enabled.Note: Some PCs may not be compatible with this policy if the system firmware enables DMA for newly attached Thunderbolt devices before exposing the new devices to Windows.</t>
    </r>
  </si>
  <si>
    <t>HKLM\Software\Policies\Microsoft\FVE!DisableExternalDMAUnderLock</t>
  </si>
  <si>
    <t>Windows Components\BitLocker Drive Encryption\Operating System Drives</t>
  </si>
  <si>
    <t>CPT-F3FE2FC1</t>
  </si>
  <si>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</si>
  <si>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Encryption\Operating System Drives\Allow enhanced PINs for startup</t>
    </r>
  </si>
  <si>
    <r>
      <rPr>
        <sz val="11"/>
        <color rgb="FF000000"/>
        <rFont val="Calibri"/>
      </rPr>
      <t>This policy setting allows you to configure whether or not enhanced startup PINs are used with BitLocker.Enhanced startup PINs permit the use of characters including uppercase and lowercase letters symbols numbers and spaces. This policy setting is applied when you turn on BitLocker.If you enable this policy setting all new BitLocker startup PINs set will be enhanced PINs.Note:   Not all computers may support enhanced PINs in the pre-boot environment. It is strongly recommended that users perform a system check during BitLocker setup.If you disable or do not configure this policy setting enhanced PINs will not be used.</t>
    </r>
  </si>
  <si>
    <t>HKLM\Software\Policies\Microsoft\FVE!UseEnhancedPin</t>
  </si>
  <si>
    <t>Windows Components\BitLocker Drive Encryption\Removable Data Drives</t>
  </si>
  <si>
    <t>CPT-99FCCFF5</t>
  </si>
  <si>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</si>
  <si>
    <r>
      <rPr>
        <sz val="11"/>
        <color rgb="FF000000"/>
        <rFont val="Calibri"/>
      </rPr>
      <t xml:space="preserve">Set the following UI path to </t>
    </r>
    <r>
      <rPr>
        <b/>
        <sz val="11"/>
        <color rgb="FF000000"/>
        <rFont val="Calibri"/>
      </rPr>
      <t>Enabled; Do not allow write access to devices configured in another organization =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Encryption\Removable Data Drives\Deny write access to removable drives not protected by BitLocker</t>
    </r>
  </si>
  <si>
    <r>
      <rPr>
        <sz val="11"/>
        <color rgb="FF000000"/>
        <rFont val="Calibri"/>
      </rPr>
      <t>This policy setting configures whether BitLocker protection is required for a computer to be able to write data to a removable data drive.If you enable this policy setting all removable data drives that are not BitLocker-protected will be mounted as read-only. If the drive is protected by BitLocker it will be mounted with read and write access.If the "Deny write access to devices configured in another organization" option is selected only drives with identification fields matching the computer's identification fields will be given write access. When a removable data drive is accessed it will be checked for valid identification field and allowed identification fields. These fields are defined by the "Provide the unique identifiers for your organization" policy setting.If you disable or do not configure this policy setting all removable data drives on the computer will be mounted with read and write access.Note: This policy setting can be overridden by the policy settings under User Configuration\Administrative Templates\System\Removable Storage Access. If the "Removable Disks: Deny write access" policy setting is enabled this policy setting will be ignored.</t>
    </r>
  </si>
  <si>
    <t>HKLM\System\CurrentControlSet\Policies\Microsoft\FVE!RDVDenyWriteAccess; HKLM\Software\Policies\Microsoft\FVE!RDVDenyCrossOrg</t>
  </si>
  <si>
    <t>Windows Components\Cloud Content</t>
  </si>
  <si>
    <t>CPT-2FC4F185</t>
  </si>
  <si>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</si>
  <si>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Components\Cloud Content\Turn off Microsoft consumer experiences</t>
    </r>
  </si>
  <si>
    <r>
      <rPr>
        <sz val="11"/>
        <color rgb="FF000000"/>
        <rFont val="Calibri"/>
      </rPr>
      <t>This policy setting turns off experiences that help consumers make the most of their devices and Microsoft account.If you enable this policy setting users will no longer see personalized recommendations from Microsoft and notifications about their Microsoft account.If you disable or do not configure this policy setting users may see suggestions from Microsoft and notifications about their Microsoft account.Note: This setting only applies to Enterprise and Education SKUs.</t>
    </r>
  </si>
  <si>
    <t>HKLM\Software\Policies\Microsoft\Windows\CloudContent!DisableWindowsConsumerFeatures</t>
  </si>
  <si>
    <t>Windows Components\Credential User Interface</t>
  </si>
  <si>
    <t>CPT-184DE9E2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</si>
  <si>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</si>
  <si>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</si>
  <si>
    <r>
      <rPr>
        <sz val="11"/>
        <color rgb="FF000000"/>
        <rFont val="Calibri"/>
      </rPr>
      <t>This policy setting controls whether administrator accounts are displayed when a user attempts to elevate a running application. By default administrator accounts are not displayed when the user attempts to elevate a running application.If you enable this policy setting all local administrator accounts on the PC will be displayed so the user can choose one and enter the correct password.If you disable this policy setting users will always be required to type a user name and password to elevate.</t>
    </r>
  </si>
  <si>
    <t>HKLM\Software\Microsoft\Windows\CurrentVersion\Policies\CredUI!EnumerateAdministrators</t>
  </si>
  <si>
    <t>Windows Components\Event Log Service\Application</t>
  </si>
  <si>
    <t>CPT-F0C68CAA</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</si>
  <si>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</si>
  <si>
    <r>
      <rPr>
        <sz val="11"/>
        <color rgb="FF000000"/>
        <rFont val="Calibri"/>
      </rPr>
      <t xml:space="preserve">Set the following UI path to </t>
    </r>
    <r>
      <rPr>
        <b/>
        <sz val="11"/>
        <color rgb="FF000000"/>
        <rFont val="Calibri"/>
      </rPr>
      <t>Enabled: 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</si>
  <si>
    <r>
      <rPr>
        <sz val="11"/>
        <color rgb="FF000000"/>
        <rFont val="Calibri"/>
      </rPr>
      <t>This policy setting specifies the maximum size of the log file in kilobytes.If you enable this policy setting you can configure the maximum log file size to be between 1 megabyte (1024 kilobytes) and 2 terabytes (2147483647 kilobytes) in kilobyte increments.If you disable or do not configure this policy setting the maximum size of the log file will be set to the locally configured value. This value can be changed by the local administrator using the Log Properties dialog and it defaults to 1 megabyte.</t>
    </r>
  </si>
  <si>
    <t>HKLM\Software\Policies\Microsoft\Windows\EventLog\Application!MaxSize</t>
  </si>
  <si>
    <t>Windows Components\Event Log Service\Security</t>
  </si>
  <si>
    <t>CPT-62EEE679</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</si>
  <si>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</si>
  <si>
    <r>
      <rPr>
        <sz val="11"/>
        <color rgb="FF000000"/>
        <rFont val="Calibri"/>
      </rPr>
      <t xml:space="preserve">Set the following UI path to </t>
    </r>
    <r>
      <rPr>
        <b/>
        <sz val="11"/>
        <color rgb="FF000000"/>
        <rFont val="Calibri"/>
      </rPr>
      <t>Enabled: 196608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</si>
  <si>
    <r>
      <rPr>
        <sz val="11"/>
        <color rgb="FF000000"/>
        <rFont val="Calibri"/>
      </rPr>
      <t>This policy setting specifies the maximum size of the log file in kilobytes.If you enable this policy setting you can configure the maximum log file size to be between 20 megabytes (20480 kilobytes) and 2 terabytes (2147483647 kilobytes) in kilobyte increments.If you disable or do not configure this policy setting the maximum size of the log file will be set to the locally configured value. This value can be changed by the local administrator using the Log Properties dialog and it defaults to 20 megabytes.</t>
    </r>
  </si>
  <si>
    <t>HKLM\Software\Policies\Microsoft\Windows\EventLog\Security!MaxSize</t>
  </si>
  <si>
    <t>Windows Components\Event Log Service\System</t>
  </si>
  <si>
    <t>CPT-CAC6FC3D</t>
  </si>
  <si>
    <r>
      <rPr>
        <sz val="11"/>
        <color rgb="FF000000"/>
        <rFont val="Calibri"/>
      </rPr>
      <t xml:space="preserve">Set the following UI path to </t>
    </r>
    <r>
      <rPr>
        <b/>
        <sz val="11"/>
        <color rgb="FF000000"/>
        <rFont val="Calibri"/>
      </rPr>
      <t>Enabled: 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</si>
  <si>
    <t>HKLM\Software\Policies\Microsoft\Windows\EventLog\System!MaxSize</t>
  </si>
  <si>
    <t>Windows Components\File Explorer</t>
  </si>
  <si>
    <t>CPT-96FE9BDF</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</si>
  <si>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</si>
  <si>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Explorer\Configure Windows Defender SmartScreen</t>
    </r>
  </si>
  <si>
    <r>
      <rPr>
        <sz val="11"/>
        <color rgb="FF000000"/>
        <rFont val="Calibri"/>
      </rPr>
      <t>This policy allows you to turn Windows Defender SmartScreen on or off.  SmartScreen helps protect PCs by warning users before running potentially malicious programs downloaded from the Internet.  This warning is presented as an interstitial dialog shown before running an app that has been downloaded from the Internet and is unrecognized or known to be malicious.  No dialog is shown for apps that do not appear to be suspicious.Some information is sent to Microsoft about files and programs run on PCs with this feature enabled.If you enable this policy SmartScreen will be turned on for all users.  Its behavior can be controlled by the following options:â€¢ Warn and prevent bypassâ€¢ WarnIf you enable this policy with the "Warn and prevent bypass" option SmartScreen's dialogs will not present the user with the option to disregard the warning and run the app.  SmartScreen will continue to show the warning on subsequent attempts to run the app.If you enable this policy with the "Warn" option SmartScreen's dialogs will warn the user that the app appears suspicious but will permit the user to disregard the warning and run the app anyway.  SmartScreen will not warn the user again for that app if the user tells SmartScreen to run the app.If you disable this policy SmartScreen will be turned off for all users.  Users will not be warned if they try to run suspicious apps from the Internet.If you do not configure this policy SmartScreen will be enabled by default but users may change their settings.</t>
    </r>
  </si>
  <si>
    <t>HKLM\Software\Policies\Microsoft\Windows\System!EnableSmartScreen; HKLM\Software\Policies\Microsoft\Windows\System!ShellSmartScreenLevel</t>
  </si>
  <si>
    <t>CPT-FF4E2848</t>
  </si>
  <si>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</si>
  <si>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Explorer\Do not apply the Mark of the Web tag to files copied from insecure sources</t>
    </r>
  </si>
  <si>
    <r>
      <rPr>
        <sz val="11"/>
        <color rgb="FF000000"/>
        <rFont val="Calibri"/>
      </rPr>
      <t>This policy setting determines the application of the Mark of the Web tag to files sourced from insecure locations.If you enable this policy setting files copied from unsecure sources will not be tagged with the Mark of the Web.If you disable or do not configure this policy setting files copied from unsecure sources will be tagged with the appropriate Mark of the Web.Note: Failure to tag files from unsecure sources with the Mark of the Web can expose usersâ€™ computers to security risks.</t>
    </r>
  </si>
  <si>
    <t>HKLM\Software\Policies\Microsoft\Windows\Explorer!DisableMotWOnInsecurePathCopy</t>
  </si>
  <si>
    <t>Windows Components\Internet Explorer</t>
  </si>
  <si>
    <t>CPT-EB4925B0</t>
  </si>
  <si>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</si>
  <si>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t>
    </r>
  </si>
  <si>
    <r>
      <rPr>
        <sz val="11"/>
        <color rgb="FF000000"/>
        <rFont val="Calibri"/>
      </rPr>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malicious.If you enable this policy setting SmartScreen Filter warnings block the user.If you disable or do not configure this policy setting the user can bypass SmartScreen Filter warnings.</t>
    </r>
  </si>
  <si>
    <t>HKLM\Software\Policies\Microsoft\Internet Explorer\PhishingFilter!PreventOverride</t>
  </si>
  <si>
    <t>At least Internet Explorer 8.0</t>
  </si>
  <si>
    <t>CPT-D9703C1E</t>
  </si>
  <si>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</si>
  <si>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 about files that are not commonly downloaded from the Internet</t>
    </r>
  </si>
  <si>
    <r>
      <rPr>
        <sz val="11"/>
        <color rgb="FF000000"/>
        <rFont val="Calibri"/>
      </rPr>
      <t>This policy setting determines whether the user can bypass warnings from SmartScreen Filter. SmartScreen Filter warns the user about executable files that Internet Explorer users do not commonly download from the Internet.If you enable this policy setting SmartScreen Filter warnings block the user.If you disable or do not configure this policy setting the user can bypass SmartScreen Filter warnings.</t>
    </r>
  </si>
  <si>
    <t>HKLM\Software\Policies\Microsoft\Internet Explorer\PhishingFilter!PreventOverrideAppRepUnknown</t>
  </si>
  <si>
    <t>At least Internet Explorer 9.0</t>
  </si>
  <si>
    <t>CPT-1568C2A7</t>
  </si>
  <si>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</si>
  <si>
    <r>
      <rPr>
        <sz val="11"/>
        <color rgb="FF000000"/>
        <rFont val="Calibri"/>
      </rPr>
      <t xml:space="preserve">Set the following UI path to </t>
    </r>
    <r>
      <rPr>
        <b/>
        <sz val="11"/>
        <color rgb="FF000000"/>
        <rFont val="Calibri"/>
      </rPr>
      <t>Enabled: 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managing SmartScreen Filter</t>
    </r>
  </si>
  <si>
    <r>
      <rPr>
        <sz val="11"/>
        <color rgb="FF000000"/>
        <rFont val="Calibri"/>
      </rPr>
      <t>This policy setting prevents the user from managing SmartScreen Filter which warns the user if the website being visited is known for fraudulent attempts to gather personal information through "phishing" or is known to host malware.If you enable this policy setting the user is not prompted to turn on SmartScreen Filter. All website addresses that are not on the filter's allow list are sent automatically to Microsoft without prompting the user.If you disable or do not configure this policy setting the user is prompted to decide whether to turn on SmartScreen Filter during the first-run experience.</t>
    </r>
  </si>
  <si>
    <t>HKLM\Software\Policies\Microsoft\Internet Explorer\PhishingFilter!EnabledV9</t>
  </si>
  <si>
    <t>CPT-01DF4C78</t>
  </si>
  <si>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</si>
  <si>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per-user installation of ActiveX controls</t>
    </r>
  </si>
  <si>
    <r>
      <rPr>
        <sz val="11"/>
        <color rgb="FF000000"/>
        <rFont val="Calibri"/>
      </rPr>
      <t>This policy setting allows you to prevent the installation of ActiveX controls on a per-user basis.If you enable this policy setting ActiveX controls cannot be installed on a per-user basis.If you disable or do not configure this policy setting ActiveX controls can be installed on a per-user basis.</t>
    </r>
  </si>
  <si>
    <t>HKLM\Software\Policies\Microsoft\Internet Explorer\Security\ActiveX!BlockNonAdminActiveXInstall</t>
  </si>
  <si>
    <t>CPT-E01BFC84</t>
  </si>
  <si>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</si>
  <si>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add/delete sites</t>
    </r>
  </si>
  <si>
    <r>
      <rPr>
        <sz val="11"/>
        <color rgb="FF000000"/>
        <rFont val="Calibri"/>
      </rPr>
      <t>Prevents users from adding or removing sites from security zones. A security zone is a group of Web sites with the same security level.If you enable this policy the site management settings for security zones are disabled. (To see the site management settings for security zones in the Internet Options dialog box click the Security tab and then click the Sites button.)If you disable this policy or do not configure it users can add Web sites to or remove sites from the Trusted Sites and Restricted Sites zones and alter settings for the Local Intranet zone.This policy prevents users from changing site management settings for security zones established by the administrator.Note:  The "Disable the Security page" policy (located in \User Configuration\Administrative Templates\Windows Components\Internet Explorer\Internet Control Panel) which removes the Security tab from the interface takes precedence over this policy. If it is enabled this policy is ignored.Also see the "Security zones: Use only machine settings" policy.</t>
    </r>
  </si>
  <si>
    <t>HKLM\Software\Policies\Microsoft\Windows\CurrentVersion\Internet Settings!Security_zones_map_edit</t>
  </si>
  <si>
    <t>At least Internet Explorer 5.0</t>
  </si>
  <si>
    <t>CPT-4C34155F</t>
  </si>
  <si>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</si>
  <si>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change policies</t>
    </r>
  </si>
  <si>
    <r>
      <rPr>
        <sz val="11"/>
        <color rgb="FF000000"/>
        <rFont val="Calibri"/>
      </rPr>
      <t>Prevents users from changing security zone settings. A security zone is a group of Web sites with the same security level.If you enable this policy the Custom Level button and security-level slider on the Security tab in the Internet Options dialog box are disabled.If you disable this policy or do not configure it users can change the settings for security zones.This policy prevents users from changing security zone settings established by the administrator.Note: The "Disable the Security page" policy (located in \User Configuration\Administrative Templates\Windows Components\Internet Explorer\Internet Control Panel) which removes the Security tab from Internet Explorer in Control Panel takes precedence over this policy. If it is enabled this policy is ignored.Also see the "Security zones: Use only machine settings" policy.</t>
    </r>
  </si>
  <si>
    <t>HKLM\Software\Policies\Microsoft\Windows\CurrentVersion\Internet Settings!Security_options_edit</t>
  </si>
  <si>
    <t>CPT-0526CFC3</t>
  </si>
  <si>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</si>
  <si>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Use only machine settings</t>
    </r>
  </si>
  <si>
    <r>
      <rPr>
        <sz val="11"/>
        <color rgb="FF000000"/>
        <rFont val="Calibri"/>
      </rPr>
      <t>Applies security zone information to all users of the same computer. A security zone is a group of Web sites with the same security level.If you enable this policy changes that the user makes to a security zone will apply to all users of that computer.If you disable this policy or do not configure it users of the same computer can establish their own security zone settings.This policy is intended to ensure that security zone settings apply uniformly to the same computer and do not vary from user to user.Also see the "Security zones: Do not allow users to change policies" policy.</t>
    </r>
  </si>
  <si>
    <t>HKLM\Software\Policies\Microsoft\Windows\CurrentVersion\Internet Settings!Security_HKLM_only</t>
  </si>
  <si>
    <t>CPT-99183B99</t>
  </si>
  <si>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</si>
  <si>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Explorer\Specify use of ActiveX Installer Service for installation of ActiveX controls</t>
    </r>
  </si>
  <si>
    <r>
      <rPr>
        <sz val="11"/>
        <color rgb="FF000000"/>
        <rFont val="Calibri"/>
      </rPr>
      <t>This policy setting allows you to specify how ActiveX controls are installed.If you enable this policy setting ActiveX controls are installed only if the ActiveX Installer Service is present and has been configured to allow the installation of ActiveX controls.If you disable or do not configure this policy setting ActiveX controls including per-user controls are installed through the standard installation process.</t>
    </r>
  </si>
  <si>
    <t>HKLM\Software\Policies\Microsoft\Windows\AxInstaller!OnlyUseAXISForActiveXInstall</t>
  </si>
  <si>
    <t>CPT-520AC306</t>
  </si>
  <si>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</si>
  <si>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Crash Detection</t>
    </r>
  </si>
  <si>
    <r>
      <rPr>
        <sz val="11"/>
        <color rgb="FF000000"/>
        <rFont val="Calibri"/>
      </rPr>
      <t>This policy setting allows you to manage the crash detection feature of add-on Management.If you enable this policy setting a crash in Internet Explorer will exhibit behavior found in Windows XP Professional Service Pack 1 and earlier namely to invoke Windows Error Reporting. All policy settings for Windows Error Reporting continue to apply.If you disable or do not configure this policy setting the crash detection feature for add-on management will be functional.</t>
    </r>
  </si>
  <si>
    <t>HKLM\Software\Policies\Microsoft\Internet Explorer\Restrictions!NoCrashDetection</t>
  </si>
  <si>
    <t>At least Internet Explorer 6.0 in Windows XP with Service Pack 2 or Windows Server 2003 with Service Pack 1</t>
  </si>
  <si>
    <t>CPT-401451E2</t>
  </si>
  <si>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</si>
  <si>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the Security Settings Check feature</t>
    </r>
  </si>
  <si>
    <r>
      <rPr>
        <sz val="11"/>
        <color rgb="FF000000"/>
        <rFont val="Calibri"/>
      </rPr>
      <t>This policy setting turns off the Security Settings Check feature which checks Internet Explorer security settings to determine when the settings put Internet Explorer at risk.If you enable this policy setting the feature is turned off.If you disable or do not configure this policy setting the feature is turned on.</t>
    </r>
  </si>
  <si>
    <t>HKLM\Software\Policies\Microsoft\Internet Explorer\Security!DisableSecuritySettingsCheck</t>
  </si>
  <si>
    <t>At least Internet Explorer 7.0</t>
  </si>
  <si>
    <t>Windows Components\Internet Explorer\Internet Control Panel</t>
  </si>
  <si>
    <t>CPT-3CF3EA02</t>
  </si>
  <si>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</si>
  <si>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Panel\Prevent ignoring certificate errors</t>
    </r>
  </si>
  <si>
    <r>
      <rPr>
        <sz val="11"/>
        <color rgb="FF000000"/>
        <rFont val="Calibri"/>
      </rPr>
      <t>This policy setting prevents the user from ignoring Secure Sockets Layer/Transport Layer Security (SSL/TLS) certificate errors that interrupt browsing (such as "expired" "revoked" or "name mismatch" errors) in Internet Explorer.If you enable this policy setting the user cannot continue browsing.If you disable or do not configure this policy setting the user can choose to ignore certificate errors and continue browsing.</t>
    </r>
  </si>
  <si>
    <t>HKLM\Software\Policies\Microsoft\Windows\CurrentVersion\Internet Settings!PreventIgnoreCertErrors</t>
  </si>
  <si>
    <t>Windows Components\Internet Explorer\Internet Control Panel\Advanced Page</t>
  </si>
  <si>
    <t>CPT-99A0955C</t>
  </si>
  <si>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</si>
  <si>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Page\Allow software to run or install even if the signature is invalid</t>
    </r>
  </si>
  <si>
    <r>
      <rPr>
        <sz val="11"/>
        <color rgb="FF000000"/>
        <rFont val="Calibri"/>
      </rPr>
      <t>This policy setting allows you to manage whether software such as ActiveX controls and file downloads can be installed or run by the user even though the signature is invalid. An invalid signature might indicate that someone has tampered with the file.If you enable this policy setting users will be prompted to install or run files with an invalid signature.If you disable this policy setting users cannot run or install files with an invalid signature.If you do not configure this policy users can choose to run or install files with an invalid signature.</t>
    </r>
  </si>
  <si>
    <t>HKLM\Software\Policies\Microsoft\Internet Explorer\Download!RunInvalidSignatures</t>
  </si>
  <si>
    <t>CPT-7B393EE2</t>
  </si>
  <si>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</si>
  <si>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server certificate revocation</t>
    </r>
  </si>
  <si>
    <r>
      <rPr>
        <sz val="11"/>
        <color rgb="FF000000"/>
        <rFont val="Calibri"/>
      </rPr>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secure.If you enable this policy setting Internet Explorer will check to see if server certificates have been revoked.If you disable this policy setting Internet Explorer will not check server certificates to see if they have been revoked.If you do not configure this policy setting Internet Explorer will not check server certificates to see if they have been revoked.</t>
    </r>
  </si>
  <si>
    <t>HKLM\Software\Policies\Microsoft\Windows\CurrentVersion\Internet Settings!CertificateRevocation</t>
  </si>
  <si>
    <t>At least Internet Explorer 6.0 in Windows 2003 Service Pack 1</t>
  </si>
  <si>
    <t>CPT-612AD673</t>
  </si>
  <si>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</si>
  <si>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signatures on downloaded programs</t>
    </r>
  </si>
  <si>
    <r>
      <rPr>
        <sz val="11"/>
        <color rgb="FF000000"/>
        <rFont val="Calibri"/>
      </rPr>
      <t>This policy setting allows you to manage whether Internet Explorer checks for digital signatures (which identifies the publisher of signed software and verifies it hasn't been modified or tampered with) on user computers before downloading executable programs.If you enable this policy setting Internet Explorer will check the digital signatures of executable programs and display their identities before downloading them to user computers.If you disable this policy setting Internet Explorer will not check the digital signatures of executable programs or display their identities before downloading them to user computers.If you do not configure this policy Internet Explorer will not check the digital signatures of executable programs or display their identities before downloading them to user computers.</t>
    </r>
  </si>
  <si>
    <t>HKLM\Software\Policies\Microsoft\Internet Explorer\Download!CheckExeSignatures</t>
  </si>
  <si>
    <t>CPT-DF367396</t>
  </si>
  <si>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</si>
  <si>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Page\Do not allow ActiveX controls to run in Protected Mode when Enhanced Protected Mode is enabled</t>
    </r>
  </si>
  <si>
    <r>
      <rPr>
        <sz val="11"/>
        <color rgb="FF000000"/>
        <rFont val="Calibri"/>
      </rPr>
      <t>This policy setting prevents ActiveX controls from running in Protected Mode when Enhanced Protected Mode is enabled. When a user has an ActiveX control installed that is not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system.When Enhanced Protected Mode is enabled and a user encounters a website that attempts to load an ActiveX control that is not compatible with Enhanced Protected Mode Internet Explorer notifies the user and gives the option to disable Enhanced Protected Mode for that particular website.If you enable this policy setting Internet Explorer will not give the user the option to disable Enhanced Protected Mode. All Protected Mode websites will run in Enhanced Protected Mode.If you disable or do not configure this policy setting Internet Explorer notifies users and provides an option to run websites with incompatible ActiveX controls in regular Protected Mode. This is the default behavior.</t>
    </r>
  </si>
  <si>
    <t>HKLM\Software\Policies\Microsoft\Internet Explorer\Main!DisableEPMCompat</t>
  </si>
  <si>
    <t>At least Internet Explorer 10.0</t>
  </si>
  <si>
    <t>CPT-F305760B</t>
  </si>
  <si>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</si>
  <si>
    <r>
      <rPr>
        <sz val="11"/>
        <color rgb="FF000000"/>
        <rFont val="Calibri"/>
      </rPr>
      <t xml:space="preserve">Set the following UI path to </t>
    </r>
    <r>
      <rPr>
        <b/>
        <sz val="11"/>
        <color rgb="FF000000"/>
        <rFont val="Calibri"/>
      </rPr>
      <t>Enabled: Use TLS 1.1 and TLS 1.2</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off encryption support</t>
    </r>
  </si>
  <si>
    <r>
      <rPr>
        <sz val="11"/>
        <color rgb="FF000000"/>
        <rFont val="Calibri"/>
      </rPr>
      <t>This policy setting allows you to turn off support for Transport Layer Security (TLS) 1.0 TLS 1.1 TLS 1.2 Secure Sockets Layer (SSL) 2.0 or SSL 3.0 in the browser. TLS and SSL are protocols that help protect communication between the browser and the target server. When the browser attempts to set up a protected communication with the target server the browser and server negotiate which protocol and version to use. The browser and server attempt to match each otherâ€™s list of supported protocols and versions and they select the most preferred match.If you enable this policy setting the browser negotiates or does not negotiate an encryption tunnel by using the encryption methods that you select from the drop-down list.If you disable or do not configure this policy setting the user can select which encryption method the browser supports.Note: SSL 2.0 is off by default and is no longer supported starting with Windows 10 Version 1607. SSL 2.0 is an outdated security protocol and enabling SSL 2.0 impairs the performance and functionality of TLS 1.0.</t>
    </r>
  </si>
  <si>
    <t>HKLM\Software\Policies\Microsoft\Windows\CurrentVersion\Internet Settings!SecureProtocols</t>
  </si>
  <si>
    <t>CPT-49316F28</t>
  </si>
  <si>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</si>
  <si>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64-bit tab processes when running in Enhanced Protected Mode on 64-bit versions of Windows</t>
    </r>
  </si>
  <si>
    <r>
      <rPr>
        <sz val="11"/>
        <color rgb="FF000000"/>
        <rFont val="Calibri"/>
      </rPr>
      <t>This policy setting determines whether Internet Explorer 11 uses 64-bit processes (for greater security) or 32-bit processes (for greater compatibility) when running in Enhanced Protected Mode on 64-bit versions of Windows.Important: Some ActiveX controls and toolbars may not be available when 64-bit processes are used.If you enable this policy setting Internet Explorer 11 will use 64-bit tab processes when running in Enhanced Protected Mode on 64-bit versions of Windows.If you disable this policy setting Internet Explorer 11 will use 32-bit tab processes when running in Enhanced Protected Mode on 64-bit versions of Windows.If you don't configure this policy setting users can turn this feature on or off using Internet Explorer settings. This feature is turned off by default.</t>
    </r>
  </si>
  <si>
    <t>HKLM\Software\Policies\Microsoft\Internet Explorer\Main!Isolation64Bit</t>
  </si>
  <si>
    <t>At least Internet Explorer 11.0</t>
  </si>
  <si>
    <t>CPT-3F4C1B0E</t>
  </si>
  <si>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</si>
  <si>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Enhanced Protected Mode</t>
    </r>
  </si>
  <si>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system.If you enable this policy setting Enhanced Protected Mode will be turned on. Any zone that has Protected Mode enabled will use Enhanced Protected Mode. Users will not be able to disable Enhanced Protected Mode.If you disable this policy setting Enhanced Protected Mode will be turned off. Any zone that has Protected Mode enabled will use the version of Protected Mode introduced in Internet Explorer 7 for Windows Vista.If you do not configure this policy users will be able to turn on or turn off Enhanced Protected Mode on the Advanced tab of the Internet Options dialog.</t>
    </r>
  </si>
  <si>
    <t>HKLM\Software\Policies\Microsoft\Internet Explorer\Main!Isolation</t>
  </si>
  <si>
    <t>Windows Components\Internet Explorer\Internet Control Panel\Security Page</t>
  </si>
  <si>
    <t>CPT-8E411B14</t>
  </si>
  <si>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</si>
  <si>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Sites: Include all network paths (UNCs)</t>
    </r>
  </si>
  <si>
    <r>
      <rPr>
        <sz val="11"/>
        <color rgb="FF000000"/>
        <rFont val="Calibri"/>
      </rPr>
      <t>This policy setting controls whether URLs representing UNCs are mapped into the local Intranet security zone.If you enable this policy setting all network paths are mapped into the Intranet Zone.If you disable this policy setting network paths are not necessarily mapped into the Intranet Zone (other rules might map one there).If you do not configure this policy setting users choose whether network paths are mapped into the Intranet Zone.</t>
    </r>
  </si>
  <si>
    <t>HKLM\Software\Policies\Microsoft\Windows\CurrentVersion\Internet Settings\ZoneMap!UNCAsIntranet</t>
  </si>
  <si>
    <t>CPT-FC354D7B</t>
  </si>
  <si>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</si>
  <si>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Page\Turn on certificate address mismatch warning</t>
    </r>
  </si>
  <si>
    <r>
      <rPr>
        <sz val="11"/>
        <color rgb="FF000000"/>
        <rFont val="Calibri"/>
      </rPr>
      <t>This policy setting allows you to turn on the certificate address mismatch security warning. When this policy setting is turned on the user is warned when visiting Secure HTTP (HTTPS) websites that present certificates issued for a different website address. This warning helps prevent spoofing attacks.If you enable this policy setting the certificate address mismatch warning always appears.If you disable or do not configure this policy setting the user can choose whether the certificate address mismatch warning appears (by using the Advanced page in the Internet Control panel).</t>
    </r>
  </si>
  <si>
    <t>HKLM\Software\Policies\Microsoft\Windows\CurrentVersion\Internet Settings!WarnOnBadCertRecving</t>
  </si>
  <si>
    <t>Windows Components\Internet Explorer\Internet Control Panel\Security Page\Internet Zone</t>
  </si>
  <si>
    <t>CPT-F5DD9C85</t>
  </si>
  <si>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</si>
  <si>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Zone\Access data sources across domains</t>
    </r>
  </si>
  <si>
    <r>
      <rPr>
        <sz val="11"/>
        <color rgb="FF000000"/>
        <rFont val="Calibri"/>
      </rPr>
      <t>This policy setting allows you to manage whether Internet Explorer can access data from another security zone using the Microsoft XML Parser (MSXML) or ActiveX Data Objects (ADO).If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zone.If you disable this policy setting users cannot load a page in the zone that uses MSXML or ADO to access data from another site in the zone.If you do not configure this policy setting users cannot load a page in the zone that uses MSXML or ADO to access data from another site in the zone.</t>
    </r>
  </si>
  <si>
    <t>HKLM\Software\Policies\Microsoft\Windows\CurrentVersion\Internet Settings\Zones\3!1406</t>
  </si>
  <si>
    <t>CPT-492CA9AE</t>
  </si>
  <si>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</si>
  <si>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cut copy or paste operations from the clipboard via script</t>
    </r>
  </si>
  <si>
    <r>
      <rPr>
        <sz val="11"/>
        <color rgb="FF000000"/>
        <rFont val="Calibri"/>
      </rPr>
      <t>This policy setting allows you to manage whether scripts can perform a clipboard operation (for example cut copy and paste) in a specified region.If you enable this policy setting a script can perform a clipboard operation.If you select Prompt in the drop-down box users are queried as to whether to perform clipboard operations.If you disable this policy setting a script cannot perform a clipboard operation.If you do not configure this policy setting a script can perform a clipboard operation.</t>
    </r>
  </si>
  <si>
    <t>HKLM\Software\Policies\Microsoft\Windows\CurrentVersion\Internet Settings\Zones\3!1407</t>
  </si>
  <si>
    <t>CPT-3F5B5EE4</t>
  </si>
  <si>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</si>
  <si>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drag and drop or copy and paste files</t>
    </r>
  </si>
  <si>
    <r>
      <rPr>
        <sz val="11"/>
        <color rgb="FF000000"/>
        <rFont val="Calibri"/>
      </rPr>
      <t>This policy setting allows you to manage whether users can drag files or copy and paste files from a source within the zone.If you enable this policy setting users can drag files or copy and paste files from this zone automatically. If you select Prompt in the drop-down box users are queried to choose whether to drag or copy files from this zone.If you disable this policy setting users are prevented from dragging files or copying and pasting files from this zone.If you do not configure this policy setting users can drag files or copy and paste files from this zone automatically.</t>
    </r>
  </si>
  <si>
    <t>HKLM\Software\Policies\Microsoft\Windows\CurrentVersion\Internet Settings\Zones\3!1802</t>
  </si>
  <si>
    <t>CPT-C4AA82B0</t>
  </si>
  <si>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</si>
  <si>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loading of XAML files</t>
    </r>
  </si>
  <si>
    <r>
      <rPr>
        <sz val="11"/>
        <color rgb="FF000000"/>
        <rFont val="Calibri"/>
      </rPr>
      <t>This policy setting allows you to manage the loading of Extensible Application Markup Language (XAML) files. XAML is an XML-based declarative markup language commonly used for creating rich user interfaces and graphics that take advantage of the Windows Presentation Foundation.If you enable this policy setting and set the drop-down box to Enable XAML files are automatically loaded inside Internet Explorer. The user cannot change this behavior. If you set the drop-down box to Prompt the user is prompted for loading XAML files.If you disable this policy setting XAML files are not loaded inside Internet Explorer. The user cannot change this behavior.If you do not configure this policy setting the user can decide whether to load XAML files inside Internet Explorer.</t>
    </r>
  </si>
  <si>
    <t>HKLM\Software\Policies\Microsoft\Windows\CurrentVersion\Internet Settings\Zones\3!2402</t>
  </si>
  <si>
    <t>CPT-73E49419</t>
  </si>
  <si>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</si>
  <si>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ActiveX controls without prompt</t>
    </r>
  </si>
  <si>
    <r>
      <rPr>
        <sz val="11"/>
        <color rgb="FF000000"/>
        <rFont val="Calibri"/>
      </rPr>
      <t>This policy setting controls whether or not the user is prompted to allow ActiveX controls to run on websites other than the website that installed the ActiveX control.If you enable this policy setting the user is prompted before ActiveX controls can run from websites in this zone. The user can choose to allow the control to run from the current site or from all sites.If you disable this policy setting the user does not see the per-site ActiveX prompt and ActiveX controls can run from all sites in this zone.</t>
    </r>
  </si>
  <si>
    <t>HKLM\Software\Policies\Microsoft\Windows\CurrentVersion\Internet Settings\Zones\3!120b</t>
  </si>
  <si>
    <t>CPT-16848BC8</t>
  </si>
  <si>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</si>
  <si>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the TDC ActiveX control</t>
    </r>
  </si>
  <si>
    <r>
      <rPr>
        <sz val="11"/>
        <color rgb="FF000000"/>
        <rFont val="Calibri"/>
      </rPr>
      <t>This policy setting controls whether or not the user is allowed to run the TDC ActiveX control on websites.If you enable this policy setting the TDC ActiveX control will not run from websites in this zone.If you disable this policy setting the TDC Active X control will run from all sites in this zone.</t>
    </r>
  </si>
  <si>
    <t>HKLM\Software\Policies\Microsoft\Windows\CurrentVersion\Internet Settings\Zones\3!120c</t>
  </si>
  <si>
    <t>At least Internet Explorer 11.0 on Windows 10 vertion 1607 or later</t>
  </si>
  <si>
    <t>CPT-0FDA23C5</t>
  </si>
  <si>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</si>
  <si>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scripting of Internet Explorer WebBrowser controls</t>
    </r>
  </si>
  <si>
    <r>
      <rPr>
        <sz val="11"/>
        <color rgb="FF000000"/>
        <rFont val="Calibri"/>
      </rPr>
      <t>This policy setting determines whether a page can control embedded WebBrowser controls via script.If you enable this policy setting script access to the WebBrowser control is allowed.If you disable this policy setting script access to the WebBrowser control is not allowed.If you do not configure this policy setting the user can enable or disable script access to the WebBrowser control. By default script access to the WebBrowser control is allowed only in the Local Machine and Intranet zones.</t>
    </r>
  </si>
  <si>
    <t>HKLM\Software\Policies\Microsoft\Windows\CurrentVersion\Internet Settings\Zones\3!1206</t>
  </si>
  <si>
    <t>CPT-1F6BF5A0</t>
  </si>
  <si>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</si>
  <si>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script-initiated windows without size or position constraints</t>
    </r>
  </si>
  <si>
    <r>
      <rPr>
        <sz val="11"/>
        <color rgb="FF000000"/>
        <rFont val="Calibri"/>
      </rPr>
      <t>This policy setting allows you to manage restrictions on script-initiated pop-up windows and windows that include the title and status bars.If you enable this policy setting Windows Restrictions security will not apply in this zone. The security zone runs without the added layer of security provided by this feature.If you disable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process.If you do not configure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</si>
  <si>
    <t>HKLM\Software\Policies\Microsoft\Windows\CurrentVersion\Internet Settings\Zones\3!2102</t>
  </si>
  <si>
    <t>CPT-5C508D7A</t>
  </si>
  <si>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</si>
  <si>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scriptlets</t>
    </r>
  </si>
  <si>
    <r>
      <rPr>
        <sz val="11"/>
        <color rgb="FF000000"/>
        <rFont val="Calibri"/>
      </rPr>
      <t>This policy setting allows you to manage whether the user can run scriptlets.If you enable this policy setting the user can run scriptlets.If you disable this policy setting the user cannot run scriptlets.If you do not configure this policy setting the user can enable or disable scriptlets.</t>
    </r>
  </si>
  <si>
    <t>HKLM\Software\Policies\Microsoft\Windows\CurrentVersion\Internet Settings\Zones\3!1209</t>
  </si>
  <si>
    <t>CPT-382BBA3A</t>
  </si>
  <si>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</si>
  <si>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updates to status bar via script</t>
    </r>
  </si>
  <si>
    <r>
      <rPr>
        <sz val="11"/>
        <color rgb="FF000000"/>
        <rFont val="Calibri"/>
      </rPr>
      <t>This policy setting allows you to manage whether script is allowed to update the status bar within the zone.If you enable this policy setting script is allowed to update the status bar.If you disable or do not configure this policy setting script is not allowed to update the status bar.</t>
    </r>
  </si>
  <si>
    <t>HKLM\Software\Policies\Microsoft\Windows\CurrentVersion\Internet Settings\Zones\3!2103</t>
  </si>
  <si>
    <t>CPT-A0593BD0</t>
  </si>
  <si>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</si>
  <si>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VBScript to run in Internet Explorer</t>
    </r>
  </si>
  <si>
    <r>
      <rPr>
        <sz val="11"/>
        <color rgb="FF000000"/>
        <rFont val="Calibri"/>
      </rPr>
      <t>This policy setting allows you to manage whether VBScript can be run on pages from the specified zone in Internet Explorer.If you selected Enable in the drop-down box VBScript can run without user intervention.If you selected Prompt in the drop-down box users are asked to choose whether to allow VBScript to run.If you selected Disable in the drop-down box VBScript is prevented from running.If you do not configure or disable this policy setting VBScript is prevented from running.</t>
    </r>
  </si>
  <si>
    <t>HKLM\Software\Policies\Microsoft\Windows\CurrentVersion\Internet Settings\Zones\3!140C</t>
  </si>
  <si>
    <t>CPT-2D2F8DF3</t>
  </si>
  <si>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</si>
  <si>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Zone\Automatic prompting for file downloads</t>
    </r>
  </si>
  <si>
    <r>
      <rPr>
        <sz val="11"/>
        <color rgb="FF000000"/>
        <rFont val="Calibri"/>
      </rPr>
      <t>This policy setting determines whether users will be prompted for non user-initiated file downloads. Regardless of this setting users will receive file download dialogs for user-initiated downloads.If you enable this setting users will receive a file download dialog for automatic download attempts.If you disable or do not configure this setting file downloads that are not user-initiated will be blocked and users will see the Notification bar instead of the file download dialog. Users can then click the Notification bar to allow the file download prompt.</t>
    </r>
  </si>
  <si>
    <t>HKLM\Software\Policies\Microsoft\Windows\CurrentVersion\Internet Settings\Zones\3!2200</t>
  </si>
  <si>
    <t>CPT-FAD73D80</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</si>
  <si>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</si>
  <si>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Zone\Don't run antimalware programs against ActiveX controls</t>
    </r>
  </si>
  <si>
    <r>
      <rPr>
        <sz val="11"/>
        <color rgb="FF000000"/>
        <rFont val="Calibri"/>
      </rPr>
      <t>This policy setting determines whether Internet Explorer runs antimalware programs against ActiveX controls to check if they're safe to load on pages.If you enable this policy setting Internet Explorer won't check with your antimalware program to see if it's safe to create an instance of the ActiveX control.If you disable this policy setting Internet Explorer always checks with your antimalware program to see if it's safe to create an instance of the ActiveX control.If you don't configure this policy setting Internet Explorer always checks with your antimalware program to see if it's safe to create an instance of the ActiveX control. Users can turn this behavior on or off using Internet Explorer Security settings.</t>
    </r>
  </si>
  <si>
    <t>HKLM\Software\Policies\Microsoft\Windows\CurrentVersion\Internet Settings\Zones\3!270C</t>
  </si>
  <si>
    <t>CPT-F949E312</t>
  </si>
  <si>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</si>
  <si>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signed ActiveX controls</t>
    </r>
  </si>
  <si>
    <r>
      <rPr>
        <sz val="11"/>
        <color rgb="FF000000"/>
        <rFont val="Calibri"/>
      </rPr>
      <t>This policy setting allows you to manage whether users may download signed ActiveX controls from a page in the zone.If you enable this policy users can download signed controls without user intervention. If you select Prompt in the drop-down box users are queried whether to download controls signed by publishers who aren't trusted. Code signed by trusted publishers is silently downloaded.If you disable the policy setting signed controls cannot be downloaded.If you do not configure this policy setting users are queried whether to download controls signed by publishers who aren't trusted.  Code signed by trusted publishers is silently downloaded.</t>
    </r>
  </si>
  <si>
    <t>HKLM\Software\Policies\Microsoft\Windows\CurrentVersion\Internet Settings\Zones\3!1001</t>
  </si>
  <si>
    <t>CPT-E5A12BCD</t>
  </si>
  <si>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</si>
  <si>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unsigned ActiveX controls</t>
    </r>
  </si>
  <si>
    <r>
      <rPr>
        <sz val="11"/>
        <color rgb="FF000000"/>
        <rFont val="Calibri"/>
      </rPr>
      <t>This policy setting allows you to manage whether users may download unsigned ActiveX controls from the zone. Such code is potentially harmful especially when coming from an untrusted zone.If you enable this policy setting users can run unsigned controls without user intervention. If you select Prompt in the drop-down box users are queried to choose whether to allow the unsigned control to run.If you disable this policy setting users cannot run unsigned controls.If you do not configure this policy setting users cannot run unsigned controls.</t>
    </r>
  </si>
  <si>
    <t>HKLM\Software\Policies\Microsoft\Windows\CurrentVersion\Internet Settings\Zones\3!1004</t>
  </si>
  <si>
    <t>CPT-CC66D283</t>
  </si>
  <si>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</si>
  <si>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across windows</t>
    </r>
  </si>
  <si>
    <r>
      <rPr>
        <sz val="11"/>
        <color rgb="FF000000"/>
        <rFont val="Calibri"/>
      </rPr>
      <t>This policy setting allows you to set options for dragging content from one domain to a different domain when the source and destination are in different windows.If you enable this policy setting and click Enable users can drag content from one domain to a different domain when the source and destination are in different windows. Users cannot change this setting.If you enable this policy setting and click Disable users cannot drag content from one domain to a different domain when both the source and destination are in different windows. Users cannot change this setting.In Internet Explorer 10 if you disable this policy setting or do not configure it users cannot drag content from one domain to a different domain when the source and destination are in different windows. Users can change this setting in the Internet Options dialog.In Internet Explorer 9 and earlier versions if you disable this policy or do not configure it users can drag content from one domain to a different domain when the source and destination are in different windows. Users cannot change this setting.</t>
    </r>
  </si>
  <si>
    <t>HKLM\Software\Policies\Microsoft\Windows\CurrentVersion\Internet Settings\Zones\3!2709</t>
  </si>
  <si>
    <t>CPT-064A53AB</t>
  </si>
  <si>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</si>
  <si>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within a window</t>
    </r>
  </si>
  <si>
    <r>
      <rPr>
        <sz val="11"/>
        <color rgb="FF000000"/>
        <rFont val="Calibri"/>
      </rPr>
      <t>This policy setting allows you to set options for dragging content from one domain to a different domain when the source and destination are in the same window.If you enable this policy setting and click Enable users can drag content from one domain to a different domain when the source and destination are in the same window. Users cannot change this setting.If you enable this policy setting and click Disable users cannot drag content from one domain to a different domain when the source and destination are in the same window. Users cannot change this setting in the Internet Options dialog.In Internet Explorer 10 if you disable this policy setting or do not configure it users cannot drag content from one domain to a different domain when the source and destination are in the same window. Users can change this setting in the Internet Options dialog.In Internet Explorer 9 and earlier versions if you disable this policy setting or do not configure it users can drag content from one domain to a different domain when the source and destination are in the same window. Users cannot change this setting in the Internet Options dialog.</t>
    </r>
  </si>
  <si>
    <t>HKLM\Software\Policies\Microsoft\Windows\CurrentVersion\Internet Settings\Zones\3!2708</t>
  </si>
  <si>
    <t>CPT-4364DE9D</t>
  </si>
  <si>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</si>
  <si>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Zone\Include local path when user is uploading files to a server</t>
    </r>
  </si>
  <si>
    <r>
      <rPr>
        <sz val="11"/>
        <color rgb="FF000000"/>
        <rFont val="Calibri"/>
      </rPr>
      <t>This policy setting controls whether or not local path information is sent when the user is uploading a file via an HTML form. If the local path information is sent some information may be unintentionally revealed to the server. For instance files sent from the user's desktop may contain the user name as a part of the path.If you enable this policy setting path information is sent when the user is uploading a file via an HTML form.If you disable this policy setting path information is removed when the user is uploading a file via an HTML form.If you do not configure this policy setting the user can choose whether path information is sent when he or she is uploading a file via an HTML form. By default path information is sent.</t>
    </r>
  </si>
  <si>
    <t>HKLM\Software\Policies\Microsoft\Windows\CurrentVersion\Internet Settings\Zones\3!160A</t>
  </si>
  <si>
    <t>CPT-866022C0</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</si>
  <si>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</si>
  <si>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Zone\Initialize and script ActiveX controls not marked as safe</t>
    </r>
  </si>
  <si>
    <r>
      <rPr>
        <sz val="11"/>
        <color rgb="FF000000"/>
        <rFont val="Calibri"/>
      </rPr>
      <t>This policy setting allows you to manage ActiveX controls not marked as safe.If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option.If you enable this policy setting and select Prompt in the drop-down box users are queried whether to allow the control to be loaded with parameters or scripted.If you disable this policy setting ActiveX controls that cannot be made safe are not loaded with parameters or scripted.If you do not configure this policy setting ActiveX controls that cannot be made safe are not loaded with parameters or scripted.</t>
    </r>
  </si>
  <si>
    <t>HKLM\Software\Policies\Microsoft\Windows\CurrentVersion\Internet Settings\Zones\3!1201</t>
  </si>
  <si>
    <t>CPT-9B0AA67A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</si>
  <si>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</si>
  <si>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</si>
  <si>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High Safety.</t>
    </r>
  </si>
  <si>
    <t>HKLM\Software\Policies\Microsoft\Windows\CurrentVersion\Internet Settings\Zones\3!1C00</t>
  </si>
  <si>
    <t>CPT-3B461DA5</t>
  </si>
  <si>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</si>
  <si>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Zone\Launching applications and files in an IFRAME</t>
    </r>
  </si>
  <si>
    <r>
      <rPr>
        <sz val="11"/>
        <color rgb="FF000000"/>
        <rFont val="Calibri"/>
      </rPr>
      <t>This policy setting allows you to manage whether applications may be run and files may be downloaded from an IFRAME reference in the HTML of the pages in this zone.If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zone.If you disable this policy setting users are prevented from running applications and downloading files from IFRAMEs on the pages in this zone.If you do not configure this policy setting users are queried to choose whether to run applications and download files from IFRAMEs on the pages in this zone.</t>
    </r>
  </si>
  <si>
    <t>HKLM\Software\Policies\Microsoft\Windows\CurrentVersion\Internet Settings\Zones\3!1804</t>
  </si>
  <si>
    <t>CPT-61B9354B</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</si>
  <si>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</si>
  <si>
    <r>
      <rPr>
        <sz val="11"/>
        <color rgb="FF000000"/>
        <rFont val="Calibri"/>
      </rPr>
      <t xml:space="preserve">Set the following UI path to </t>
    </r>
    <r>
      <rPr>
        <b/>
        <sz val="11"/>
        <color rgb="FF000000"/>
        <rFont val="Calibri"/>
      </rPr>
      <t>Prompt for user name and password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Zone\Logon options</t>
    </r>
  </si>
  <si>
    <r>
      <rPr>
        <sz val="11"/>
        <color rgb="FF000000"/>
        <rFont val="Calibri"/>
      </rPr>
      <t>This policy setting allows you to manage settings for logon options.If you enable this policy setting you can choose from the following logon options.Anonymous logon to disable HTTP authentication and use the guest account only for the Common Internet File System (CIFS) protocol.Prompt for user name and password to query users for user IDs and passwords. After a user is queried these values can be used silently for the remainder of the session.Automatic logon only in Intranet zone to query users for user IDs and passwords in other zones. After a user is queried these values can be used silently for the remainder of the session.Automatic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password.If you disable this policy setting logon is set to Automatic logon only in Intranet zone.If you do not configure this policy setting logon is set to Automatic logon only in Intranet zone.</t>
    </r>
  </si>
  <si>
    <t>HKLM\Software\Policies\Microsoft\Windows\CurrentVersion\Internet Settings\Zones\3!1A00</t>
  </si>
  <si>
    <t>CPT-1F393B77</t>
  </si>
  <si>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</si>
  <si>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Zone\Navigate windows and frames across different domains</t>
    </r>
  </si>
  <si>
    <r>
      <rPr>
        <sz val="11"/>
        <color rgb="FF000000"/>
        <rFont val="Calibri"/>
      </rPr>
      <t>This policy setting allows you to manage the opening of windows and frames and access of applications across different domains.If you enable this policy setting users can open windows and frames from othe domains and access applications from other domains. If you select Prompt in the drop-down box users are queried whether to allow windows and frames to access applications from other domains.If you disable this policy setting users cannot open windows and frames to access applications from different domains.If you do not configure this policy setting users can open windows and frames from othe domains and access applications from other domains.</t>
    </r>
  </si>
  <si>
    <t>HKLM\Software\Policies\Microsoft\Windows\CurrentVersion\Internet Settings\Zones\3!1607</t>
  </si>
  <si>
    <t>CPT-A0B3CF95</t>
  </si>
  <si>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</si>
  <si>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</si>
  <si>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link.If you enable this policy setting Internet Explorer will execute unsigned managed components. If you select Prompt in the drop-down box Internet Explorer will prompt the user to determine whether to execute unsigned managed components.If you disable this policy setting Internet Explorer will not execute unsigned managed components.If you do not configure this policy setting Internet Explorer will execute unsigned managed components.</t>
    </r>
  </si>
  <si>
    <t>HKLM\Software\Policies\Microsoft\Windows\CurrentVersion\Internet Settings\Zones\3!2004</t>
  </si>
  <si>
    <t>CPT-7D693B77</t>
  </si>
  <si>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</si>
  <si>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</si>
  <si>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link.If you enable this policy setting Internet Explorer will execute signed managed components. If you select Prompt in the drop-down box Internet Explorer will prompt the user to determine whether to execute signed managed components.If you disable this policy setting Internet Explorer will not execute signed managed components.If you do not configure this policy setting Internet Explorer will execute signed managed components.</t>
    </r>
  </si>
  <si>
    <t>HKLM\Software\Policies\Microsoft\Windows\CurrentVersion\Internet Settings\Zones\3!2001</t>
  </si>
  <si>
    <t>CPT-C47958C6</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</si>
  <si>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Prompt</t>
    </r>
    <r>
      <rPr>
        <sz val="11"/>
        <color rgb="FF000000"/>
        <rFont val="Calibri"/>
      </rPr>
      <t>'</t>
    </r>
  </si>
  <si>
    <r>
      <rPr>
        <sz val="11"/>
        <color rgb="FF000000"/>
        <rFont val="Calibri"/>
      </rPr>
      <t xml:space="preserve">Set the following UI path to </t>
    </r>
    <r>
      <rPr>
        <b/>
        <sz val="11"/>
        <color rgb="FF000000"/>
        <rFont val="Calibri"/>
      </rPr>
      <t>Enabled: Prompt</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Zone\Show security warning for potentially unsafe files</t>
    </r>
  </si>
  <si>
    <r>
      <rPr>
        <sz val="11"/>
        <color rgb="FF000000"/>
        <rFont val="Calibri"/>
      </rPr>
      <t>This policy setting controls whether or not the "Open File - Security Warning" message appears when the user tries to open executable files or other potentially unsafe files (from an intranet file share by using File Explorer for example).If you enable this policy setting and set the drop-down box to Enable these files open without a security warning. If you set the drop-down box to Prompt a security warning appears before the files open.If you disable this policy setting these files do not open.If you do not configure this policy setting the user can configure how the computer handles these files. By default these files are blocked in the Restricted zone enabled in the Intranet and Local Computer zones and set to prompt in the Internet and Trusted zones.</t>
    </r>
  </si>
  <si>
    <t>HKLM\Software\Policies\Microsoft\Windows\CurrentVersion\Internet Settings\Zones\3!1806</t>
  </si>
  <si>
    <t>CPT-60698E35</t>
  </si>
  <si>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</si>
  <si>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Cross-Site Scripting Filter</t>
    </r>
  </si>
  <si>
    <r>
      <rPr>
        <sz val="11"/>
        <color rgb="FF000000"/>
        <rFont val="Calibri"/>
      </rPr>
      <t>This policy controls whether or not the Cross-Site Scripting (XSS) Filter will detect and prevent cross-site script injections into websites in this zone.If you enable this policy setting the XSS Filter is turned on for sites in this zone and the XSS Filter attempts to block cross-site script injections.If you disable this policy setting the XSS Filter is turned off for sites in this zone and Internet Explorer permits cross-site script injections.</t>
    </r>
  </si>
  <si>
    <t>HKLM\Software\Policies\Microsoft\Windows\CurrentVersion\Internet Settings\Zones\3!1409</t>
  </si>
  <si>
    <t>CPT-017CDF5A</t>
  </si>
  <si>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</si>
  <si>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Protected Mode</t>
    </r>
  </si>
  <si>
    <r>
      <rPr>
        <sz val="11"/>
        <color rgb="FF000000"/>
        <rFont val="Calibri"/>
      </rPr>
      <t>This policy setting allows you to turn on Protected Mode. Protected Mode helps protect Internet Explorer from exploited vulnerabilities by reducing the locations that Internet Explorer can write to in the registry and the file system.If you enable this policy setting Protected Mode is turned on. The user cannot turn off Protected Mode.If you disable this policy setting Protected Mode is turned off. The user cannot turn on Protected Mode.If you do not configure this policy setting the user can turn on or turn off Protected Mode.</t>
    </r>
  </si>
  <si>
    <t>HKLM\Software\Policies\Microsoft\Windows\CurrentVersion\Internet Settings\Zones\3!2500</t>
  </si>
  <si>
    <t>At least Internet Explorer 7.0 in Windows Vista</t>
  </si>
  <si>
    <t>CPT-046620C6</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</si>
  <si>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</si>
  <si>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SmartScreen Filter scan</t>
    </r>
  </si>
  <si>
    <r>
      <rPr>
        <sz val="11"/>
        <color rgb="FF000000"/>
        <rFont val="Calibri"/>
      </rPr>
      <t>This policy setting controls whether SmartScreen Filter scans pages in this zone for malicious content.If you enable this policy setting SmartScreen Filter scans pages in this zone for malicious content.If you disable this policy setting SmartScreen Filter does not scan pages in this zone for malicious content.If you do not configure this policy setting the user can choose whether SmartScreen Filter scans pages in this zone for malicious content.Note: In Internet Explorer 7 this policy setting controls whether Phishing Filter scans pages in this zone for malicious content.</t>
    </r>
  </si>
  <si>
    <t>HKLM\Software\Policies\Microsoft\Windows\CurrentVersion\Internet Settings\Zones\3!2301</t>
  </si>
  <si>
    <t>CPT-8CE7D404</t>
  </si>
  <si>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</si>
  <si>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 Pop-up Blocker</t>
    </r>
  </si>
  <si>
    <r>
      <rPr>
        <sz val="11"/>
        <color rgb="FF000000"/>
        <rFont val="Calibri"/>
      </rPr>
      <t>This policy setting allows you to manage whether unwanted pop-up windows appear. Pop-up windows that are opened when the end user clicks a link are not blocked.If you enable this policy setting most unwanted pop-up windows are prevented from appearing.If you disable this policy setting pop-up windows are not prevented from appearing.If you do not configure this policy setting most unwanted pop-up windows are prevented from appearing.</t>
    </r>
  </si>
  <si>
    <t>HKLM\Software\Policies\Microsoft\Windows\CurrentVersion\Internet Settings\Zones\3!1809</t>
  </si>
  <si>
    <t>CPT-923088D9</t>
  </si>
  <si>
    <r>
      <rPr>
        <sz val="11"/>
        <rFont val="Calibri"/>
      </rPr>
      <t xml:space="preserve">Ensure </t>
    </r>
    <r>
      <rPr>
        <sz val="11"/>
        <color rgb="FF000000"/>
        <rFont val="Calibri"/>
      </rPr>
      <t>'</t>
    </r>
    <r>
      <rPr>
        <b/>
        <sz val="11"/>
        <color rgb="FF000000"/>
        <rFont val="Calibri"/>
      </rPr>
      <t>Userdata persistence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</si>
  <si>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</si>
  <si>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configured.If you enable this policy setting users can preserve information in the browser's history in favorites in an XML store or directly within a Web page saved to disk.If you disable this policy setting users cannot preserve information in the browser's history in favorites in an XML store or directly within a Web page saved to disk.If you do not configure this policy setting users can preserve information in the browser's history in favorites in an XML store or directly within a Web page saved to disk.</t>
    </r>
  </si>
  <si>
    <t>HKLM\Software\Policies\Microsoft\Windows\CurrentVersion\Internet Settings\Zones\3!1606</t>
  </si>
  <si>
    <t>CPT-B6BDEADC</t>
  </si>
  <si>
    <r>
      <rPr>
        <sz val="11"/>
        <rFont val="Calibri"/>
      </rPr>
      <t xml:space="preserve">Ensure </t>
    </r>
    <r>
      <rPr>
        <sz val="11"/>
        <color rgb="FF000000"/>
        <rFont val="Calibri"/>
      </rPr>
      <t>'</t>
    </r>
    <r>
      <rPr>
        <b/>
        <sz val="11"/>
        <color rgb="FF000000"/>
        <rFont val="Calibri"/>
      </rPr>
      <t>Web sites in less privileged Web content zones can navigate into this zone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</si>
  <si>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Zone\Web sites in less privileged Web content zones can navigate into this zone</t>
    </r>
  </si>
  <si>
    <r>
      <rPr>
        <sz val="11"/>
        <color rgb="FF000000"/>
        <rFont val="Calibri"/>
      </rPr>
      <t>This policy setting allows you to manage whether Web sites from less privileged zones such as Restricted Sites can navigate into this zone.If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occur.If you disable this policy setting the possibly harmful navigations are prevented. The Internet Explorer security feature will be on in this zone as set by Protection from Zone Elevation feature control.If you do not configure this policy setting Web sites from less privileged zones can open new windows in or navigate into this zone.</t>
    </r>
  </si>
  <si>
    <t>HKLM\Software\Policies\Microsoft\Windows\CurrentVersion\Internet Settings\Zones\3!2101</t>
  </si>
  <si>
    <t>Windows Components\Internet Explorer\Internet Control Panel\Security Page\Intranet Zone</t>
  </si>
  <si>
    <t>CPT-0F3CA0DB</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</si>
  <si>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Zone\Don't run antimalware programs against ActiveX controls</t>
    </r>
  </si>
  <si>
    <r>
      <rPr>
        <sz val="11"/>
        <color rgb="FF000000"/>
        <rFont val="Calibri"/>
      </rPr>
      <t>This policy setting determines whether Internet Explorer runs antimalware programs against ActiveX controls to check if they're safe to load on pages.If you enable this policy setting Internet Explorer won't check with your antimalware program to see if it's safe to create an instance of the ActiveX control.If you disable this policy setting Internet Explorer always checks with your antimalware program to see if it's safe to create an instance of the ActiveX control.If you don't configure this policy setting Internet Explorer won't check with your antimalware program to see if it's safe to create an instance of the ActiveX control. Users can turn this behavior on or off using Internet Explorer Security settings.</t>
    </r>
  </si>
  <si>
    <t>HKLM\Software\Policies\Microsoft\Windows\CurrentVersion\Internet Settings\Zones\1!270C</t>
  </si>
  <si>
    <t>CPT-339969B9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</si>
  <si>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Zone\Initialize and script ActiveX controls not marked as safe</t>
    </r>
  </si>
  <si>
    <t>HKLM\Software\Policies\Microsoft\Windows\CurrentVersion\Internet Settings\Zones\1!1201</t>
  </si>
  <si>
    <t>CPT-8AB28EBA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</si>
  <si>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High Safety</t>
    </r>
    <r>
      <rPr>
        <sz val="11"/>
        <color rgb="FF000000"/>
        <rFont val="Calibri"/>
      </rPr>
      <t>'</t>
    </r>
  </si>
  <si>
    <r>
      <rPr>
        <sz val="11"/>
        <color rgb="FF000000"/>
        <rFont val="Calibri"/>
      </rPr>
      <t xml:space="preserve">Set the following UI path to </t>
    </r>
    <r>
      <rPr>
        <b/>
        <sz val="11"/>
        <color rgb="FF000000"/>
        <rFont val="Calibri"/>
      </rPr>
      <t>Enabled: 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</si>
  <si>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Medium Safety.</t>
    </r>
  </si>
  <si>
    <t>HKLM\Software\Policies\Microsoft\Windows\CurrentVersion\Internet Settings\Zones\1!1C00</t>
  </si>
  <si>
    <t>Windows Components\Internet Explorer\Internet Control Panel\Security Page\Local Machine Zone</t>
  </si>
  <si>
    <t>CPT-F86E2F9E</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</si>
  <si>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Zone\Don't run antimalware programs against ActiveX controls</t>
    </r>
  </si>
  <si>
    <t>HKLM\Software\Policies\Microsoft\Windows\CurrentVersion\Internet Settings\Zones\0!270C</t>
  </si>
  <si>
    <t>CPT-1D32415C</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</si>
  <si>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Java</t>
    </r>
    <r>
      <rPr>
        <sz val="11"/>
        <color rgb="FF000000"/>
        <rFont val="Calibri"/>
      </rPr>
      <t>'</t>
    </r>
  </si>
  <si>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Zone\Java permissions</t>
    </r>
  </si>
  <si>
    <t>HKLM\Software\Policies\Microsoft\Windows\CurrentVersion\Internet Settings\Zones\0!1C00</t>
  </si>
  <si>
    <t>Windows Components\Internet Explorer\Internet Control Panel\Security Page\Locked-Down Internet Zone</t>
  </si>
  <si>
    <t>CPT-04320FCD</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</si>
  <si>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Internet Zone\Turn on SmartScreen Filter scan</t>
    </r>
  </si>
  <si>
    <t>HKLM\Software\Policies\Microsoft\Windows\CurrentVersion\Internet Settings\Lockdown_Zones\3!2301</t>
  </si>
  <si>
    <t>Windows Components\Internet Explorer\Internet Control Panel\Security Page\Locked-Down Intranet Zone</t>
  </si>
  <si>
    <t>CPT-B776B3B1</t>
  </si>
  <si>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Intranet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</si>
  <si>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Java applets are disabled.</t>
    </r>
  </si>
  <si>
    <t>HKLM\Software\Policies\Microsoft\Windows\CurrentVersion\Internet Settings\Lockdown_Zones\1!1C00</t>
  </si>
  <si>
    <t>Windows Components\Internet Explorer\Internet Control Panel\Security Page\Locked-Down Local Machine Zone</t>
  </si>
  <si>
    <t>CPT-260269F5</t>
  </si>
  <si>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Local Machine Zone\Java permissions</t>
    </r>
  </si>
  <si>
    <t>HKLM\Software\Policies\Microsoft\Windows\CurrentVersion\Internet Settings\Lockdown_Zones\0!1C00</t>
  </si>
  <si>
    <t>Windows Components\Internet Explorer\Internet Control Panel\Security Page\Locked-Down Restricted Sites Zone</t>
  </si>
  <si>
    <t>CPT-8A5517D9</t>
  </si>
  <si>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Zone\Java permissions</t>
    </r>
  </si>
  <si>
    <t>HKLM\Software\Policies\Microsoft\Windows\CurrentVersion\Internet Settings\Lockdown_Zones\4!1C00</t>
  </si>
  <si>
    <t>CPT-D2ED7EF0</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</si>
  <si>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Zone\Turn on SmartScreen Filter scan</t>
    </r>
  </si>
  <si>
    <t>HKLM\Software\Policies\Microsoft\Windows\CurrentVersion\Internet Settings\Lockdown_Zones\4!2301</t>
  </si>
  <si>
    <t>Windows Components\Internet Explorer\Internet Control Panel\Security Page\Locked-Down Trusted Sites Zone</t>
  </si>
  <si>
    <t>CPT-B906C1DC</t>
  </si>
  <si>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Trusted Sites Zone\Java permissions</t>
    </r>
  </si>
  <si>
    <t>HKLM\Software\Policies\Microsoft\Windows\CurrentVersion\Internet Settings\Lockdown_Zones\2!1C00</t>
  </si>
  <si>
    <t>Windows Components\Internet Explorer\Internet Control Panel\Security Page\Restricted Sites Zone</t>
  </si>
  <si>
    <t>CPT-1986E1E3</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</si>
  <si>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Zone\Access data sources across domains</t>
    </r>
  </si>
  <si>
    <t>HKLM\Software\Policies\Microsoft\Windows\CurrentVersion\Internet Settings\Zones\4!1406</t>
  </si>
  <si>
    <t>CPT-51115C57</t>
  </si>
  <si>
    <r>
      <rPr>
        <sz val="11"/>
        <rFont val="Calibri"/>
      </rPr>
      <t xml:space="preserve">Ensure </t>
    </r>
    <r>
      <rPr>
        <sz val="11"/>
        <color rgb="FF000000"/>
        <rFont val="Calibri"/>
      </rPr>
      <t>'</t>
    </r>
    <r>
      <rPr>
        <b/>
        <sz val="11"/>
        <color rgb="FF000000"/>
        <rFont val="Calibri"/>
      </rPr>
      <t>Allow active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</si>
  <si>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active scripting</t>
    </r>
  </si>
  <si>
    <r>
      <rPr>
        <sz val="11"/>
        <color rgb="FF000000"/>
        <rFont val="Calibri"/>
      </rPr>
      <t>This policy setting allows you to manage whether script code on pages in the zone is run.If you enable this policy setting script code on pages in the zone can run automatically. If you select Prompt in the drop-down box users are queried to choose whether to allow script code on pages in the zone to run.If you disable this policy setting script code on pages in the zone is prevented from running.If you do not configure this policy setting script code on pages in the zone is prevented from running.</t>
    </r>
  </si>
  <si>
    <t>HKLM\Software\Policies\Microsoft\Windows\CurrentVersion\Internet Settings\Zones\4!1400</t>
  </si>
  <si>
    <t>CPT-17C833CB</t>
  </si>
  <si>
    <r>
      <rPr>
        <sz val="11"/>
        <rFont val="Calibri"/>
      </rPr>
      <t xml:space="preserve">Ensure </t>
    </r>
    <r>
      <rPr>
        <sz val="11"/>
        <color rgb="FF000000"/>
        <rFont val="Calibri"/>
      </rPr>
      <t>'</t>
    </r>
    <r>
      <rPr>
        <b/>
        <sz val="11"/>
        <color rgb="FF000000"/>
        <rFont val="Calibri"/>
      </rPr>
      <t>Allow binary and script behaviors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</si>
  <si>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binary and script behaviors</t>
    </r>
  </si>
  <si>
    <r>
      <rPr>
        <sz val="11"/>
        <color rgb="FF000000"/>
        <rFont val="Calibri"/>
      </rPr>
      <t>This policy setting allows you to manage dynamic binary and script behaviors: components that encapsulate specific functionality for HTML elements to which they were attached.If you enable this policy setting binary and script behaviors are available. If you select Administrator approved in the drop-down box only behaviors listed in the Admin-approved Behaviors under Binary Behaviors Security Restriction policy are available.If you disable this policy setting binary and script behaviors are not available unless applications have implemented a custom security manager.If you do not configure this policy setting binary and script behaviors are not available unless applications have implemented a custom security manager.</t>
    </r>
  </si>
  <si>
    <t>HKLM\Software\Policies\Microsoft\Windows\CurrentVersion\Internet Settings\Zones\4!2000</t>
  </si>
  <si>
    <t>CPT-2777F63F</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</si>
  <si>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cut copy or paste operations from the clipboard via script</t>
    </r>
  </si>
  <si>
    <r>
      <rPr>
        <sz val="11"/>
        <color rgb="FF000000"/>
        <rFont val="Calibri"/>
      </rPr>
      <t>This policy setting allows you to manage whether scripts can perform a clipboard operation (for example cut copy and paste) in a specified region.If you enable this policy setting a script can perform a clipboard operation.If you select Prompt in the drop-down box users are queried as to whether to perform clipboard operations.If you disable this policy setting a script cannot perform a clipboard operation.If you do not configure this policy setting a script cannot perform a clipboard operation.</t>
    </r>
  </si>
  <si>
    <t>HKLM\Software\Policies\Microsoft\Windows\CurrentVersion\Internet Settings\Zones\4!1407</t>
  </si>
  <si>
    <t>CPT-665569AD</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</si>
  <si>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drag and drop or copy and paste files</t>
    </r>
  </si>
  <si>
    <r>
      <rPr>
        <sz val="11"/>
        <color rgb="FF000000"/>
        <rFont val="Calibri"/>
      </rPr>
      <t>This policy setting allows you to manage whether users can drag files or copy and paste files from a source within the zone.If you enable this policy setting users can drag files or copy and paste files from this zone automatically. If you select Prompt in the drop-down box users are queried to choose whether to drag or copy files from this zone.If you disable this policy setting users are prevented from dragging files or copying and pasting files from this zone.If you do not configure this policy setting users are queried to choose whether to drag or copy files from this zone.</t>
    </r>
  </si>
  <si>
    <t>HKLM\Software\Policies\Microsoft\Windows\CurrentVersion\Internet Settings\Zones\4!1802</t>
  </si>
  <si>
    <t>CPT-C42E4D6A</t>
  </si>
  <si>
    <r>
      <rPr>
        <sz val="11"/>
        <rFont val="Calibri"/>
      </rPr>
      <t xml:space="preserve">Ensure </t>
    </r>
    <r>
      <rPr>
        <sz val="11"/>
        <color rgb="FF000000"/>
        <rFont val="Calibri"/>
      </rPr>
      <t>'</t>
    </r>
    <r>
      <rPr>
        <b/>
        <sz val="11"/>
        <color rgb="FF000000"/>
        <rFont val="Calibri"/>
      </rPr>
      <t>Allow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</si>
  <si>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file downloads</t>
    </r>
  </si>
  <si>
    <r>
      <rPr>
        <sz val="11"/>
        <color rgb="FF000000"/>
        <rFont val="Calibri"/>
      </rPr>
      <t>This policy setting allows you to manage whether file downloads are permitted from the zone. This option is determined by the zone of the page with the link causing the download not the zone from which the file is delivered.If you enable this policy setting files can be downloaded from the zone.If you disable this policy setting files are prevented from being downloaded from the zone. If you do not configure this policy setting files are prevented from being downloaded from the zone.</t>
    </r>
  </si>
  <si>
    <t>HKLM\Software\Policies\Microsoft\Windows\CurrentVersion\Internet Settings\Zones\4!1803</t>
  </si>
  <si>
    <t>CPT-A91CE1EA</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</si>
  <si>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loading of XAML files</t>
    </r>
  </si>
  <si>
    <t>HKLM\Software\Policies\Microsoft\Windows\CurrentVersion\Internet Settings\Zones\4!2402</t>
  </si>
  <si>
    <t>CPT-81246414</t>
  </si>
  <si>
    <r>
      <rPr>
        <sz val="11"/>
        <rFont val="Calibri"/>
      </rPr>
      <t xml:space="preserve">Ensure </t>
    </r>
    <r>
      <rPr>
        <sz val="11"/>
        <color rgb="FF000000"/>
        <rFont val="Calibri"/>
      </rPr>
      <t>'</t>
    </r>
    <r>
      <rPr>
        <b/>
        <sz val="11"/>
        <color rgb="FF000000"/>
        <rFont val="Calibri"/>
      </rPr>
      <t>Allow META REFRESH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</si>
  <si>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META REFRESH</t>
    </r>
  </si>
  <si>
    <r>
      <rPr>
        <sz val="11"/>
        <color rgb="FF000000"/>
        <rFont val="Calibri"/>
      </rPr>
      <t>This policy setting allows you to manage whether a user's browser can be redirected to another Web page if the author of the Web page uses the Meta Refresh setting (tag) to redirect browsers to another Web page.If you enable this policy setting a user's browser that loads a page containing an active Meta Refresh setting can be redirected to another Web page.If you disable this policy setting a user's browser that loads a page containing an active Meta Refresh setting cannot be redirected to another Web page.If you do not configure this policy setting a user's browser that loads a page containing an active Meta Refresh setting cannot be redirected to another Web page.</t>
    </r>
  </si>
  <si>
    <t>HKLM\Software\Policies\Microsoft\Windows\CurrentVersion\Internet Settings\Zones\4!1608</t>
  </si>
  <si>
    <t>CPT-195FFA08</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</si>
  <si>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ActiveX controls without prompt</t>
    </r>
  </si>
  <si>
    <t>HKLM\Software\Policies\Microsoft\Windows\CurrentVersion\Internet Settings\Zones\4!120b</t>
  </si>
  <si>
    <t>CPT-D78FF1C0</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</si>
  <si>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the TDC ActiveX control</t>
    </r>
  </si>
  <si>
    <t>HKLM\Software\Policies\Microsoft\Windows\CurrentVersion\Internet Settings\Zones\4!120c</t>
  </si>
  <si>
    <t>CPT-1C49B84D</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</si>
  <si>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scripting of Internet Explorer WebBrowser controls</t>
    </r>
  </si>
  <si>
    <t>HKLM\Software\Policies\Microsoft\Windows\CurrentVersion\Internet Settings\Zones\4!1206</t>
  </si>
  <si>
    <t>CPT-394BEB08</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</si>
  <si>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script-initiated windows without size or position constraints</t>
    </r>
  </si>
  <si>
    <t>HKLM\Software\Policies\Microsoft\Windows\CurrentVersion\Internet Settings\Zones\4!2102</t>
  </si>
  <si>
    <t>CPT-0919A558</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</si>
  <si>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scriptlets</t>
    </r>
  </si>
  <si>
    <t>HKLM\Software\Policies\Microsoft\Windows\CurrentVersion\Internet Settings\Zones\4!1209</t>
  </si>
  <si>
    <t>CPT-B96C9DAE</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</si>
  <si>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updates to status bar via script</t>
    </r>
  </si>
  <si>
    <t>HKLM\Software\Policies\Microsoft\Windows\CurrentVersion\Internet Settings\Zones\4!2103</t>
  </si>
  <si>
    <t>CPT-06061469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</si>
  <si>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VBScript to run in Internet Explorer</t>
    </r>
  </si>
  <si>
    <t>HKLM\Software\Policies\Microsoft\Windows\CurrentVersion\Internet Settings\Zones\4!140C</t>
  </si>
  <si>
    <t>CPT-DD962C12</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</si>
  <si>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Zone\Automatic prompting for file downloads</t>
    </r>
  </si>
  <si>
    <t>HKLM\Software\Policies\Microsoft\Windows\CurrentVersion\Internet Settings\Zones\4!2200</t>
  </si>
  <si>
    <t>CPT-B971E5B7</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</si>
  <si>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Zone\Don't run antimalware programs against ActiveX controls</t>
    </r>
  </si>
  <si>
    <t>HKLM\Software\Policies\Microsoft\Windows\CurrentVersion\Internet Settings\Zones\4!270C</t>
  </si>
  <si>
    <t>CPT-C8F15F4B</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</si>
  <si>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signed ActiveX controls</t>
    </r>
  </si>
  <si>
    <r>
      <rPr>
        <sz val="11"/>
        <color rgb="FF000000"/>
        <rFont val="Calibri"/>
      </rPr>
      <t>This policy setting allows you to manage whether users may download signed ActiveX controls from a page in the zone.If you enable this policy users can download signed controls without user intervention. If you select Prompt in the drop-down box users are queried whether to download controls signed by publishers who aren't trusted. Code signed by trusted publishers is silently downloaded.If you disable the policy setting signed controls cannot be downloaded.If you do not configure this policy setting signed controls cannot be downloaded.</t>
    </r>
  </si>
  <si>
    <t>HKLM\Software\Policies\Microsoft\Windows\CurrentVersion\Internet Settings\Zones\4!1001</t>
  </si>
  <si>
    <t>CPT-CA4884DB</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</si>
  <si>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unsigned ActiveX controls</t>
    </r>
  </si>
  <si>
    <t>HKLM\Software\Policies\Microsoft\Windows\CurrentVersion\Internet Settings\Zones\4!1004</t>
  </si>
  <si>
    <t>CPT-E57D5F9C</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</si>
  <si>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across windows</t>
    </r>
  </si>
  <si>
    <t>HKLM\Software\Policies\Microsoft\Windows\CurrentVersion\Internet Settings\Zones\4!2709</t>
  </si>
  <si>
    <t>CPT-8139E8C0</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</si>
  <si>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within a window</t>
    </r>
  </si>
  <si>
    <t>HKLM\Software\Policies\Microsoft\Windows\CurrentVersion\Internet Settings\Zones\4!2708</t>
  </si>
  <si>
    <t>CPT-89EF86AB</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</si>
  <si>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Zone\Include local path when user is uploading files to a server</t>
    </r>
  </si>
  <si>
    <t>HKLM\Software\Policies\Microsoft\Windows\CurrentVersion\Internet Settings\Zones\4!160A</t>
  </si>
  <si>
    <t>CPT-39CCB1C2</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</si>
  <si>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Zone\Initialize and script ActiveX controls not marked as safe</t>
    </r>
  </si>
  <si>
    <t>HKLM\Software\Policies\Microsoft\Windows\CurrentVersion\Internet Settings\Zones\4!1201</t>
  </si>
  <si>
    <t>CPT-4F2B3156</t>
  </si>
  <si>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Zone\Java permissions</t>
    </r>
  </si>
  <si>
    <t>HKLM\Software\Policies\Microsoft\Windows\CurrentVersion\Internet Settings\Zones\4!1C00</t>
  </si>
  <si>
    <t>CPT-41EDB4B0</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</si>
  <si>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Zone\Launching applications and files in an IFRAME</t>
    </r>
  </si>
  <si>
    <r>
      <rPr>
        <sz val="11"/>
        <color rgb="FF000000"/>
        <rFont val="Calibri"/>
      </rPr>
      <t>This policy setting allows you to manage whether applications may be run and files may be downloaded from an IFRAME reference in the HTML of the pages in this zone.If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zone.If you disable this policy setting users are prevented from running applications and downloading files from IFRAMEs on the pages in this zone.If you do not configure this policy setting users are prevented from running applications and downloading files from IFRAMEs on the pages in this zone.</t>
    </r>
  </si>
  <si>
    <t>HKLM\Software\Policies\Microsoft\Windows\CurrentVersion\Internet Settings\Zones\4!1804</t>
  </si>
  <si>
    <t>CPT-BE432929</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</si>
  <si>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Anonymous logon</t>
    </r>
    <r>
      <rPr>
        <sz val="11"/>
        <color rgb="FF000000"/>
        <rFont val="Calibri"/>
      </rPr>
      <t>'</t>
    </r>
  </si>
  <si>
    <r>
      <rPr>
        <sz val="11"/>
        <color rgb="FF000000"/>
        <rFont val="Calibri"/>
      </rPr>
      <t xml:space="preserve">Set the following UI path to </t>
    </r>
    <r>
      <rPr>
        <b/>
        <sz val="11"/>
        <color rgb="FF000000"/>
        <rFont val="Calibri"/>
      </rPr>
      <t>Enabled: Anonymous logon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Zone\Logon options</t>
    </r>
  </si>
  <si>
    <r>
      <rPr>
        <sz val="11"/>
        <color rgb="FF000000"/>
        <rFont val="Calibri"/>
      </rPr>
      <t>This policy setting allows you to manage settings for logon options.If you enable this policy setting you can choose from the following logon options.Anonymous logon to disable HTTP authentication and use the guest account only for the Common Internet File System (CIFS) protocol.Prompt for user name and password to query users for user IDs and passwords. After a user is queried these values can be used silently for the remainder of the session.Automatic logon only in Intranet zone to query users for user IDs and passwords in other zones. After a user is queried these values can be used silently for the remainder of the session.Automatic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password.If you disable this policy setting logon is set to Automatic logon only in Intranet zone.If you do not configure this policy setting logon is set to Prompt for username and password.</t>
    </r>
  </si>
  <si>
    <t>HKLM\Software\Policies\Microsoft\Windows\CurrentVersion\Internet Settings\Zones\4!1A00</t>
  </si>
  <si>
    <t>CPT-FBD60457</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</si>
  <si>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Zone\Navigate windows and frames across different domains</t>
    </r>
  </si>
  <si>
    <r>
      <rPr>
        <sz val="11"/>
        <color rgb="FF000000"/>
        <rFont val="Calibri"/>
      </rPr>
      <t>This policy setting allows you to manage the opening of windows and frames and access of applications across different domains.If you enable this policy setting users can open additional windows and frames from other domains and access applications from other domains. If you select Prompt in the drop-down box users are queried whether to allow additional windows and frames to access applications from other domains.If you disable this policy setting users cannot open other windows and frames from other domains or access applications from different domains.If you do not configure this policy setting users cannot open other windows and frames from different domains or access applications from different domains.</t>
    </r>
  </si>
  <si>
    <t>HKLM\Software\Policies\Microsoft\Windows\CurrentVersion\Internet Settings\Zones\4!1607</t>
  </si>
  <si>
    <t>CPT-D1D99150</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</si>
  <si>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</si>
  <si>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link.If you enable this policy setting Internet Explorer will execute unsigned managed components. If you select Prompt in the drop-down box Internet Explorer will prompt the user to determine whether to execute unsigned managed components.If you disable this policy setting Internet Explorer will not execute unsigned managed components.If you do not configure this policy setting Internet Explorer will not execute unsigned managed components.</t>
    </r>
  </si>
  <si>
    <t>HKLM\Software\Policies\Microsoft\Windows\CurrentVersion\Internet Settings\Zones\4!2004</t>
  </si>
  <si>
    <t>CPT-2C4D8EF5</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</si>
  <si>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</si>
  <si>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link.If you enable this policy setting Internet Explorer will execute signed managed components. If you select Prompt in the drop-down box Internet Explorer will prompt the user to determine whether to execute signed managed components.If you disable this policy setting Internet Explorer will not execute signed managed components.If you do not configure this policy setting Internet Explorer will not execute signed managed components.</t>
    </r>
  </si>
  <si>
    <t>HKLM\Software\Policies\Microsoft\Windows\CurrentVersion\Internet Settings\Zones\4!2001</t>
  </si>
  <si>
    <t>CPT-D8F090AB</t>
  </si>
  <si>
    <r>
      <rPr>
        <sz val="11"/>
        <rFont val="Calibri"/>
      </rPr>
      <t xml:space="preserve">Ensure </t>
    </r>
    <r>
      <rPr>
        <sz val="11"/>
        <color rgb="FF000000"/>
        <rFont val="Calibri"/>
      </rPr>
      <t>'</t>
    </r>
    <r>
      <rPr>
        <b/>
        <sz val="11"/>
        <color rgb="FF000000"/>
        <rFont val="Calibri"/>
      </rPr>
      <t>Run ActiveX controls and plugins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</si>
  <si>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ActiveX controls and plugins</t>
    </r>
  </si>
  <si>
    <r>
      <rPr>
        <sz val="11"/>
        <color rgb="FF000000"/>
        <rFont val="Calibri"/>
      </rPr>
      <t>This policy setting allows you to manage whether ActiveX controls and plug-ins can be run on pages from the specified zone.If you enable this policy setting controls and plug-ins can run without user intervention.If you selected Prompt in the drop-down box users are asked to choose whether to allow the controls or plug-in to run.If you disable this policy setting controls and plug-ins are prevented from running.If you do not configure this policy setting controls and plug-ins are prevented from running.</t>
    </r>
  </si>
  <si>
    <t>HKLM\Software\Policies\Microsoft\Windows\CurrentVersion\Internet Settings\Zones\4!1200</t>
  </si>
  <si>
    <t>CPT-433305BA</t>
  </si>
  <si>
    <r>
      <rPr>
        <sz val="11"/>
        <rFont val="Calibri"/>
      </rPr>
      <t xml:space="preserve">Ensure </t>
    </r>
    <r>
      <rPr>
        <sz val="11"/>
        <color rgb="FF000000"/>
        <rFont val="Calibri"/>
      </rPr>
      <t>'</t>
    </r>
    <r>
      <rPr>
        <b/>
        <sz val="11"/>
        <color rgb="FF000000"/>
        <rFont val="Calibri"/>
      </rPr>
      <t>Script ActiveX controls marked safe for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</si>
  <si>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 ActiveX controls marked safe for scripting</t>
    </r>
  </si>
  <si>
    <r>
      <rPr>
        <sz val="11"/>
        <color rgb="FF000000"/>
        <rFont val="Calibri"/>
      </rPr>
      <t>This policy setting allows you to manage whether an ActiveX control marked safe for scripting can interact with a script.If you enable this policy setting script interaction can occur automatically without user intervention.If you select Prompt in the drop-down box users are queried to choose whether to allow script interaction.If you disable this policy setting script interaction is prevented from occurring.If you do not configure this policy setting script interaction is prevented from occurring.</t>
    </r>
  </si>
  <si>
    <t>HKLM\Software\Policies\Microsoft\Windows\CurrentVersion\Internet Settings\Zones\4!1405</t>
  </si>
  <si>
    <t>CPT-6CA055A8</t>
  </si>
  <si>
    <r>
      <rPr>
        <sz val="11"/>
        <rFont val="Calibri"/>
      </rPr>
      <t xml:space="preserve">Ensure </t>
    </r>
    <r>
      <rPr>
        <sz val="11"/>
        <color rgb="FF000000"/>
        <rFont val="Calibri"/>
      </rPr>
      <t>'</t>
    </r>
    <r>
      <rPr>
        <b/>
        <sz val="11"/>
        <color rgb="FF000000"/>
        <rFont val="Calibri"/>
      </rPr>
      <t>Scripting of Java applets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</si>
  <si>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Zone\Scripting of Java applets</t>
    </r>
  </si>
  <si>
    <r>
      <rPr>
        <sz val="11"/>
        <color rgb="FF000000"/>
        <rFont val="Calibri"/>
      </rPr>
      <t>This policy setting allows you to manage whether applets are exposed to scripts within the zone.If you enable this policy setting scripts can access applets automatically without user intervention.If you select Prompt in the drop-down box users are queried to choose whether to allow scripts to access applets.If you disable this policy setting scripts are prevented from accessing applets.If you do not configure this policy setting scripts are prevented from accessing applets.</t>
    </r>
  </si>
  <si>
    <t>HKLM\Software\Policies\Microsoft\Windows\CurrentVersion\Internet Settings\Zones\4!1402</t>
  </si>
  <si>
    <t>CPT-DB20CCD2</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</si>
  <si>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</si>
  <si>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Zone\Show security warning for potentially unsafe files</t>
    </r>
  </si>
  <si>
    <t>HKLM\Software\Policies\Microsoft\Windows\CurrentVersion\Internet Settings\Zones\4!1806</t>
  </si>
  <si>
    <t>CPT-F0FD1CA9</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</si>
  <si>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Cross-Site Scripting Filter</t>
    </r>
  </si>
  <si>
    <t>HKLM\Software\Policies\Microsoft\Windows\CurrentVersion\Internet Settings\Zones\4!1409</t>
  </si>
  <si>
    <t>CPT-356BD737</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</si>
  <si>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Protected Mode</t>
    </r>
  </si>
  <si>
    <t>HKLM\Software\Policies\Microsoft\Windows\CurrentVersion\Internet Settings\Zones\4!2500</t>
  </si>
  <si>
    <t>CPT-173B1728</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</si>
  <si>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SmartScreen Filter scan</t>
    </r>
  </si>
  <si>
    <t>HKLM\Software\Policies\Microsoft\Windows\CurrentVersion\Internet Settings\Zones\4!2301</t>
  </si>
  <si>
    <t>CPT-EA0209F5</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</si>
  <si>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 Pop-up Blocker</t>
    </r>
  </si>
  <si>
    <t>HKLM\Software\Policies\Microsoft\Windows\CurrentVersion\Internet Settings\Zones\4!1809</t>
  </si>
  <si>
    <t>CPT-CA51B149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</si>
  <si>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</si>
  <si>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configured.If you enable this policy setting users can preserve information in the browser's history in favorites in an XML store or directly within a Web page saved to disk.If you disable this policy setting users cannot preserve information in the browser's history in favorites in an XML store or directly within a Web page saved to disk.If you do not configure this policy setting users cannot preserve information in the browser's history in favorites in an XML store or directly within a Web page saved to disk.</t>
    </r>
  </si>
  <si>
    <t>HKLM\Software\Policies\Microsoft\Windows\CurrentVersion\Internet Settings\Zones\4!1606</t>
  </si>
  <si>
    <t>CPT-76AC2CFA</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</si>
  <si>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Zone\Web sites in less privileged Web content zones can navigate into this zone</t>
    </r>
  </si>
  <si>
    <r>
      <rPr>
        <sz val="11"/>
        <color rgb="FF000000"/>
        <rFont val="Calibri"/>
      </rPr>
      <t>This policy setting allows you to manage whether Web sites from less privileged zones such as Internet sites can navigate into this zone.If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occur.If you disable this policy setting the possibly harmful navigations are prevented. The Internet Explorer security feature will be on in this zone as set by Protection from Zone Elevation feature control.If you do not configure this policy setting the possibly harmful navigations are prevented. The Internet Explorer security feature will be on in this zone as set by Protection from Zone Elevation feature control.</t>
    </r>
  </si>
  <si>
    <t>HKLM\Software\Policies\Microsoft\Windows\CurrentVersion\Internet Settings\Zones\4!2101</t>
  </si>
  <si>
    <t>Windows Components\Internet Explorer\Internet Control Panel\Security Page\Trusted Sites Zone</t>
  </si>
  <si>
    <t>CPT-111A1D41</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</si>
  <si>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</si>
  <si>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UI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Zone\Don't run antimalware programs against ActiveX controls</t>
    </r>
  </si>
  <si>
    <t>HKLM\Software\Policies\Microsoft\Windows\CurrentVersion\Internet Settings\Zones\2!270C</t>
  </si>
  <si>
    <t>CPT-DF01470C</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</si>
  <si>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</si>
  <si>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UI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Zone\Initialize and script ActiveX controls not marked as safe</t>
    </r>
  </si>
  <si>
    <r>
      <rPr>
        <sz val="11"/>
        <color rgb="FF000000"/>
        <rFont val="Calibri"/>
      </rPr>
      <t>This policy setting allows you to manage ActiveX controls not marked as safe.If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option.If you enable this policy setting and select Prompt in the drop-down box users are queried whether to allow the control to be loaded with parameters or scripted.If you disable this policy setting ActiveX controls that cannot be made safe are not loaded with parameters or scripted.If you do not configure this policy setting users are queried whether to allow the control to be loaded with parameters or scripted.</t>
    </r>
  </si>
  <si>
    <t>HKLM\Software\Policies\Microsoft\Windows\CurrentVersion\Internet Settings\Zones\2!1201</t>
  </si>
  <si>
    <t>CPT-862C204D</t>
  </si>
  <si>
    <r>
      <rPr>
        <sz val="11"/>
        <color rgb="FF000000"/>
        <rFont val="Calibri"/>
      </rPr>
      <t xml:space="preserve">Set the following UI path to </t>
    </r>
    <r>
      <rPr>
        <b/>
        <sz val="11"/>
        <color rgb="FF000000"/>
        <rFont val="Calibri"/>
      </rPr>
      <t>Enabled: 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</si>
  <si>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Low Safety.</t>
    </r>
  </si>
  <si>
    <t>HKLM\Software\Policies\Microsoft\Windows\CurrentVersion\Internet Settings\Zones\2!1C00</t>
  </si>
  <si>
    <t>Windows Components\Internet Explorer\Security Features</t>
  </si>
  <si>
    <t>CPT-AE8F170A</t>
  </si>
  <si>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</si>
  <si>
    <r>
      <rPr>
        <sz val="11"/>
        <color rgb="FF000000"/>
        <rFont val="Calibri"/>
      </rPr>
      <t xml:space="preserve">Set the following UI path to </t>
    </r>
    <r>
      <rPr>
        <b/>
        <sz val="11"/>
        <color rgb="FF000000"/>
        <rFont val="Calibri"/>
      </rPr>
      <t>Enabled: No Sites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Features\Allow fallback to SSL 3.0 (Internet Explorer)</t>
    </r>
  </si>
  <si>
    <r>
      <rPr>
        <sz val="11"/>
        <color rgb="FF000000"/>
        <rFont val="Calibri"/>
      </rPr>
      <t>This policy setting allows you to block an insecure fallback to SSL 3.0. When this policy is enabled Internet Explorer will attempt to connect to sites using SSL 3.0 or below when TLS 1.0 or greater fails.We recommend that you do not allow insecure fallback in order to prevent a man-in-the-middle attack.This policy does not affect which security protocols are enabled.If you disable this policy system defaults will be used.</t>
    </r>
  </si>
  <si>
    <t>HKLM\Software\Policies\Microsoft\Windows\CurrentVersion\Internet Settings HKLM\Software\Policies\Microsoft\Windows\CurrentVersion\Internet Settings!EnableSSL3Fallback</t>
  </si>
  <si>
    <t>Windows Components\Internet Explorer\Security Features\Add-on Management</t>
  </si>
  <si>
    <t>CPT-7BFE1B51</t>
  </si>
  <si>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</si>
  <si>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Management\Remove "Run this time" button for outdated ActiveX controls in Internet Explorer</t>
    </r>
  </si>
  <si>
    <r>
      <rPr>
        <sz val="11"/>
        <color rgb="FF000000"/>
        <rFont val="Calibri"/>
      </rPr>
      <t>This policy setting allows you to stop users from seeing the "Run this time" button and from running specific outdated ActiveX controls in Internet Explorer.If you enable this policy setting users won't see the "Run this time" button on the warning message that appears when Internet Explorer blocks an outdated ActiveX control.If you disable or don't configure this policy setting users will see the "Run this time" button on the warning message that appears when Internet Explorer blocks an outdated ActiveX control. Clicking this button lets the user run the outdated ActiveX control once.For more information see "Outdated ActiveX Controls" in the Internet Explorer TechNet library.</t>
    </r>
  </si>
  <si>
    <t>HKLM\Software\Microsoft\Windows\CurrentVersion\Policies\Ext!RunThisTimeEnabled</t>
  </si>
  <si>
    <t>CPT-8C75D90C</t>
  </si>
  <si>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</si>
  <si>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Management\Turn off blocking of outdated ActiveX controls for Internet Explorer</t>
    </r>
  </si>
  <si>
    <r>
      <rPr>
        <sz val="11"/>
        <color rgb="FF000000"/>
        <rFont val="Calibri"/>
      </rPr>
      <t>This policy setting determines whether Internet Explorer blocks specific outdated ActiveX controls. Outdated ActiveX controls are never blocked in the Intranet Zone.If you enable this policy setting Internet Explorer stops blocking outdated ActiveX controls.If you disable or don't configure this policy setting Internet Explorer continues to block specific outdated ActiveX controls.For more information see "Outdated ActiveX Controls" in the Internet Explorer TechNet library.</t>
    </r>
  </si>
  <si>
    <t>HKLM\Software\Microsoft\Windows\CurrentVersion\Policies\Ext!VersionCheckEnabled</t>
  </si>
  <si>
    <t>Windows Components\Internet Explorer\Security Features\Consistent Mime Handling</t>
  </si>
  <si>
    <t>CPT-63D511C5</t>
  </si>
  <si>
    <r>
      <rPr>
        <sz val="11"/>
        <rFont val="Calibri"/>
      </rPr>
      <t xml:space="preserve">Ensure </t>
    </r>
    <r>
      <rPr>
        <sz val="11"/>
        <color rgb="FF000000"/>
        <rFont val="Calibri"/>
      </rPr>
      <t>'</t>
    </r>
    <r>
      <rPr>
        <b/>
        <sz val="11"/>
        <color rgb="FF000000"/>
        <rFont val="Calibri"/>
      </rPr>
      <t>Internet Explorer Processes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</si>
  <si>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Features\Consistent Mime Handling\Internet Explorer Processes</t>
    </r>
  </si>
  <si>
    <r>
      <rPr>
        <sz val="11"/>
        <color rgb="FF000000"/>
        <rFont val="Calibri"/>
      </rPr>
      <t>Internet Explorer uses Multipurpose Internet Mail Extensions (MIME) data to determine file handling procedures for files received through a Web server.This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extension.If you enable this policy setting Internet Explorer requires consistent MIME data for all received files.If you disable this policy setting Internet Explorer will not require consistent MIME data for all received files.If you do not configure this policy setting Internet Explorer requires consistent MIME data for all received files.</t>
    </r>
  </si>
  <si>
    <t>HKLM\Software\Policies\Microsoft\Internet Explorer\Main\FeatureControl\FEATURE_MIME_HANDLING!(Reserved) HKLM\Software\Policies\Microsoft\Internet Explorer\Main\FeatureControl\FEATURE_MIME_HANDLING!explorer.exe HKLM\Software\Policies\Microsoft\Internet Explorer\Main\FeatureControl\FEATURE_MIME_HANDLING!iexplore.exe</t>
  </si>
  <si>
    <t>Windows Components\Internet Explorer\Security Features\Mime Sniffing Safety Feature</t>
  </si>
  <si>
    <t>CPT-02D99C8D</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</si>
  <si>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Features\Mime Sniffing Safety Feature\Internet Explorer Processes</t>
    </r>
  </si>
  <si>
    <r>
      <rPr>
        <sz val="11"/>
        <color rgb="FF000000"/>
        <rFont val="Calibri"/>
      </rPr>
      <t>This policy setting determines whether Internet Explorer MIME sniffing will prevent promotion of a file of one type to a more dangerous file type.If you enable this policy setting MIME sniffing will never promote a file of one type to a more dangerous file type.If you disable this policy setting Internet Explorer processes will allow a MIME sniff promoting a file of one type to a more dangerous file type.If you do not configure this policy setting MIME sniffing will never promote a file of one type to a more dangerous file type.</t>
    </r>
  </si>
  <si>
    <t>HKLM\Software\Policies\Microsoft\Internet Explorer\Main\FeatureControl\FEATURE_MIME_SNIFFING!(Reserved) HKLM\Software\Policies\Microsoft\Internet Explorer\Main\FeatureControl\FEATURE_MIME_SNIFFING!explorer.exe HKLM\Software\Policies\Microsoft\Internet Explorer\Main\FeatureControl\FEATURE_MIME_SNIFFING!iexplore.exe</t>
  </si>
  <si>
    <t>Windows Components\Internet Explorer\Security Features\MK Protocol Security Restriction</t>
  </si>
  <si>
    <t>CPT-2EC06A54</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</si>
  <si>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Features\MK Protocol Security Restriction\Internet Explorer Processes</t>
    </r>
  </si>
  <si>
    <r>
      <rPr>
        <sz val="11"/>
        <color rgb="FF000000"/>
        <rFont val="Calibri"/>
      </rPr>
      <t>The MK Protocol Security Restriction policy setting reduces attack surface area by preventing the MK protocol. Resources hosted on the MK protocol will fail.If you enable this policy setting the MK Protocol is prevented for File Explorer and Internet Explorer and resources hosted on the MK protocol will fail.If you disable this policy setting applications can use the MK protocol API. Resources hosted on the MK protocol will work for the File Explorer and Internet Explorer processes.If you do not configure this policy setting the MK Protocol is prevented for File Explorer and Internet Explorer and resources hosted on the MK protocol will fail.</t>
    </r>
  </si>
  <si>
    <t>HKLM\Software\Policies\Microsoft\Internet Explorer\Main\FeatureControl\FEATURE_DISABLE_MK_PROTOCOL!(Reserved) HKLM\Software\Policies\Microsoft\Internet Explorer\Main\FeatureControl\FEATURE_DISABLE_MK_PROTOCOL!explorer.exe HKLM\Software\Policies\Microsoft\Internet Explorer\Main\FeatureControl\FEATURE_DISABLE_MK_PROTOCOL!iexplore.exe</t>
  </si>
  <si>
    <t>Windows Components\Internet Explorer\Security Features\Notification bar</t>
  </si>
  <si>
    <t>CPT-14AF4366</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</si>
  <si>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Features\Notification bar\Internet Explorer Processes</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</si>
  <si>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processes.If you enable this policy setting the Notification bar will be displayed for Internet Explorer Processes.If you disable this policy setting the Notification bar will not be displayed for Internet Explorer processes.If you do not configure this policy setting the Notification bar will be displayed for Internet Explorer Processes.</t>
    </r>
  </si>
  <si>
    <t>HKLM\Software\Policies\Microsoft\Internet Explorer\Main\FeatureControl\FEATURE_SECURITYBAND!(Reserved) HKLM\Software\Policies\Microsoft\Internet Explorer\Main\FeatureControl\FEATURE_SECURITYBAND!explorer.exe HKLM\Software\Policies\Microsoft\Internet Explorer\Main\FeatureControl\FEATURE_SECURITYBAND!iexplore.exe</t>
  </si>
  <si>
    <t>Windows Components\Internet Explorer\Security Features\Protection From Zone Elevation</t>
  </si>
  <si>
    <t>CPT-61C61D6D</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</si>
  <si>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Features\Protection From Zone Elevation\Internet Explorer Processes</t>
    </r>
  </si>
  <si>
    <r>
      <rPr>
        <sz val="11"/>
        <color rgb="FF000000"/>
        <rFont val="Calibri"/>
      </rPr>
      <t>Internet Explorer places restrictions on each Web page it opens. The restrictions are dependent upon the location of the Web page (Internet Intranet Local Machine zone etc.). Web pages on the local computer have the fewest security restrictions and reside in the Local Machine zone making the Local Machine security zone a prime target for malicious users. Zone Elevation also disables JavaScript navigation if there is no security context.If you enable this policy setting any zone can be protected from zone elevation by Internet Explorer processes.If you disable this policy setting no zone receives such protection for Internet Explorer processes.If you do not configure this policy setting any zone can be protected from zone elevation by Internet Explorer processes.</t>
    </r>
  </si>
  <si>
    <t>HKLM\Software\Policies\Microsoft\Internet Explorer\Main\FeatureControl\FEATURE_ZONE_ELEVATION!(Reserved) HKLM\Software\Policies\Microsoft\Internet Explorer\Main\FeatureControl\FEATURE_ZONE_ELEVATION!explorer.exe HKLM\Software\Policies\Microsoft\Internet Explorer\Main\FeatureControl\FEATURE_ZONE_ELEVATION!iexplore.exe</t>
  </si>
  <si>
    <t>Windows Components\Internet Explorer\Security Features\Restrict ActiveX Install</t>
  </si>
  <si>
    <t>CPT-DBF1FF09</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</si>
  <si>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ActiveX Install\Internet Explorer Processes</t>
    </r>
  </si>
  <si>
    <r>
      <rPr>
        <sz val="11"/>
        <color rgb="FF000000"/>
        <rFont val="Calibri"/>
      </rPr>
      <t>This policy setting enables blocking of ActiveX control installation prompts for Internet Explorer processes.If you enable this policy setting prompting for ActiveX control installations will be blocked for Internet Explorer processes.If you disable this policy setting prompting for ActiveX control installations will not be blocked for Internet Explorer processes.If you do not configure this policy setting the user's preference will be used to determine whether to block ActiveX control installations for Internet Explorer processes.</t>
    </r>
  </si>
  <si>
    <t>HKLM\Software\Policies\Microsoft\Internet Explorer\Main\FeatureControl\FEATURE_RESTRICT_ACTIVEXINSTALL!(Reserved) HKLM\Software\Policies\Microsoft\Internet Explorer\Main\FeatureControl\FEATURE_RESTRICT_ACTIVEXINSTALL!explorer.exe HKLM\Software\Policies\Microsoft\Internet Explorer\Main\FeatureControl\FEATURE_RESTRICT_ACTIVEXINSTALL!iexplore.exe</t>
  </si>
  <si>
    <t>Windows Components\Internet Explorer\Security Features\Restrict File Download</t>
  </si>
  <si>
    <t>CPT-8E55E9E1</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</si>
  <si>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File Download\Internet Explorer Processes</t>
    </r>
  </si>
  <si>
    <r>
      <rPr>
        <sz val="11"/>
        <color rgb="FF000000"/>
        <rFont val="Calibri"/>
      </rPr>
      <t>This policy setting enables blocking of file download prompts that are not user initiated.If you enable this policy setting file download prompts that are not user initiated will be blocked for Internet Explorer processes.If you disable this policy setting prompting will occur for file downloads that are not user initiated for Internet Explorer processes.If you do not configure this policy setting the user's preference determines whether to prompt for file downloads that are not user initiated for Internet Explorer processes.</t>
    </r>
  </si>
  <si>
    <t>HKLM\Software\Policies\Microsoft\Internet Explorer\Main\FeatureControl\FEATURE_RESTRICT_FILEDOWNLOAD!(Reserved) HKLM\Software\Policies\Microsoft\Internet Explorer\Main\FeatureControl\FEATURE_RESTRICT_FILEDOWNLOAD!explorer.exe HKLM\Software\Policies\Microsoft\Internet Explorer\Main\FeatureControl\FEATURE_RESTRICT_FILEDOWNLOAD!iexplore.exe</t>
  </si>
  <si>
    <t>Windows Components\Internet Explorer\Security Features\Scripted Window Security Restrictions</t>
  </si>
  <si>
    <t>CPT-40785D04</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</si>
  <si>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Features\Scripted Window Security Restrictions\Internet Explorer Processes</t>
    </r>
  </si>
  <si>
    <r>
      <rPr>
        <sz val="11"/>
        <color rgb="FF000000"/>
        <rFont val="Calibri"/>
      </rPr>
      <t>Internet Explorer allows scripts to programmatically open resize and reposition windows of various types. The Window Restrictions security feature restricts popup windows and prohibits scripts from displaying windows in which the title and status bars are not visible to the user or obfuscate other Windows' title and status bars.If you enable this policy setting popup windows and other restrictions apply for File Explorer and Internet Explorer processes.If you disable this policy setting scripts can continue to create popup windows and windows that obfuscate other windows.If you do not configure this policy setting popup windows and other restrictions apply for File Explorer and Internet Explorer processes.</t>
    </r>
  </si>
  <si>
    <t>HKLM\Software\Policies\Microsoft\Internet Explorer\Main\FeatureControl\FEATURE_WINDOW_RESTRICTIONS!(Reserved) HKLM\Software\Policies\Microsoft\Internet Explorer\Main\FeatureControl\FEATURE_WINDOW_RESTRICTIONS!explorer.exe HKLM\Software\Policies\Microsoft\Internet Explorer\Main\FeatureControl\FEATURE_WINDOW_RESTRICTIONS!iexplore.exe</t>
  </si>
  <si>
    <t>Windows Components\Microsoft Defender Antivirus</t>
  </si>
  <si>
    <t>CPT-1200D56F</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</si>
  <si>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</si>
  <si>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</si>
  <si>
    <r>
      <rPr>
        <sz val="11"/>
        <color rgb="FF000000"/>
        <rFont val="Calibri"/>
      </rPr>
      <t>Enable or disable detection for potentially unwanted applications. You can choose to block audit or allow when potentially unwanted software is being downloaded or attempts to install itself on your computer.        Enabled:        Specify the mode in the Options section:        -Block: Potentially unwanted software will be blocked.        -Audit Mode: Potentially unwanted software will not be blocked however if this feature would have blocked access if it were set to Block then a record of the event will be in the event logs.        Disabled:        Potentially unwanted software will not be blocked.        Not configured:        Same as Disabled.</t>
    </r>
  </si>
  <si>
    <t>HKLM\Software\Policies\Microsoft\Windows Defender!PUAProtection; HKLM\Software\Policies\Microsoft\Windows Defender!PUAProtection</t>
  </si>
  <si>
    <t>At least Windows Server 2016 Windows 10 Version 1607</t>
  </si>
  <si>
    <t>CPT-3AB9AB0C</t>
  </si>
  <si>
    <r>
      <rPr>
        <sz val="11"/>
        <rFont val="Calibri"/>
      </rPr>
      <t xml:space="preserve">Ensure </t>
    </r>
    <r>
      <rPr>
        <sz val="11"/>
        <color rgb="FF000000"/>
        <rFont val="Calibri"/>
      </rPr>
      <t>'</t>
    </r>
    <r>
      <rPr>
        <b/>
        <sz val="11"/>
        <color rgb="FF000000"/>
        <rFont val="Calibri"/>
      </rPr>
      <t>Configure local administrator merge behavior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</si>
  <si>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Antivirus\Configure local administrator merge behavior for lists</t>
    </r>
  </si>
  <si>
    <r>
      <rPr>
        <sz val="11"/>
        <color rgb="FF000000"/>
        <rFont val="Calibri"/>
      </rPr>
      <t>This policy setting controls whether or not complex list settings configured by a local administrator are merged with Group Policy settings. This setting applies to lists such as threats and Exclusions.    If you disable or do not configure this setting unique items defined in Group Policy and in preference settings configured by the local administrator will be merged into the resulting effective policy. In the case of conflicts Group policy Settings will override preference settings.    If you enable this setting only items defined by Group Policy will be used in the resulting effective policy. Group Policy settings will override preference settings configured by the local administrator.</t>
    </r>
  </si>
  <si>
    <t>HKLM\Software\Policies\Microsoft\Windows Defender!DisableLocalAdminMerge</t>
  </si>
  <si>
    <t>CPT-38193F2A</t>
  </si>
  <si>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</si>
  <si>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Antivirus\Control whether exclusions are visible to local users</t>
    </r>
  </si>
  <si>
    <r>
      <rPr>
        <sz val="11"/>
        <color rgb="FF000000"/>
        <rFont val="Calibri"/>
      </rPr>
      <t>This policy setting controls whether exclusions are visible to local users on the device.    Use the policy setting HideExclusionsFromLocalAdmins to hide exclusions from both standard and administrative local users.</t>
    </r>
  </si>
  <si>
    <t>HKLM\Software\Policies\Microsoft\Windows Defender!HideExclusionsFromLocalUsers</t>
  </si>
  <si>
    <t>CPT-3F6209CC</t>
  </si>
  <si>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</si>
  <si>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Antivirus\Control whether or not exclusions are visible to Local Admins</t>
    </r>
  </si>
  <si>
    <r>
      <rPr>
        <sz val="11"/>
        <color rgb="FF000000"/>
        <rFont val="Calibri"/>
      </rPr>
      <t>This policy setting controls whether or not exclusions are visible to Local Admins.  For end users (that are not Local Admins) exclusions are not visible whether or not this setting is enabled.    Disabled(Default):        If you disable or do not configure this setting Local Admins will be able to see exclusions in the Windows Security App or via PowerShell.    Enabled:         If you enable this setting Local Admins will no longer be able to see the exclusion list in Windows Security App or via PowerShell.        Note: Applying this setting will not remove exclusions it will only prevent them from being visible to Local Admins. This is reflected inâ€¯Get-MpPreference.</t>
    </r>
  </si>
  <si>
    <t>HKLM\Software\Policies\Microsoft\Windows Defender!HideExclusionsFromLocalAdmins</t>
  </si>
  <si>
    <t>CPT-CBB5BF13</t>
  </si>
  <si>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</si>
  <si>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Antivirus\Turn off routine remediation</t>
    </r>
  </si>
  <si>
    <r>
      <rPr>
        <sz val="11"/>
        <color rgb="FF000000"/>
        <rFont val="Calibri"/>
      </rPr>
      <t>This policy setting allows you to configure whether Microsoft Defender Antivirus automatically takes action on all detected threats. The action to be taken on a particular threat is determined by the combination of the policy-defined action user-defined action and the signature-defined action.    If you enable this policy setting Microsoft Defender Antivirus does not automatically take action on the detected threats but prompts users to choose from the actions available for each threat.    If you disable or do not configure this policy setting Microsoft Defender Antivirus automatically takes action on all detected threats after a nonconfigurable delay of approximately five seconds.</t>
    </r>
  </si>
  <si>
    <t>HKLM\Software\Policies\Microsoft\Windows Defender!DisableRoutinelyTakingAction</t>
  </si>
  <si>
    <t>Windows Components\Microsoft Defender Antivirus\Features</t>
  </si>
  <si>
    <t>CPT-EF8D3DF2</t>
  </si>
  <si>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</si>
  <si>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Antivirus\Features\Enable EDR in block mode</t>
    </r>
  </si>
  <si>
    <r>
      <rPr>
        <sz val="11"/>
        <color rgb="FF000000"/>
        <rFont val="Calibri"/>
      </rPr>
      <t>This policy setting enables or disables EDR in block mode (also known as "passive remediation"). EDR in block mode is recommended for devices running Microsoft Defender Antivirus in passive mode. Available with platform release: 4.18.2202.X        The data type is integer        Supported values:        1: Turn EDR in block mode on        0: Turn EDR in block mode off</t>
    </r>
  </si>
  <si>
    <t>HKLM\Software\Policies\Microsoft\Windows Defender\Features!PassiveRemediation</t>
  </si>
  <si>
    <t>Windows Components\Microsoft Defender Antivirus\MAPS</t>
  </si>
  <si>
    <t>CPT-5D51B21A</t>
  </si>
  <si>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</si>
  <si>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Antivirus\MAPS\Configure the 'Block at First Sight' feature</t>
    </r>
  </si>
  <si>
    <r>
      <rPr>
        <sz val="11"/>
        <color rgb="FF000000"/>
        <rFont val="Calibri"/>
      </rPr>
      <t>This feature ensures the device checks in real time with the Microsoft Active Protection Service (MAPS) before allowing certain content to be run or accessed. If this feature is disabled the check will not occur which will lower the protection state of the device.    Enabled â€“ The Block at First Sight setting is turned on.    Disabled â€“ The Block at First Sight setting is turned off.        This feature requires these Group Policy settings to be set as follows:    MAPS -&gt; The â€œJoin Microsoft MAPSâ€ must be enabled or the â€œBlock at First Sightâ€ feature will not function.    MAPS -&gt; The â€œSend file samples when further analysis is requiredâ€ should be set to 1 (Send safe samples) or 3 (Send all samples). Setting to 0 (Always Prompt) will lower the protection state of the device.  Setting to 2 (Never send) means the â€œBlock at First Sightâ€ feature will not function.    Real-time Protection -&gt; The â€œScan all downloaded files and attachmentsâ€ policy must be enabled or the â€œBlock at First Sightâ€ feature will not function.    Real-time Protection -&gt; Do not enable the â€œTurn off real-time protectionâ€ policy or the â€œBlock at First Sightâ€ feature will not function.</t>
    </r>
  </si>
  <si>
    <t>HKLM\Software\Policies\Microsoft\Windows Defender\Spynet!DisableBlockAtFirstSeen</t>
  </si>
  <si>
    <t>CPT-CD8F5709</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</si>
  <si>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</si>
  <si>
    <r>
      <rPr>
        <sz val="11"/>
        <color rgb="FF000000"/>
        <rFont val="Calibri"/>
      </rPr>
      <t xml:space="preserve">Set the following UI path to </t>
    </r>
    <r>
      <rPr>
        <b/>
        <sz val="11"/>
        <color rgb="FF000000"/>
        <rFont val="Calibri"/>
      </rPr>
      <t>Enabled: Advanced MAPS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Antivirus\MAPS\Join Microsoft MAPS</t>
    </r>
  </si>
  <si>
    <r>
      <rPr>
        <sz val="11"/>
        <color rgb="FF000000"/>
        <rFont val="Calibri"/>
      </rPr>
      <t>This policy setting allows you to join Microsoft MAPS. Microsoft MAPS is the online community that helps you choose how to respond to potential threats. The community also helps stop the spread of new malicious software infections.    You can choose to send basic or additional information about detected software. Additional information helps Microsoft create new security intelligence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will not use this information to identify you or contact you.    Possible options are:    (0x0) Disabled (default)    (0x1) Basic membership    (0x2) Advanced membership    Basic membership will send basic information to Microsoft about software that has been detected including where the software came from the actions that you apply or that are applied automatically and whether the actions were successful.    Advanced membership in addition to basic information will send more information to Microsoft about malicious software spyware and potentially unwanted software including the location of the software file names how the software operates and how it has impacted your computer.    If you enable this setting you will join Microsoft MAPS with the membership specified.    If you disable or do not configure this setting you will not join Microsoft MAPS.      In Windows 10 Basic membership is no longer available so setting the value to 1 or 2 enrolls the device into Advanced membership.</t>
    </r>
  </si>
  <si>
    <t>HKLM\Software\Policies\Microsoft\Windows Defender\Spynet!SpynetReporting; HKLM\Software\Policies\Microsoft\Windows Defender\Spynet!SpynetReporting</t>
  </si>
  <si>
    <t>CPT-68DE17DB</t>
  </si>
  <si>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</si>
  <si>
    <r>
      <rPr>
        <sz val="11"/>
        <color rgb="FF000000"/>
        <rFont val="Calibri"/>
      </rPr>
      <t xml:space="preserve">Set the following UI path to </t>
    </r>
    <r>
      <rPr>
        <b/>
        <sz val="11"/>
        <color rgb="FF000000"/>
        <rFont val="Calibri"/>
      </rPr>
      <t>Enabled: Send all samples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Antivirus\MAPS\Send file samples when further analysis is required</t>
    </r>
  </si>
  <si>
    <r>
      <rPr>
        <sz val="11"/>
        <color rgb="FF000000"/>
        <rFont val="Calibri"/>
      </rPr>
      <t>This policy setting configures behaviour of samples submission when opt-in for MAPS telemetry is set.        Possible options are:        (0x0) Always prompt        (0x1) Send safe samples automatically        (0x2) Never send        (0x3) Send all samples automatically</t>
    </r>
  </si>
  <si>
    <t>HKLM\Software\Policies\Microsoft\Windows Defender\Spynet!SubmitSamplesConsent; HKLM\Software\Policies\Microsoft\Windows Defender\Spynet!SubmitSamplesConsent</t>
  </si>
  <si>
    <t>Windows Components\Microsoft Defender Antivirus\Microsoft Defender Exploit Guard\Attack Surface Reduction</t>
  </si>
  <si>
    <t>CPT-AF1F1FDD</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</si>
  <si>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t>
    </r>
    <r>
      <rPr>
        <sz val="11"/>
        <color rgb="FF000000"/>
        <rFont val="Calibri"/>
      </rPr>
      <t>'</t>
    </r>
  </si>
  <si>
    <r>
      <rPr>
        <sz val="11"/>
        <color rgb="FF000000"/>
        <rFont val="Calibri"/>
      </rPr>
      <t xml:space="preserve">Set the following UI path to </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</si>
  <si>
    <r>
      <rPr>
        <sz val="11"/>
        <color rgb="FF000000"/>
        <rFont val="Calibri"/>
      </rPr>
      <t>Set the state for each Attack Surface Reduction (ASR) rule.    After enabling this setting you can set each rule to the following in the Options section:    - Block: the rule will be applied    - Audit Mode: if the rule would normally cause an event then it will be recorded (although the rule will not actually be applied)    - Off: the rule will not be applied    - Not Configured: the rule is enabled with default values    - Warn: the rule will be applied and the end-user will have the option to bypass the block    Unless the ASR rule is disabled a subsample of audit events are collected for ASR rules will the value of not configured.    Enabled:    Specify the state for each ASR rule under the Options section for this setting.    Enter each rule on a new line as a name-value pair:    - Name column: Enter a valid ASR rule ID    - Value column: Enter the status ID that relates to state you want to specify for the associated rule    The following status IDs are permitted under the value column:    - 1 (Block)    - 0 (Off)    - 2 (Audit)    - 5 (Not Configured)    - 6 (Warn)        Example:    xxxxxxxx-xxxx-xxxx-xxxx-xxxxxxxxxxxx            0    xxxxxxxx-xxxx-xxxx-xxxx-xxxxxxxxxxxx            1    xxxxxxxx-xxxx-xxxx-xxxx-xxxxxxxxxxxx            2    Disabled:    No ASR rules will be configured.    Not configured:    Same as Disabled.    You can exclude folders or files in the ""Exclude files and paths from Attack Surface Reduction Rules"" GP setting.</t>
    </r>
  </si>
  <si>
    <t>HKLM\Software\Policies\Microsoft\Windows Defender\Windows Defender Exploit Guard\ASR!ExploitGuard_ASR_Rules; HKLM\Software\Policies\Microsoft\Windows Defender\Windows Defender Exploit Guard\ASR\Rules</t>
  </si>
  <si>
    <t>At least Windows Server 2016 Windows 10 Version 1709</t>
  </si>
  <si>
    <t>Windows Components\Microsoft Defender Antivirus\Microsoft Defender Exploit Guard\Network Protection</t>
  </si>
  <si>
    <t>CPT-23822CDF</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</si>
  <si>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</si>
  <si>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</si>
  <si>
    <r>
      <rPr>
        <sz val="11"/>
        <color rgb="FF000000"/>
        <rFont val="Calibri"/>
      </rPr>
      <t>Enable or disable Microsoft Defender Exploit Guard network protection to prevent employees from using any application to access dangerous domains that may host phishing scams exploit-hosting sites and other malicious content on the Internet.    Enabled:    Specify the mode in the Options section:    -Block: Users and applications will not be able to access dangerous domains    -Audit Mode: Users and applications can connect to dangerous domains however if this feature would have blocked access if it were set to Block then a record of the event will be in the event logs.    Disabled:    Users and applications will not be blocked from connecting to dangerous domains.    Not configured:    Same as Disabled.</t>
    </r>
  </si>
  <si>
    <t>HKLM\Software\Policies\Microsoft\Windows Defender\Windows Defender Exploit Guard\Network Protection!EnableNetworkProtection; HKLM\Software\Policies\Microsoft\Windows Defender\Windows Defender Exploit Guard\Network Protection!EnableNetworkProtection</t>
  </si>
  <si>
    <t>Windows Components\Microsoft Defender Antivirus\MpEngine</t>
  </si>
  <si>
    <t>CPT-E9C77CF5</t>
  </si>
  <si>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</si>
  <si>
    <r>
      <rPr>
        <sz val="11"/>
        <color rgb="FF000000"/>
        <rFont val="Calibri"/>
      </rPr>
      <t xml:space="preserve">Set the following UI path to </t>
    </r>
    <r>
      <rPr>
        <b/>
        <sz val="11"/>
        <color rgb="FF000000"/>
        <rFont val="Calibri"/>
      </rPr>
      <t>Enabled: 50</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Antivirus\MpEngine\Configure extended cloud check</t>
    </r>
  </si>
  <si>
    <r>
      <rPr>
        <sz val="11"/>
        <color rgb="FF000000"/>
        <rFont val="Calibri"/>
      </rPr>
      <t>This feature allows Microsoft Defender Antivirus to block a suspicious file for up to 60 seconds and scan it in the cloud to make sure it's safe.            The typical cloud check timeout is 10 seconds. To enable the extended cloud check feature specify the extended time in seconds up to an additional 50 seconds.      For example if the desired timeout is 60 seconds specify 50 seconds in this setting which will enable the extended cloud check feature and will raise the total time to 60 seconds.      Note: This feature depends on three other MAPS settings - "Configure the 'Block at First Sight' feature; "Join Microsoft MAPS"; "Send file samples when further analysis is required" all need to be enabled.</t>
    </r>
  </si>
  <si>
    <t>HKLM\Software\Policies\Microsoft\Windows Defender\MpEngine!MpBafsExtendedTimeout; HKLM\Software\Policies\Microsoft\Windows Defender\MpEngine!MpBafsExtendedTimeout</t>
  </si>
  <si>
    <t>CPT-B2FBEA76</t>
  </si>
  <si>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</si>
  <si>
    <r>
      <rPr>
        <sz val="11"/>
        <color rgb="FF000000"/>
        <rFont val="Calibri"/>
      </rPr>
      <t xml:space="preserve">Set the following UI path to </t>
    </r>
    <r>
      <rPr>
        <b/>
        <sz val="11"/>
        <color rgb="FF000000"/>
        <rFont val="Calibri"/>
      </rPr>
      <t>Enabled: High blocking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Antivirus\MpEngine\Select cloud protection level</t>
    </r>
  </si>
  <si>
    <r>
      <rPr>
        <sz val="11"/>
        <color rgb="FF000000"/>
        <rFont val="Calibri"/>
      </rPr>
      <t>This policy setting determines how aggressive Microsoft Defender Antivirus will be in blocking and scanning suspicious files.      If this setting is on Microsoft Defender Antivirus will be more aggressive when identifying suspicious files to block and scan; otherwise it will be less aggressive and therefore block and scan with less frequency.             For more information about specific values that are supported see the Microsoft Defender Antivirus documentation site.      Note: This feature requires the "Join Microsoft MAPS" setting enabled in order to function.      Possible options are:      (0x0) Default Microsoft Defender Antivirus blocking level      (0x1) Moderate Microsoft Defender Antivirus blocking level delivers verdict only for high confidence detections      (0x2) High blocking level - aggressively block unknowns while optimizing client performance (greater chance of false positives)      (0x4) High+ blocking level â€“ aggressively block unknowns and apply additional protection measures (may impact  client performance)      (0x6) Zero tolerance blocking level â€“ block all unknown executables</t>
    </r>
  </si>
  <si>
    <t>HKLM\Software\Policies\Microsoft\Windows Defender\MpEngine!MpCloudBlockLevel; HKLM\Software\Policies\Microsoft\Windows Defender\MpEngine!MpCloudBlockLevel</t>
  </si>
  <si>
    <t>Windows Components\Microsoft Defender Antivirus\Network Inspection System</t>
  </si>
  <si>
    <t>CPT-CB5AEB76</t>
  </si>
  <si>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</si>
  <si>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Antivirus\Network Inspection System\Convert warn verdict to block</t>
    </r>
  </si>
  <si>
    <r>
      <rPr>
        <sz val="11"/>
        <color rgb="FF000000"/>
        <rFont val="Calibri"/>
      </rPr>
      <t>Network protection inspects network traffic and determines whether it allows or blocks traffic or displays a warning.        Disabled (Default):     If Not Configured or Disabled network protection will display a warning for warn verdicts.    Enabled:     If this setting is Enabled network protection blocks network traffic instead of displaying a warning.</t>
    </r>
  </si>
  <si>
    <t>HKLM\Software\Policies\Microsoft\Windows Defender\NIS!EnableConvertWarnToBlock</t>
  </si>
  <si>
    <t>Windows Components\Microsoft Defender Antivirus\Real-time Protection</t>
  </si>
  <si>
    <t>CPT-EE7C57B1</t>
  </si>
  <si>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</si>
  <si>
    <r>
      <rPr>
        <sz val="11"/>
        <color rgb="FF000000"/>
        <rFont val="Calibri"/>
      </rPr>
      <t xml:space="preserve">Set the following UI path to </t>
    </r>
    <r>
      <rPr>
        <b/>
        <sz val="11"/>
        <color rgb="FF000000"/>
        <rFont val="Calibri"/>
      </rPr>
      <t>Enabled: bi-directional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Protection\Configure monitoring for incoming and outgoing file and program activity</t>
    </r>
  </si>
  <si>
    <r>
      <rPr>
        <sz val="11"/>
        <color rgb="FF000000"/>
        <rFont val="Calibri"/>
      </rPr>
      <t>This policy setting allows you to configure monitoring for incoming and outgoing files without having to turn off monitoring entirely. It is recommended for use on servers where there is a lot of incoming and outgoing file activity but for performance reasons need to have scanning disabled for a particular scan direction. The appropriate configuration should be evaluated based on the server role.     Note that this configuration is only honored for NTFS volumes. For any other file system type full monitoring of file and program activity will be present on those volumes.    The options for this setting are mutually exclusive:    0 = Scan incoming and outgoing files (default)    1 = Scan incoming files only    2 = Scan outgoing files only    Any other value or if the value does not exist resolves to the default (0).    If you enable this setting the specified type of monitoring will be enabled.    If you disable or do not configure this setting monitoring for incoming and outgoing files will be enabled.</t>
    </r>
  </si>
  <si>
    <t>HKLM\Software\Policies\Microsoft\Windows Defender\Real-Time Protection!RealtimeScanDirection; HKLM\Software\Policies\Microsoft\Windows Defender\Real-Time Protection!RealtimeScanDirection</t>
  </si>
  <si>
    <t>CPT-DB2546BF</t>
  </si>
  <si>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</si>
  <si>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Protection\Configure real-time protection and Security Intelligence Updates during OOBE</t>
    </r>
  </si>
  <si>
    <r>
      <rPr>
        <sz val="11"/>
        <color rgb="FF000000"/>
        <rFont val="Calibri"/>
      </rPr>
      <t>This policy setting allows you to configure whether real-time protection and Security Intelligence Updates are enabled during OOBE (Out of Box experience).     If you enable this setting real-time protection and Security Intelligence Updates are enabled during OOBE.     If you either disable or do not configure this policy setting real-time protection and Security Intelligence Updates during OOBE is not enabled.</t>
    </r>
  </si>
  <si>
    <t>HKLM\Software\Policies\Microsoft\Windows Defender\Real-Time Protection!OobeEnableRtpAndSigUpdate</t>
  </si>
  <si>
    <t>CPT-3086795C</t>
  </si>
  <si>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</si>
  <si>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Protection\Monitor file and program activity on your computer</t>
    </r>
  </si>
  <si>
    <r>
      <rPr>
        <sz val="11"/>
        <color rgb="FF000000"/>
        <rFont val="Calibri"/>
      </rPr>
      <t>This policy setting allows you to configure monitoring for file and program activity.    If you enable or do not configure this setting monitoring for file and program activity will be enabled.    If you disable this setting monitoring for file and program activity will be disabled.</t>
    </r>
  </si>
  <si>
    <t>HKLM\Software\Policies\Microsoft\Windows Defender\Real-Time Protection!DisableOnAccessProtection</t>
  </si>
  <si>
    <t>CPT-8E26E6C9</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</si>
  <si>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</si>
  <si>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</si>
  <si>
    <r>
      <rPr>
        <sz val="11"/>
        <color rgb="FF000000"/>
        <rFont val="Calibri"/>
      </rPr>
      <t>This policy setting allows you to configure scanning for all downloaded files and attachments.    If you enable or do not configure this setting scanning for all downloaded files and attachments will be enabled.    If you disable this setting scanning for all downloaded files and attachments will be disabled.</t>
    </r>
  </si>
  <si>
    <t>HKLM\Software\Policies\Microsoft\Windows Defender\Real-Time Protection!DisableIOAVProtection</t>
  </si>
  <si>
    <t>CPT-93874897</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</si>
  <si>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</si>
  <si>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</si>
  <si>
    <r>
      <rPr>
        <sz val="11"/>
        <color rgb="FF000000"/>
        <rFont val="Calibri"/>
      </rPr>
      <t>This policy turns off real-time protection in Microsoft Defender Antivirus.    Real-time protection consists of always-on scanning with file and process behavior monitoring and heuristics. When real-time protection is on Microsoft Defender Antivirus detects malware and potentially unwanted software that attempts to install itself or run on your device and prompts you to take action on malware detections.    If you enable this policy setting real-time protection is turned off.     If you either disable or do not configure this policy setting real-time protection is turned on.</t>
    </r>
  </si>
  <si>
    <t>HKLM\Software\Policies\Microsoft\Windows Defender\Real-Time Protection!DisableRealtimeMonitoring</t>
  </si>
  <si>
    <t>CPT-771D2DAF</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</si>
  <si>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</si>
  <si>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</si>
  <si>
    <r>
      <rPr>
        <sz val="11"/>
        <color rgb="FF000000"/>
        <rFont val="Calibri"/>
      </rPr>
      <t>This policy setting allows you to configure behavior monitoring.    If you enable or do not configure this setting behavior monitoring will be enabled.    If you disable this setting behavior monitoring will be disabled.</t>
    </r>
  </si>
  <si>
    <t>HKLM\Software\Policies\Microsoft\Windows Defender\Real-Time Protection!DisableBehaviorMonitoring</t>
  </si>
  <si>
    <t>CPT-5955499D</t>
  </si>
  <si>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</si>
  <si>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process scanning whenever real-time protection is enabled</t>
    </r>
  </si>
  <si>
    <r>
      <rPr>
        <sz val="11"/>
        <color rgb="FF000000"/>
        <rFont val="Calibri"/>
      </rPr>
      <t>This policy setting allows you to configure process scanning when real-time protection is turned on. This helps to catch malware which could start when real-time protection is turned off.    If you enable or do not configure this setting  a process scan will be initiated when real-time protection is turned on.    If you disable this setting a process scan will not be initiated when real-time protection is turned on.</t>
    </r>
  </si>
  <si>
    <t>HKLM\Software\Policies\Microsoft\Windows Defender\Real-Time Protection!DisableScanOnRealtimeEnable</t>
  </si>
  <si>
    <t>CPT-425FCD16</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</si>
  <si>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</si>
  <si>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</si>
  <si>
    <r>
      <rPr>
        <sz val="11"/>
        <color rgb="FF000000"/>
        <rFont val="Calibri"/>
      </rPr>
      <t>This policy setting allows you to configure script scanning.    If you enable or do not configure this setting script scanning will be enabled.    If you disable this setting script scanning will be disabled.</t>
    </r>
  </si>
  <si>
    <t>HKLM\Software\Policies\Microsoft\Windows Defender\Real-Time Protection!DisableScriptScanning</t>
  </si>
  <si>
    <t>Windows Components\Microsoft Defender Antivirus\Reporting</t>
  </si>
  <si>
    <t>CPT-47CC6EDC</t>
  </si>
  <si>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</si>
  <si>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Antivirus\Reporting\Configure whether to report Dynamic Signature dropped events</t>
    </r>
  </si>
  <si>
    <r>
      <rPr>
        <sz val="11"/>
        <color rgb="FF000000"/>
        <rFont val="Calibri"/>
      </rPr>
      <t>This policy setting configures whether to report Dynamic Signature dropped events.    If you do not configure this setting the default value will be applied. The default value is set to disabled (such events are not reported).    If you configure this setting to enabled Dynamic Signature dropped events will be reported.    If you configure this setting to disabled Dynamic Signature dropped events will not be reported.</t>
    </r>
  </si>
  <si>
    <t>HKLM\Software\Policies\Microsoft\Windows Defender\Reporting!EnableDynamicSignatureDroppedEventReporting</t>
  </si>
  <si>
    <t>Windows Components\Microsoft Defender Antivirus\Scan</t>
  </si>
  <si>
    <t>CPT-1479A300</t>
  </si>
  <si>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</si>
  <si>
    <r>
      <rPr>
        <sz val="11"/>
        <color rgb="FF000000"/>
        <rFont val="Calibri"/>
      </rPr>
      <t xml:space="preserve">Set the following UI path to </t>
    </r>
    <r>
      <rPr>
        <b/>
        <sz val="11"/>
        <color rgb="FF000000"/>
        <rFont val="Calibri"/>
      </rPr>
      <t>Enabled: 1</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excluded files and directories during quick scans</t>
    </r>
  </si>
  <si>
    <r>
      <rPr>
        <sz val="11"/>
        <color rgb="FF000000"/>
        <rFont val="Calibri"/>
      </rPr>
      <t>This policy setting allows you to scan excluded files and directories during quick scans.        If you set this policy setting to 1 all files and directories that are excluded from real-time protection using contextual exclusions are scanned during a quick scan.        If you set this policy to 0 or do not configure it exclusions are not scanned during quick scans.</t>
    </r>
  </si>
  <si>
    <t>HKLM\Software\Policies\Microsoft\Windows Defender\Scan!QuickScanIncludeExclusions; HKLM\Software\Policies\Microsoft\Windows Defender\Scan!QuickScanIncludeExclusions</t>
  </si>
  <si>
    <t>CPT-C557ED3B</t>
  </si>
  <si>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</si>
  <si>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packed executables</t>
    </r>
  </si>
  <si>
    <r>
      <rPr>
        <sz val="11"/>
        <color rgb="FF000000"/>
        <rFont val="Calibri"/>
      </rPr>
      <t>This policy setting allows you to configure scanning for packed executables. It is recommended that this type of scanning remain enabled.    If you enable or do not configure this setting packed executables will  be scanned.    If you disable this setting packed executables will not be scanned.</t>
    </r>
  </si>
  <si>
    <t>HKLM\Software\Policies\Microsoft\Windows Defender\Scan!DisablePackedExeScanning</t>
  </si>
  <si>
    <t>CPT-105FCCE9</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</si>
  <si>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</si>
  <si>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removable drives</t>
    </r>
  </si>
  <si>
    <r>
      <rPr>
        <sz val="11"/>
        <color rgb="FF000000"/>
        <rFont val="Calibri"/>
      </rPr>
      <t>This policy setting allows you to manage whether or not to scan for malicious software and unwanted software in the contents of removable drives such as USB flash drives when running a full scan.    If you enable this setting removable drives will be scanned during any type of scan.    If you disable or do not configure this setting removable drives will not be scanned during a full scan. Removable drives may still be scanned during quick scan and custom scan.</t>
    </r>
  </si>
  <si>
    <t>HKLM\Software\Policies\Microsoft\Windows Defender\Scan!DisableRemovableDriveScanning</t>
  </si>
  <si>
    <t>Windows Components\Remote Desktop Services\Remote Desktop Connection Client</t>
  </si>
  <si>
    <t>CPT-05F2A972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</si>
  <si>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</si>
  <si>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</si>
  <si>
    <r>
      <rPr>
        <sz val="11"/>
        <color rgb="FF000000"/>
        <rFont val="Calibri"/>
      </rPr>
      <t>Controls whether passwords can be saved on this computer from Remote Desktop Connection.If you enable this setting the password saving checkbox in Remote Desktop Connection will be disabled and users will no longer be able to save passwords. When a user opens an RDP file using Remote Desktop Connection and saves his settings any password that previously existed in the RDP file will be deleted.If you disable this setting or leave it not configured the user will be able to save passwords using Remote Desktop Connection.</t>
    </r>
  </si>
  <si>
    <t>HKLM\SOFTWARE\Policies\Microsoft\Windows NT\Terminal Services!DisablePasswordSaving</t>
  </si>
  <si>
    <t>Windows Components\Remote Desktop Services\Remote Desktop Session Host\Device and Resource Redirection</t>
  </si>
  <si>
    <t>CPT-F44ED8B8</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</si>
  <si>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</si>
  <si>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</si>
  <si>
    <r>
      <rPr>
        <sz val="11"/>
        <color rgb="FF000000"/>
        <rFont val="Calibri"/>
      </rPr>
      <t>This policy setting specifies whether to prevent the mapping of client drives in a Remote Desktop Services session (drive redirection).By default an RD Session Host server maps client drives automatically upon connection. Mapped drives appear in the session folder tree in File Explorer or Computer in the format &lt;driveletter&gt; on &lt;computername&gt;. You can use this policy setting to override this behavior.If you enable this policy setting client drive redirection is not allowed in Remote Desktop Services sessions and Clipboard file copy redirection is not allowed on computers running Windows XP Windows Server 2003 Windows Server 2012 (and later) or Windows 8 (and later).If you disable this policy setting client drive redirection is always allowed. In addition Clipboard file copy redirection is always allowed if Clipboard redirection is allowed.If you do not configure this policy setting client drive redirection and Clipboard file copy redirection are not specified at the Group Policy level.</t>
    </r>
  </si>
  <si>
    <t>HKLM\SOFTWARE\Policies\Microsoft\Windows NT\Terminal Services!fDisableCdm</t>
  </si>
  <si>
    <t>Windows Components\Remote Desktop Services\Remote Desktop Session Host\Security</t>
  </si>
  <si>
    <t>CPT-BF6C07CF</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</si>
  <si>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</si>
  <si>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</si>
  <si>
    <r>
      <rPr>
        <sz val="11"/>
        <color rgb="FF000000"/>
        <rFont val="Calibri"/>
      </rPr>
      <t>This policy setting specifies whether Remote Desktop Services always prompts the client for a password upon connection.You can use this setting to enforce a password prompt for users logging on to Remote Desktop Services even if they already provided the password in the Remote Desktop Connection client.By default Remote Desktop Services allows users to automatically log on by entering a password in the Remote Desktop Connection client.If you enable this policy setting users cannot automatically log on to Remote Desktop Services by supplying their passwords in the Remote Desktop Connection client. They are prompted for a password to log on.If you disable this policy setting users can always log on to Remote Desktop Services automatically by supplying their passwords in the Remote Desktop Connection client.If you do not configure this policy setting automatic logon is not specified at the Group Policy level.</t>
    </r>
  </si>
  <si>
    <t>HKLM\SOFTWARE\Policies\Microsoft\Windows NT\Terminal Services!fPromptForPassword</t>
  </si>
  <si>
    <t>CPT-4172A0AC</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</si>
  <si>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</si>
  <si>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</si>
  <si>
    <r>
      <rPr>
        <sz val="11"/>
        <color rgb="FF000000"/>
        <rFont val="Calibri"/>
      </rPr>
      <t>Specifies whether a Remote Desktop Session Host server requires secure RPC communication with all clients or allows unsecured communication.You can use this setting to strengthen the security of RPC communication with clients by allowing only authenticated and encrypted requests.If the status is set to Enabled Remote Desktop Services accepts requests from RPC clients that support secure requests and does not allow unsecured communication with untrusted clients.If the status is set to Disabled Remote Desktop Services always requests security for all RPC traffic. However unsecured communication is allowed for RPC clients that do not respond to the request.If the status is set to Not Configured unsecured communication is allowed.Note: The RPC interface is used for administering and configuring Remote Desktop Services.</t>
    </r>
  </si>
  <si>
    <t>HKLM\SOFTWARE\Policies\Microsoft\Windows NT\Terminal Services!fEncryptRPCTraffic</t>
  </si>
  <si>
    <t>At least Windows Server 2003</t>
  </si>
  <si>
    <t>CPT-ECE4D896</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</si>
  <si>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</si>
  <si>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UI path to </t>
    </r>
    <r>
      <rPr>
        <b/>
        <sz val="11"/>
        <color rgb="FF000000"/>
        <rFont val="Calibri"/>
      </rPr>
      <t>Enabled: High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</si>
  <si>
    <r>
      <rPr>
        <sz val="11"/>
        <color rgb="FF000000"/>
        <rFont val="Calibri"/>
      </rPr>
      <t>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encryption.If you enable this policy setting all communications between clients and RD Session Host servers during remote connections must use the encryption method specified in this setting. By default the encryption level is set to High. The following encryption methods are available:* High: The High setting encrypts data sent from the client to the server and from the server to the client by using strong 128-bit encryption. Use this encryption level in environments that contain only 128-bit clients (for example clients that run Remote Desktop Connection). Clients that do not support this encryption level cannot connect to RD Session Host servers.* Client Compatible: The Client Compatible setting encrypts data sent between the client and the server at the maximum key strength supported by the client. Use this encryption level in environments that include clients that do not support 128-bit encryption.* Low: The Low setting encrypts only data sent from the client to the server by using 56-bit encryption.If you disable or do not configure this setting the encryption level to be used for remote connections to RD Session Host servers is not enforced through Group Policy.ImportantFIPS compliance can be configured through the System cryptography. Use FIPS compliant algorithms for encryption hashing and signing settings in Group Policy (under Computer Configuration\Windows Settings\Security Settings\Local Policies\Security Options.) The FIPS compliant setting encrypts and decrypts data sent from the client to the server and from the server to the client with the Federal Information Processing Standard (FIPS) 140 encryption algorithms by using Microsoft cryptographic modules. Use this encryption level when communications between clients and RD Session Host servers requires the highest level of encryption.</t>
    </r>
  </si>
  <si>
    <t>HKLM\SOFTWARE\Policies\Microsoft\Windows NT\Terminal Services!MinEncryptionLevel</t>
  </si>
  <si>
    <t>Windows Components\RSS Feeds</t>
  </si>
  <si>
    <t>CPT-22B0E46E</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</si>
  <si>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</si>
  <si>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Components\RSS Feeds\Prevent downloading of enclosures</t>
    </r>
  </si>
  <si>
    <r>
      <rPr>
        <sz val="11"/>
        <color rgb="FF000000"/>
        <rFont val="Calibri"/>
      </rPr>
      <t>This policy setting prevents the user from having enclosures (file attachments) downloaded from a feed to the user's computer.If you enable this policy setting the user cannot set the Feed Sync Engine to download an enclosure through the Feed property page. A developer cannot change the download setting through the Feed APIs.If you disable or do not configure this policy setting the user can set the Feed Sync Engine to download an enclosure through the Feed property page. A developer can change the download setting through the Feed APIs.</t>
    </r>
  </si>
  <si>
    <t>HKLM\Software\Policies\Microsoft\Internet Explorer\Feeds!DisableEnclosureDownload</t>
  </si>
  <si>
    <t>Windows Components\Search</t>
  </si>
  <si>
    <t>CPT-7085D186</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</si>
  <si>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</si>
  <si>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Components\Search\Allow indexing of encrypted files</t>
    </r>
  </si>
  <si>
    <r>
      <rPr>
        <sz val="11"/>
        <color rgb="FF000000"/>
        <rFont val="Calibri"/>
      </rPr>
      <t>This policy setting allows encrypted items to be indexed. If you enable this policy setting indexing  will attempt to decrypt and index the content (access restrictions will still apply). If you disable this policy setting the search service components (including non-Microsoft components) are expected not to index encrypted items or encrypted stores. This policy setting is not configured by default. If you do not configure this policy setting the local setting configured through Control Panel will be used. By default the Control Panel setting is set to not index encrypted content.  When this setting is enabled or disabled the index is rebuilt completely. Full volume encryption (such as BitLocker Drive Encryption or a non-Microsoft solution) must be used for the location of the index to maintain security for encrypted files.</t>
    </r>
  </si>
  <si>
    <t>HKLM\SOFTWARE\Policies\Microsoft\Windows\Windows Search!AllowIndexingEncryptedStoresOrItems</t>
  </si>
  <si>
    <t>Microsoft Windows Vista or any version of Windows with Windows Search 4.0 or later</t>
  </si>
  <si>
    <t>Windows Components\Windows Defender SmartScreen\Enhanced Phishing Protection</t>
  </si>
  <si>
    <t>CPT-D3FE605C</t>
  </si>
  <si>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</si>
  <si>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SmartScreen\Enhanced Phishing Protection\Notify Malicious</t>
    </r>
  </si>
  <si>
    <r>
      <rPr>
        <sz val="11"/>
        <color rgb="FF000000"/>
        <rFont val="Calibri"/>
      </rPr>
      <t>This policy setting determines whether Enhanced Phishing Protection in Microsoft Defender SmartScreen warns your users if they type their work or school password into one of the following malicious scenarios: into a reported phishing site into a Microsoft login URL with an invalid certificate or into an application connecting to either a reported phishing site or a Microsoft login URL with an invalid certificate.If you enable this policy setting Enhanced Phishing Protection in Microsoft Defender SmartScreen warns your users if they type their work or school password into one of the malicious scenarios described above and encourages them to change their password.If you disable or donâ€™t configure this policy setting Enhanced Phishing Protection in Microsoft Defender SmartScreen will not warn your users if they type their work or school password into one of the malicious scenarios described above.</t>
    </r>
  </si>
  <si>
    <t>HKLM\Software\Policies\Microsoft\Windows\WTDS\Components!NotifyMalicious</t>
  </si>
  <si>
    <t>CPT-9BAB9F9F</t>
  </si>
  <si>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</si>
  <si>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SmartScreen\Enhanced Phishing Protection\Notify Password Reuse</t>
    </r>
  </si>
  <si>
    <r>
      <rPr>
        <sz val="11"/>
        <color rgb="FF000000"/>
        <rFont val="Calibri"/>
      </rPr>
      <t>This policy setting determines whether Enhanced Phishing Protection in Microsoft Defender SmartScreen warns your users if they reuse their work or school password.If you enable this policy setting Enhanced Phishing Protection in Microsoft Defender SmartScreen warns users if they reuse their work or school password and encourages them to change it.If you disable or donâ€™t configure this policy setting Enhanced Phishing Protection in Microsoft Defender SmartScreen will not warn users if they reuse their work or school password.</t>
    </r>
  </si>
  <si>
    <t>HKLM\Software\Policies\Microsoft\Windows\WTDS\Components!NotifyPasswordReuse</t>
  </si>
  <si>
    <t>CPT-41D2C722</t>
  </si>
  <si>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</si>
  <si>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SmartScreen\Enhanced Phishing Protection\Notify Unsafe App</t>
    </r>
  </si>
  <si>
    <r>
      <rPr>
        <sz val="11"/>
        <color rgb="FF000000"/>
        <rFont val="Calibri"/>
      </rPr>
      <t>This policy setting determines whether Enhanced Phishing Protection in Microsoft Defender SmartScreen warns your users if they type their work or school passwords in Notepad Winword or M365 Office apps like OneNote Word Excel etc.If you enable this policy setting Enhanced Phishing Protection in Microsoft Defender SmartScreen warns your users if they store their password in text editor apps.If you disable or donâ€™t configure this policy setting Enhanced Phishing Protection in Microsoft Defender SmartScreen will not warn users if they store their password in text editor apps.</t>
    </r>
  </si>
  <si>
    <t>HKLM\Software\Policies\Microsoft\Windows\WTDS\Components!NotifyUnsafeApp</t>
  </si>
  <si>
    <t>CPT-BE73D573</t>
  </si>
  <si>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</si>
  <si>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SmartScreen\Enhanced Phishing Protection\Service Enabled</t>
    </r>
  </si>
  <si>
    <r>
      <rPr>
        <sz val="11"/>
        <color rgb="FF000000"/>
        <rFont val="Calibri"/>
      </rPr>
      <t>This policy setting determines whether Enhanced Phishing Protection in Microsoft Defender SmartScreen is in audit mode or off. Users do not see notifications for any protection scenarios when Enhanced Phishing Protection in Microsoft Defender is in audit mode. Audit mode captures unsafe password entry events and sends telemetry through Microsoft Defender.If you enable this policy setting Enhanced Phishing Protection in Microsoft Defender SmartScreen is enabled in audit mode and your users are unable to turn it off.If you disable this policy setting Enhanced Phishing Protection in Microsoft Defender SmartScreen is off and it will not capture events send telemetry or notify users. Additionally your users are unable to turn it on.If you donâ€™t configure this setting users can decide whether or not they will enable Enhanced Phishing Protection in Microsoft Defender SmartScreen.</t>
    </r>
  </si>
  <si>
    <t>HKLM\Software\Policies\Microsoft\Windows\WTDS\Components!ServiceEnabled</t>
  </si>
  <si>
    <t>Windows Components\Windows Defender SmartScreen\Explorer</t>
  </si>
  <si>
    <t>CPT-55CB0B57</t>
  </si>
  <si>
    <r>
      <rPr>
        <sz val="11"/>
        <color rgb="FF000000"/>
        <rFont val="Calibri"/>
      </rPr>
      <t xml:space="preserve">Set the following UI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</si>
  <si>
    <t>Windows Components\Windows Game Recording and Broadcasting</t>
  </si>
  <si>
    <t>CPT-BC15FF0F</t>
  </si>
  <si>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</si>
  <si>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Game Recording and Broadcasting\Enables or disables Windows Game Recording and Broadcasting</t>
    </r>
  </si>
  <si>
    <r>
      <rPr>
        <sz val="11"/>
        <color rgb="FF000000"/>
        <rFont val="Calibri"/>
      </rPr>
      <t>Windows Game Recording and Broadcasting.This setting enables or disables the Windows Game Recording and Broadcasting features. If you disable this setting Windows Game Recording will not be allowed.If the setting is enabled or not configured then Recording and Broadcasting (streaming) will be allowed.</t>
    </r>
  </si>
  <si>
    <t>HKLM\Software\Policies\Microsoft\Windows\GameDVR!AllowGameDVR</t>
  </si>
  <si>
    <t>Windows Components\Windows Ink Workspace</t>
  </si>
  <si>
    <t>CPT-3C2297B4</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</si>
  <si>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</si>
  <si>
    <r>
      <rPr>
        <sz val="11"/>
        <color rgb="FF000000"/>
        <rFont val="Calibri"/>
      </rPr>
      <t xml:space="preserve">Set the following UI path to </t>
    </r>
    <r>
      <rPr>
        <b/>
        <sz val="11"/>
        <color rgb="FF000000"/>
        <rFont val="Calibri"/>
      </rPr>
      <t>Enabled: On, but disallow access above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Ink Workspace\Allow Windows Ink Workspace</t>
    </r>
  </si>
  <si>
    <r>
      <rPr>
        <sz val="11"/>
        <color rgb="FF000000"/>
        <rFont val="Calibri"/>
      </rPr>
      <t>Allow Windows Ink Workspace</t>
    </r>
  </si>
  <si>
    <t>HKLM\Software\Policies\Microsoft\WindowsInkWorkspace!AllowWindowsInkWorkspace; HKLM\Software\Policies\Microsoft\WindowsInkWorkspace!AllowWindowsInkWorkspace</t>
  </si>
  <si>
    <t>At least Windows 10 Redstone</t>
  </si>
  <si>
    <t>Windows Components\Windows Installer</t>
  </si>
  <si>
    <t>CPT-1C13C8F0</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</si>
  <si>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</si>
  <si>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Installer\Allow user control over installs</t>
    </r>
  </si>
  <si>
    <r>
      <rPr>
        <sz val="11"/>
        <color rgb="FF000000"/>
        <rFont val="Calibri"/>
      </rPr>
      <t>This policy setting permits users to change installation options that typically are available only to system administrators.If you enable this policy setting some of the security features of Windows Installer are bypassed. It permits installations to complete that otherwise would be halted due to a security violation.If you disable or do not configure this policy setting the security features of Windows Installer prevent users from changing installation options typically reserved for system administrators such as specifying the directory to which files are installed.If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user.This policy setting is designed for less restrictive environments. It can be used to circumvent errors in an installation program that prevents software from being installed.</t>
    </r>
  </si>
  <si>
    <t>HKLM\Software\Policies\Microsoft\Windows\Installer!EnableUserControl</t>
  </si>
  <si>
    <t>CPT-089DFBED</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</si>
  <si>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</si>
  <si>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Installer\Always install with elevated privileges</t>
    </r>
  </si>
  <si>
    <r>
      <rPr>
        <sz val="11"/>
        <color rgb="FF000000"/>
        <rFont val="Calibri"/>
      </rPr>
      <t>This policy setting directs Windows Installer to use elevated permissions when it installs any program on the system.If you enable this policy setting privileges are extended to all programs. These privileges are usually reserved for programs that have been assigned to the user (offered on the desktop) assigned to the computer (installed automatically) or made available in Add or Remove Programs in Control Panel. This profile setting lets users install programs that require access to directories that the user might not have permission to view or change including directories on highly restricted computers.If you disable or do not configure this policy setting the system applies the current user's permissions when it installs programs that a system administrator does not distribute or offer.Note: This policy setting appears both in the Computer Configuration and User Configuration folders. To make this policy setting effective you must enable it in both folders.Caution: Skilled users can take advantage of the permissions this policy setting grants to change their privileges and gain permanent access to restricted files and folders. Note that the User Configuration version of this policy setting is not guaranteed to be secure.</t>
    </r>
  </si>
  <si>
    <t>HKLM\Software\Policies\Microsoft\Windows\Installer!AlwaysInstallElevated</t>
  </si>
  <si>
    <t>Windows Components\Windows Logon Options</t>
  </si>
  <si>
    <t>CPT-C1BADDCB</t>
  </si>
  <si>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</si>
  <si>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Options\Configure the transmission of the user's password in the content of MPR notifications sent by winlogon.</t>
    </r>
  </si>
  <si>
    <r>
      <rPr>
        <sz val="11"/>
        <color rgb="FF000000"/>
        <rFont val="Calibri"/>
      </rPr>
      <t>This policy controls whether the user's password is included in the content of MPR notifications sent by winlogon in the system.If you disable this setting or do not configure it winlogon sends MPR notifications with empty password fields of the user's authentication info.If you enable this setting winlogon sends MPR notifications containing the user's password in the authentication info.</t>
    </r>
  </si>
  <si>
    <t>HKLM\Software\Microsoft\Windows\CurrentVersion\Policies\System!EnableMPR</t>
  </si>
  <si>
    <t>CPT-6D53CCD0</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</si>
  <si>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</si>
  <si>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</si>
  <si>
    <r>
      <rPr>
        <sz val="11"/>
        <color rgb="FF000000"/>
        <rFont val="Calibri"/>
      </rPr>
      <t>This policy setting controls whether a device will automatically sign in and lock the last interactive user after the system restarts or after a shutdown and cold boot.This only occurs if the last interactive user didnâ€™t sign out before the restart or shutdown.â€‹If the device is joined to Active Directory or Azure Active Directory this policy only applies to Windows Update restarts. Otherwise this will apply to both Windows Update restarts and user-initiated restarts and shutdowns.â€‹If you donâ€™t configure this policy setting it is enabled by default. When the policy is enabled the user is automatically signed in and the session is automatically locked with all lock screen apps configured for that user after the device boots.â€‹After enabling this policy you can configure its settings through the ConfigAutomaticRestartSignOn policy which configures the mode of automatically signing in and locking the last interactive user after a restart or cold bootâ€‹.If you disable this policy setting the device does not configure automatic sign in. The userâ€™s lock screen apps are not restarted after the system restarts.</t>
    </r>
  </si>
  <si>
    <t>HKLM\Software\Microsoft\Windows\CurrentVersion\Policies\System!DisableAutomaticRestartSignOn</t>
  </si>
  <si>
    <t>Windows Components\Windows PowerShell</t>
  </si>
  <si>
    <t>CPT-CFC5339C</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</si>
  <si>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 Log script block invocation start / stop events = Disabled</t>
    </r>
    <r>
      <rPr>
        <sz val="11"/>
        <color rgb="FF000000"/>
        <rFont val="Calibri"/>
      </rPr>
      <t>'</t>
    </r>
  </si>
  <si>
    <r>
      <rPr>
        <sz val="11"/>
        <color rgb="FF000000"/>
        <rFont val="Calibri"/>
      </rPr>
      <t xml:space="preserve">Set the following UI path to </t>
    </r>
    <r>
      <rPr>
        <b/>
        <sz val="11"/>
        <color rgb="FF000000"/>
        <rFont val="Calibri"/>
      </rPr>
      <t>Enabled; Log script block invocation start / stop events =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PowerShell\Turn on PowerShell Script Block Logging</t>
    </r>
  </si>
  <si>
    <r>
      <rPr>
        <sz val="11"/>
        <color rgb="FF000000"/>
        <rFont val="Calibri"/>
      </rPr>
      <t>This policy setting enables logging of all PowerShell script input to the Microsoft-Windows-PowerShell/Operational event log. If you enable this policy setting        Windows PowerShell will log the processing of commands script blocks functions and scripts - whether invoked interactively or through automation.                If you disable this policy setting logging of PowerShell script input is disabled.                If you enable the Script Block Invocation Logging PowerShell additionally logs events when invocation of a command script block function or script        starts or stops. Enabling Invocation Logging generates a high volume of event logs.                Note: This policy setting exists under both Computer Configuration and User Configuration in the Group Policy Editor. The Computer Configuration policy setting takes precedence over the User Configuration policy setting.</t>
    </r>
  </si>
  <si>
    <t>HKLM\Software\Policies\Microsoft\Windows\PowerShell\ScriptBlockLogging!EnableScriptBlockLogging; HKLM\Software\Policies\Microsoft\Windows\PowerShell\ScriptBlockLogging!EnableScriptBlockInvocationLogging</t>
  </si>
  <si>
    <t>At least Microsoft Windows 7 or Windows Server 2008 family</t>
  </si>
  <si>
    <t>Windows Components\Windows Remote Management (WinRM)\WinRM Client</t>
  </si>
  <si>
    <t>CPT-4420FCBE</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</si>
  <si>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</si>
  <si>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</si>
  <si>
    <r>
      <rPr>
        <sz val="11"/>
        <color rgb="FF000000"/>
        <rFont val="Calibri"/>
      </rPr>
      <t>This policy setting allows you to manage whether the Windows Remote Management (WinRM) client uses Basic authentication.If you enable this policy setting the WinRM client uses Basic authentication. If WinRM is configured to use HTTP transport the user name and password are sent over the network as clear text.If you disable or do not configure this policy setting the WinRM client does not use Basic authentication.</t>
    </r>
  </si>
  <si>
    <t>HKLM\Software\Policies\Microsoft\Windows\WinRM\Client!AllowBasic</t>
  </si>
  <si>
    <t>CPT-47EA08A9</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</si>
  <si>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</si>
  <si>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</si>
  <si>
    <r>
      <rPr>
        <sz val="11"/>
        <color rgb="FF000000"/>
        <rFont val="Calibri"/>
      </rPr>
      <t>This policy setting allows you to manage whether the Windows Remote Management (WinRM) client sends and receives unencrypted messages over the network.If you enable this policy setting the WinRM client sends and receives unencrypted messages over the network.If you disable or do not configure this policy setting the WinRM client sends or receives only encrypted messages over the network.</t>
    </r>
  </si>
  <si>
    <t>HKLM\Software\Policies\Microsoft\Windows\WinRM\Client!AllowUnencryptedTraffic</t>
  </si>
  <si>
    <t>CPT-61C4BEB1</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</si>
  <si>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</si>
  <si>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</si>
  <si>
    <r>
      <rPr>
        <sz val="11"/>
        <color rgb="FF000000"/>
        <rFont val="Calibri"/>
      </rPr>
      <t>This policy setting allows you to manage whether the Windows Remote Management (WinRM) client uses Digest authentication.If you enable this policy setting the WinRM client does not use Digest authentication.If you disable or do not configure this policy setting the WinRM client uses Digest authentication.</t>
    </r>
  </si>
  <si>
    <t>HKLM\Software\Policies\Microsoft\Windows\WinRM\Client!AllowDigest</t>
  </si>
  <si>
    <t>Windows Components\Windows Remote Management (WinRM)\WinRM Service</t>
  </si>
  <si>
    <t>CPT-AA5B9DA9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</si>
  <si>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</si>
  <si>
    <r>
      <rPr>
        <sz val="11"/>
        <color rgb="FF000000"/>
        <rFont val="Calibri"/>
      </rPr>
      <t>This policy setting allows you to manage whether the Windows Remote Management (WinRM) service accepts Basic authentication from a remote client.        If you enable this policy setting the WinRM service accepts Basic authentication from a remote client.        If you disable or do not configure this policy setting the WinRM service does not accept Basic authentication from a remote client.</t>
    </r>
  </si>
  <si>
    <t>HKLM\Software\Policies\Microsoft\Windows\WinRM\Service!AllowBasic</t>
  </si>
  <si>
    <t>CPT-BA890745</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</si>
  <si>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</si>
  <si>
    <r>
      <rPr>
        <sz val="11"/>
        <color rgb="FF000000"/>
        <rFont val="Calibri"/>
      </rPr>
      <t>This policy setting allows you to manage whether the Windows Remote Management (WinRM) service sends and receives unencrypted messages over the network.If you enable this policy setting the WinRM client sends and receives unencrypted messages over the network.If you disable or do not configure this policy setting the WinRM client sends or receives only encrypted messages over the network.</t>
    </r>
  </si>
  <si>
    <t>HKLM\Software\Policies\Microsoft\Windows\WinRM\Service!AllowUnencryptedTraffic</t>
  </si>
  <si>
    <t>CPT-FADBF9E9</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</si>
  <si>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</si>
  <si>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</si>
  <si>
    <r>
      <rPr>
        <sz val="11"/>
        <color rgb="FF000000"/>
        <rFont val="Calibri"/>
      </rPr>
      <t>This policy setting allows you to manage whether the Windows Remote Management (WinRM) service will not allow RunAs credentials to be stored for any plug-ins.If you enable this policy setting the WinRM service will not allow the RunAsUser or RunAsPassword configuration values to be set for any plug-ins.  If a plug-in has already set the RunAsUser and RunAsPassword configuration values the RunAsPassword configuration value will be erased from the credential store on this computer.If you disable or do not configure this policy setting the WinRM service will allow the RunAsUser and RunAsPassword configuration values to be set for plug-ins and the RunAsPassword value will be stored securely.If you enable and then disable this policy settingany values that were previously configured for RunAsPassword will need to be reset.</t>
    </r>
  </si>
  <si>
    <t>HKLM\Software\Policies\Microsoft\Windows\WinRM\Service!DisableRunAs</t>
  </si>
  <si>
    <t>Start Menu and Taskbar\Notifications</t>
  </si>
  <si>
    <t>CPT-89A7E9CC</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</si>
  <si>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</si>
  <si>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Templates\Start Menu and Taskbar\Notifications\Turn off toast notifications on the lock screen</t>
    </r>
  </si>
  <si>
    <r>
      <rPr>
        <sz val="11"/>
        <color rgb="FF000000"/>
        <rFont val="Calibri"/>
      </rPr>
      <t>This policy setting turns off toast notifications on the lock screen.        If you enable this policy setting applications will not be able to raise toast notifications on the lock screen.        If you disable or do not configure this policy setting toast notifications on the lock screen are enabled and can be turned off by the administrator or user.        No reboots or service restarts are required for this policy setting to take effect.</t>
    </r>
  </si>
  <si>
    <t>HKCU\SOFTWARE\Policies\Microsoft\Windows\CurrentVersion\PushNotifications!NoToastApplicationNotificationOnLockScreen</t>
  </si>
  <si>
    <t>CPT-75F12861</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</si>
  <si>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</si>
  <si>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Components\Cloud Content\Do not suggest third-party content in Windows spotlight</t>
    </r>
  </si>
  <si>
    <r>
      <rPr>
        <sz val="11"/>
        <color rgb="FF000000"/>
        <rFont val="Calibri"/>
      </rPr>
      <t>If you enable this policy Windows spotlight features like lock screen spotlight suggested apps in Start menu or Windows tips will no longer suggest apps and content from third-party software publishers. Users may still see suggestions and tips to make them more productive with Microsoft features and apps.If you disable or do not configure this policy Windows spotlight features may suggest apps and content from third-party software publishers in addition to Microsoft apps and content.</t>
    </r>
  </si>
  <si>
    <t>HKCU\Software\Policies\Microsoft\Windows\CloudContent!DisableThirdPartySuggestions</t>
  </si>
  <si>
    <t>CPT-09A85F3D</t>
  </si>
  <si>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</si>
  <si>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on the auto-complete feature for user names and passwords on forms</t>
    </r>
  </si>
  <si>
    <r>
      <rPr>
        <sz val="11"/>
        <color rgb="FF000000"/>
        <rFont val="Calibri"/>
      </rPr>
      <t>This AutoComplete feature can remember and suggest User names and passwords on Forms.If you enable this setting the user cannot change "User name and passwords on forms" or "prompt me to save passwords". The Auto Complete feature for User names and passwords on Forms will be turned on. You have to decide whether to select "prompt me to save passwords".If you disable this setting the user cannot change "User name and passwords on forms" or "prompt me to save passwords". The Auto Complete feature for User names and passwords on Forms is turned off. The user also cannot opt to be prompted to save passwords.If you do not configure this setting the user has the freedom of turning on Auto complete for User name and passwords on forms and the option of prompting to save passwords. To display this option the users open the Internet Options dialog box click the Contents Tab and click the Settings button.</t>
    </r>
  </si>
  <si>
    <t>HKCU\Software\Policies\Microsoft\Internet Explorer\Main!FormSuggest Passwords; HKCU\Software\Policies\Microsoft\Internet Explorer\Control Panel!FormSuggest Passwords HKCU\Software\Policies\Microsoft\Internet Explorer\Main!FormSuggest PW Ask</t>
  </si>
  <si>
    <t>System Services</t>
  </si>
  <si>
    <t>SVC-5DFE22D0</t>
  </si>
  <si>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</si>
  <si>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Services\XblGameSaveTask</t>
    </r>
  </si>
  <si>
    <t>SVC-2AB840DF</t>
  </si>
  <si>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</si>
  <si>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Accessory Management Service</t>
    </r>
  </si>
  <si>
    <t>SVC-609E758D</t>
  </si>
  <si>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</si>
  <si>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Auth Manager</t>
    </r>
  </si>
  <si>
    <t>SVC-FE4CD8A8</t>
  </si>
  <si>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</si>
  <si>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Game Save</t>
    </r>
  </si>
  <si>
    <t>SVC-7901AF39</t>
  </si>
  <si>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</si>
  <si>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Networking Service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</si>
  <si>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</si>
  <si>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</si>
  <si>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</si>
  <si>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</si>
  <si>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</si>
  <si>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</si>
  <si>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</si>
  <si>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</si>
  <si>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</si>
  <si>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</si>
  <si>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</si>
  <si>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</si>
  <si>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</si>
  <si>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</si>
  <si>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</si>
  <si>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</si>
  <si>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</si>
  <si>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</si>
  <si>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</si>
  <si>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</si>
  <si>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</si>
  <si>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</si>
  <si>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</si>
  <si>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</si>
  <si>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</si>
  <si>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</si>
  <si>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</si>
  <si>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</si>
  <si>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</si>
  <si>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Security Baseline for Windows 11</t>
  </si>
  <si>
    <t>Developed By:</t>
  </si>
  <si>
    <t>Microsoft</t>
  </si>
  <si>
    <t>Release Information:</t>
  </si>
  <si>
    <r>
      <rPr>
        <b/>
        <sz val="11"/>
        <color rgb="FF000000"/>
        <rFont val="Calibri"/>
      </rPr>
      <t>Version:</t>
    </r>
    <r>
      <rPr>
        <sz val="11"/>
        <color rgb="FF000000"/>
        <rFont val="Calibri"/>
      </rPr>
      <t xml:space="preserve"> 24H2     </t>
    </r>
    <r>
      <rPr>
        <b/>
        <sz val="11"/>
        <color rgb="FF000000"/>
        <rFont val="Calibri"/>
      </rPr>
      <t>Date:</t>
    </r>
    <r>
      <rPr>
        <sz val="11"/>
        <color rgb="FF000000"/>
        <rFont val="Calibri"/>
      </rPr>
      <t xml:space="preserve"> 30 September 2024     </t>
    </r>
    <r>
      <rPr>
        <b/>
        <sz val="11"/>
        <color rgb="FF000000"/>
        <rFont val="Calibri"/>
      </rPr>
      <t>Recommendation Count:</t>
    </r>
    <r>
      <rPr>
        <sz val="11"/>
        <color rgb="FF000000"/>
        <rFont val="Calibri"/>
      </rPr>
      <t xml:space="preserve"> 367</t>
    </r>
  </si>
  <si>
    <t>Community Url:</t>
  </si>
  <si>
    <t>https://techcommunity.microsoft.com/category/security-baselines/discussions/security-baselines</t>
  </si>
  <si>
    <t>Download Url:</t>
  </si>
  <si>
    <t>https://aka.ms/sct</t>
  </si>
  <si>
    <t>Guide Overview:</t>
  </si>
  <si>
    <r>
      <rPr>
        <sz val="11"/>
        <color rgb="FF000000"/>
        <rFont val="Calibri"/>
      </rPr>
      <t xml:space="preserve">Microsoft security configuration baseline settings for </t>
    </r>
    <r>
      <rPr>
        <b/>
        <sz val="11"/>
        <color rgb="FF000000"/>
        <rFont val="Calibri"/>
      </rPr>
      <t>Windows 11 version 24H2</t>
    </r>
    <r>
      <rPr>
        <sz val="11"/>
        <color rgb="FF000000"/>
        <rFont val="Calibri"/>
      </rPr>
      <t xml:space="preserve">, distributed within the Microsoft Security Compliance Toolkit </t>
    </r>
    <r>
      <rPr>
        <sz val="11"/>
        <color rgb="FF0000FF"/>
        <rFont val="Calibri"/>
      </rPr>
      <t>(https://www.microsoft.com/download/details.aspx?id=55319)</t>
    </r>
    <r>
      <rPr>
        <sz val="11"/>
        <color rgb="FF000000"/>
        <rFont val="Calibri"/>
      </rPr>
      <t>. Download the package, test the recommended configurations in your environment, and customize or implement them as appropriate.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</si>
  <si>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</si>
  <si>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</si>
  <si>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</si>
  <si>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</si>
  <si>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</si>
  <si>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</si>
  <si>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</si>
  <si>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</si>
  <si>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</si>
  <si>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</si>
  <si>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</si>
  <si>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</si>
  <si>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</si>
  <si>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</si>
  <si>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</si>
  <si>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</si>
  <si>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</si>
  <si>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</si>
  <si>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</si>
  <si>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</si>
  <si>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</si>
  <si>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</si>
  <si>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</si>
  <si>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</si>
  <si>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</si>
  <si>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</si>
  <si>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</si>
  <si>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</si>
  <si>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</si>
  <si>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</si>
  <si>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</si>
  <si>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</si>
  <si>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</si>
  <si>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</si>
  <si>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</si>
  <si>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</si>
  <si>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</si>
  <si>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</si>
  <si>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</si>
  <si>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Security Baseline for Windows 11 24H2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</si>
  <si>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</si>
  <si>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</si>
  <si>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</si>
  <si>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</si>
  <si>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</si>
  <si>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</si>
  <si>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</si>
  <si>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</si>
  <si>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</si>
  <si>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</si>
  <si>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</si>
  <si>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</si>
  <si>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</si>
  <si>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</si>
  <si>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</si>
  <si>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</si>
  <si>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</si>
  <si>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</si>
  <si>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</si>
  <si>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</si>
  <si>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</si>
  <si>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</si>
  <si>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</si>
  <si>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</si>
  <si>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</si>
  <si>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</si>
  <si>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</si>
  <si>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</si>
  <si>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</si>
  <si>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</si>
  <si>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</si>
  <si>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</si>
  <si>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</si>
  <si>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</si>
  <si>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</si>
  <si>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</si>
  <si>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</si>
  <si>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</si>
  <si>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</si>
  <si>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</si>
  <si>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</si>
  <si>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</si>
  <si>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</si>
  <si>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</si>
  <si>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</si>
  <si>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(C52)</t>
  </si>
  <si>
    <t>% Must</t>
  </si>
  <si>
    <t>Should Count (C53)</t>
  </si>
  <si>
    <t>% Should</t>
  </si>
  <si>
    <t>Could Count (C54)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</si>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</sst>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5">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0"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1" fillId="4" borderId="11" xfId="0" applyNumberFormat="1" applyFont="1" applyFill="1" applyBorder="1" applyAlignment="1" applyProtection="1">
      <alignment horizontal="left"/>
    </xf>
    <xf numFmtId="0" fontId="11" fillId="4" borderId="11" xfId="0" applyNumberFormat="1" applyFont="1" applyFill="1" applyBorder="1" applyAlignment="1" applyProtection="1">
      <alignment horizontal="center"/>
    </xf>
    <xf numFmtId="164" fontId="11" fillId="4" borderId="11" xfId="0" applyNumberFormat="1" applyFont="1" applyFill="1" applyBorder="1" applyAlignment="1" applyProtection="1">
      <alignment horizontal="center"/>
    </xf>
    <xf numFmtId="0" fontId="12" fillId="3" borderId="0" xfId="0" applyNumberFormat="1" applyFont="1" applyFill="1" applyProtection="1"/>
    <xf numFmtId="0" fontId="10"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4" fillId="3" borderId="0" xfId="0" applyNumberFormat="1" applyFont="1" applyFill="1" applyProtection="1"/>
    <xf numFmtId="0" fontId="15" fillId="3" borderId="13" xfId="0" applyNumberFormat="1" applyFont="1" applyFill="1" applyBorder="1" applyAlignment="1" applyProtection="1">
      <alignment horizontal="right" vertical="center"/>
    </xf>
    <xf numFmtId="0" fontId="16"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0" fillId="2" borderId="11" xfId="0" applyNumberFormat="1" applyFont="1" applyFill="1" applyBorder="1" applyAlignment="1" applyProtection="1">
      <alignment horizontal="center" vertical="center" wrapText="1"/>
    </xf>
    <xf numFmtId="0" fontId="17"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0"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9" fillId="14" borderId="11" xfId="0" applyNumberFormat="1" applyFont="1" applyFill="1" applyBorder="1" applyAlignment="1" applyProtection="1">
      <alignment horizontal="center" vertical="center" wrapText="1"/>
    </xf>
    <xf numFmtId="0" fontId="19" fillId="15" borderId="11" xfId="0" applyNumberFormat="1" applyFont="1" applyFill="1" applyBorder="1" applyAlignment="1" applyProtection="1">
      <alignment horizontal="center" vertical="center" wrapText="1"/>
    </xf>
    <xf numFmtId="0" fontId="19" fillId="16" borderId="11" xfId="0" applyNumberFormat="1" applyFont="1" applyFill="1" applyBorder="1" applyAlignment="1" applyProtection="1">
      <alignment horizontal="center" vertical="center" wrapText="1"/>
    </xf>
    <xf numFmtId="0" fontId="19" fillId="17" borderId="11" xfId="0" applyNumberFormat="1" applyFont="1" applyFill="1" applyBorder="1" applyAlignment="1" applyProtection="1">
      <alignment horizontal="center" vertical="center" wrapText="1"/>
    </xf>
    <xf numFmtId="0" fontId="19" fillId="18" borderId="11" xfId="0" applyNumberFormat="1" applyFont="1" applyFill="1" applyBorder="1" applyAlignment="1" applyProtection="1">
      <alignment horizontal="center" vertical="center" wrapText="1"/>
    </xf>
    <xf numFmtId="0" fontId="19" fillId="19" borderId="11" xfId="0" applyNumberFormat="1" applyFont="1" applyFill="1" applyBorder="1" applyAlignment="1" applyProtection="1">
      <alignment horizontal="center" vertical="center" wrapText="1"/>
    </xf>
    <xf numFmtId="0" fontId="20"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1"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2"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2"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xf>
    <xf numFmtId="0" fontId="21"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0"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0"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3" fillId="3" borderId="0" xfId="0" applyNumberFormat="1" applyFont="1" applyFill="1" applyAlignment="1" applyProtection="1">
      <alignment vertical="top" wrapText="1"/>
    </xf>
    <xf numFmtId="3" fontId="18"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8"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0"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E40-4795-B986-999155E8390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E40-4795-B986-999155E8390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367</c:v>
                </c:pt>
              </c:numCache>
            </c:numRef>
          </c:val>
          <c:extLst>
            <c:ext xmlns:c16="http://schemas.microsoft.com/office/drawing/2014/chart" uri="{C3380CC4-5D6E-409C-BE32-E72D297353CC}">
              <c16:uniqueId val="{00000002-CE40-4795-B986-999155E8390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596-43A5-9E59-92254C71A6B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596-43A5-9E59-92254C71A6B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367</c:v>
                </c:pt>
              </c:numCache>
            </c:numRef>
          </c:val>
          <c:extLst>
            <c:ext xmlns:c16="http://schemas.microsoft.com/office/drawing/2014/chart" uri="{C3380CC4-5D6E-409C-BE32-E72D297353CC}">
              <c16:uniqueId val="{00000002-2596-43A5-9E59-92254C71A6B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Dashboard!$C$52:$C$56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076-4EBE-8E13-EF5CA05B96E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Dashboard!$D$52:$D$56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076-4EBE-8E13-EF5CA05B96E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Dashboard!$E$52:$E$56</c:f>
              <c:numCache>
                <c:formatCode>General</c:formatCode>
                <c:ptCount val="5"/>
                <c:pt idx="0">
                  <c:v>0</c:v>
                </c:pt>
                <c:pt idx="1">
                  <c:v>0</c:v>
                </c:pt>
                <c:pt idx="2">
                  <c:v>0</c:v>
                </c:pt>
                <c:pt idx="3">
                  <c:v>0</c:v>
                </c:pt>
                <c:pt idx="4">
                  <c:v>367</c:v>
                </c:pt>
              </c:numCache>
            </c:numRef>
          </c:val>
          <c:extLst>
            <c:ext xmlns:c16="http://schemas.microsoft.com/office/drawing/2014/chart" uri="{C3380CC4-5D6E-409C-BE32-E72D297353CC}">
              <c16:uniqueId val="{00000002-3076-4EBE-8E13-EF5CA05B96E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Dashboard!$C$73:$C$76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6A7-4320-86AB-801454882D0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Dashboard!$D$73:$D$76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6A7-4320-86AB-801454882D0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Dashboard!$E$73:$E$76</c:f>
              <c:numCache>
                <c:formatCode>General</c:formatCode>
                <c:ptCount val="4"/>
                <c:pt idx="0">
                  <c:v>0</c:v>
                </c:pt>
                <c:pt idx="1">
                  <c:v>0</c:v>
                </c:pt>
                <c:pt idx="2">
                  <c:v>0</c:v>
                </c:pt>
                <c:pt idx="3">
                  <c:v>367</c:v>
                </c:pt>
              </c:numCache>
            </c:numRef>
          </c:val>
          <c:extLst>
            <c:ext xmlns:c16="http://schemas.microsoft.com/office/drawing/2014/chart" uri="{C3380CC4-5D6E-409C-BE32-E72D297353CC}">
              <c16:uniqueId val="{00000002-B6A7-4320-86AB-801454882D0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Dashboard!$P$109:$P$138</c:f>
              <c:numCache>
                <c:formatCode>yyyy\-mm\-dd</c:formatCode>
                <c:ptCount val="30"/>
              </c:numCache>
            </c:numRef>
          </c:cat>
          <c:val>
            <c:numRef>
              <c:f>Dashboard!$R$109:$R$138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CEA-4AFB-AA0A-47953EE83AE3}"/>
            </c:ext>
          </c:extLst>
        </c:ser>
        <c:ser>
          <c:idx val="1"/>
          <c:order val="1"/>
          <c:tx>
            <c:v>Must % Resolved</c:v>
          </c:tx>
          <c:spPr>
            <a:ln w="22225" cap="rnd">
              <a:solidFill>
                <a:schemeClr val="accent2"/>
              </a:solidFill>
              <a:round/>
            </a:ln>
            <a:effectLst/>
          </c:spPr>
          <c:marker>
            <c:symbol val="none"/>
          </c:marker>
          <c:cat>
            <c:numRef>
              <c:f>Dashboard!$P$109:$P$138</c:f>
              <c:numCache>
                <c:formatCode>yyyy\-mm\-dd</c:formatCode>
                <c:ptCount val="30"/>
              </c:numCache>
            </c:numRef>
          </c:cat>
          <c:val>
            <c:numRef>
              <c:f>Dashboard!$T$109:$T$138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CEA-4AFB-AA0A-47953EE83AE3}"/>
            </c:ext>
          </c:extLst>
        </c:ser>
        <c:ser>
          <c:idx val="2"/>
          <c:order val="2"/>
          <c:tx>
            <c:v>Should % Resolved</c:v>
          </c:tx>
          <c:spPr>
            <a:ln w="22225" cap="rnd">
              <a:solidFill>
                <a:schemeClr val="accent3"/>
              </a:solidFill>
              <a:round/>
            </a:ln>
            <a:effectLst/>
          </c:spPr>
          <c:marker>
            <c:symbol val="none"/>
          </c:marker>
          <c:cat>
            <c:numRef>
              <c:f>Dashboard!$P$109:$P$138</c:f>
              <c:numCache>
                <c:formatCode>yyyy\-mm\-dd</c:formatCode>
                <c:ptCount val="30"/>
              </c:numCache>
            </c:numRef>
          </c:cat>
          <c:val>
            <c:numRef>
              <c:f>Dashboard!$V$109:$V$138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CEA-4AFB-AA0A-47953EE83AE3}"/>
            </c:ext>
          </c:extLst>
        </c:ser>
        <c:ser>
          <c:idx val="3"/>
          <c:order val="3"/>
          <c:tx>
            <c:v>Could % Resolved</c:v>
          </c:tx>
          <c:spPr>
            <a:ln w="22225" cap="rnd">
              <a:solidFill>
                <a:schemeClr val="accent4"/>
              </a:solidFill>
              <a:round/>
            </a:ln>
            <a:effectLst/>
          </c:spPr>
          <c:marker>
            <c:symbol val="none"/>
          </c:marker>
          <c:cat>
            <c:numRef>
              <c:f>Dashboard!$P$109:$P$138</c:f>
              <c:numCache>
                <c:formatCode>yyyy\-mm\-dd</c:formatCode>
                <c:ptCount val="30"/>
              </c:numCache>
            </c:numRef>
          </c:cat>
          <c:val>
            <c:numRef>
              <c:f>Dashboard!$X$109:$X$138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CEA-4AFB-AA0A-47953EE83AE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Dashboard!$P$151:$P$170</c:f>
              <c:numCache>
                <c:formatCode>yyyy\-mm\-dd</c:formatCode>
                <c:ptCount val="20"/>
              </c:numCache>
            </c:numRef>
          </c:cat>
          <c:val>
            <c:numRef>
              <c:f>Dashboard!$R$151:$R$170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ADA-49EC-B368-2D9A481520F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cz0yi2">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1fhr15">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48</xdr:row>
      <xdr:rowOff>95250</xdr:rowOff>
    </xdr:from>
    <xdr:to>
      <xdr:col>15</xdr:col>
      <xdr:colOff>28575</xdr:colOff>
      <xdr:row>64</xdr:row>
      <xdr:rowOff>0</xdr:rowOff>
    </xdr:to>
    <xdr:graphicFrame macro="">
      <xdr:nvGraphicFramePr>
        <xdr:cNvPr id="4" name="Chartnz2ll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142875</xdr:rowOff>
    </xdr:to>
    <xdr:graphicFrame macro="">
      <xdr:nvGraphicFramePr>
        <xdr:cNvPr id="5" name="Charts55zu5">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47625</xdr:colOff>
      <xdr:row>104</xdr:row>
      <xdr:rowOff>95250</xdr:rowOff>
    </xdr:from>
    <xdr:to>
      <xdr:col>14</xdr:col>
      <xdr:colOff>0</xdr:colOff>
      <xdr:row>127</xdr:row>
      <xdr:rowOff>38100</xdr:rowOff>
    </xdr:to>
    <xdr:graphicFrame macro="">
      <xdr:nvGraphicFramePr>
        <xdr:cNvPr id="6" name="Chartisd05l">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145</xdr:row>
      <xdr:rowOff>95250</xdr:rowOff>
    </xdr:from>
    <xdr:to>
      <xdr:col>14</xdr:col>
      <xdr:colOff>0</xdr:colOff>
      <xdr:row>163</xdr:row>
      <xdr:rowOff>123825</xdr:rowOff>
    </xdr:to>
    <xdr:graphicFrame macro="">
      <xdr:nvGraphicFramePr>
        <xdr:cNvPr id="7" name="Chartcfrw1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368">
  <autoFilter ref="A1:N368" xr:uid="{00000000-0009-0000-0100-000001000000}"/>
  <tableColumns count="14">
    <tableColumn id="1" xr3:uid="{00000000-0010-0000-0000-000001000000}" name="Section"/>
    <tableColumn id="2" xr3:uid="{00000000-0010-0000-0000-000002000000}" name="Id"/>
    <tableColumn id="3" xr3:uid="{00000000-0010-0000-0000-000003000000}" name="Title"/>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RegistryInformation"/>
    <tableColumn id="12" xr3:uid="{00000000-0010-0000-0000-00000C000000}" name="SupportedOn"/>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chcommunity.microsoft.com/category/security-baselines/discussions/security-baseline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aka.ms/sct"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1767</v>
      </c>
    </row>
    <row r="3" spans="2:3" ht="15" customHeight="1" x14ac:dyDescent="0.35"/>
    <row r="4" spans="2:3" ht="58" x14ac:dyDescent="0.35">
      <c r="B4" s="18" t="s">
        <v>1768</v>
      </c>
      <c r="C4" s="19" t="s">
        <v>1769</v>
      </c>
    </row>
    <row r="5" spans="2:3" x14ac:dyDescent="0.35">
      <c r="C5" s="19" t="s">
        <v>1770</v>
      </c>
    </row>
    <row r="6" spans="2:3" x14ac:dyDescent="0.35">
      <c r="C6" s="16" t="s">
        <v>1771</v>
      </c>
    </row>
    <row r="7" spans="2:3" ht="10" customHeight="1" x14ac:dyDescent="0.35"/>
    <row r="8" spans="2:3" ht="232" x14ac:dyDescent="0.35">
      <c r="B8" s="20" t="s">
        <v>1772</v>
      </c>
      <c r="C8" s="19" t="s">
        <v>1773</v>
      </c>
    </row>
    <row r="9" spans="2:3" ht="10" customHeight="1" x14ac:dyDescent="0.35"/>
    <row r="10" spans="2:3" ht="35" customHeight="1" x14ac:dyDescent="0.35">
      <c r="B10" s="20" t="s">
        <v>1774</v>
      </c>
      <c r="C10" s="19" t="s">
        <v>1775</v>
      </c>
    </row>
    <row r="11" spans="2:3" ht="75" customHeight="1" x14ac:dyDescent="0.35">
      <c r="B11" s="16" t="s">
        <v>20</v>
      </c>
      <c r="C11" s="19" t="s">
        <v>1776</v>
      </c>
    </row>
    <row r="12" spans="2:3" ht="47" customHeight="1" x14ac:dyDescent="0.35">
      <c r="B12" s="16" t="s">
        <v>20</v>
      </c>
      <c r="C12" s="19" t="s">
        <v>1777</v>
      </c>
    </row>
    <row r="13" spans="2:3" ht="35" customHeight="1" x14ac:dyDescent="0.35">
      <c r="B13" s="16" t="s">
        <v>20</v>
      </c>
      <c r="C13" s="19" t="s">
        <v>1778</v>
      </c>
    </row>
    <row r="14" spans="2:3" ht="32" customHeight="1" x14ac:dyDescent="0.35">
      <c r="B14" s="16" t="s">
        <v>20</v>
      </c>
      <c r="C14" s="19" t="s">
        <v>1779</v>
      </c>
    </row>
    <row r="15" spans="2:3" ht="30" customHeight="1" x14ac:dyDescent="0.35">
      <c r="B15" s="16" t="s">
        <v>20</v>
      </c>
      <c r="C15" s="19" t="s">
        <v>1780</v>
      </c>
    </row>
    <row r="16" spans="2:3" ht="10" customHeight="1" x14ac:dyDescent="0.35"/>
    <row r="17" spans="1:3" ht="145" customHeight="1" x14ac:dyDescent="0.35">
      <c r="B17" s="20" t="s">
        <v>1781</v>
      </c>
      <c r="C17" s="19" t="s">
        <v>1782</v>
      </c>
    </row>
    <row r="18" spans="1:3" ht="10" customHeight="1" x14ac:dyDescent="0.35"/>
    <row r="19" spans="1:3" ht="3" customHeight="1" x14ac:dyDescent="0.35">
      <c r="B19" s="21"/>
      <c r="C19" s="21"/>
    </row>
    <row r="20" spans="1:3" ht="12" customHeight="1" x14ac:dyDescent="0.35"/>
    <row r="21" spans="1:3" ht="35" customHeight="1" x14ac:dyDescent="0.35">
      <c r="A21" s="23"/>
      <c r="B21" s="24" t="s">
        <v>1783</v>
      </c>
      <c r="C21" s="25" t="s">
        <v>1784</v>
      </c>
    </row>
    <row r="22" spans="1:3" ht="18" customHeight="1" x14ac:dyDescent="0.35">
      <c r="A22" s="23"/>
      <c r="B22" s="23" t="s">
        <v>20</v>
      </c>
      <c r="C22" s="25" t="s">
        <v>1785</v>
      </c>
    </row>
    <row r="23" spans="1:3" ht="18" customHeight="1" x14ac:dyDescent="0.35">
      <c r="A23" s="23"/>
      <c r="B23" s="23" t="s">
        <v>20</v>
      </c>
      <c r="C23" s="25" t="s">
        <v>1786</v>
      </c>
    </row>
    <row r="24" spans="1:3" ht="18" customHeight="1" x14ac:dyDescent="0.35">
      <c r="A24" s="23"/>
      <c r="B24" s="23" t="s">
        <v>20</v>
      </c>
      <c r="C24" s="25" t="s">
        <v>1787</v>
      </c>
    </row>
    <row r="25" spans="1:3" ht="18" customHeight="1" x14ac:dyDescent="0.35">
      <c r="A25" s="23"/>
      <c r="B25" s="23" t="s">
        <v>20</v>
      </c>
      <c r="C25" s="25" t="s">
        <v>1788</v>
      </c>
    </row>
    <row r="26" spans="1:3" ht="18" customHeight="1" x14ac:dyDescent="0.35">
      <c r="A26" s="23"/>
      <c r="B26" s="23" t="s">
        <v>20</v>
      </c>
      <c r="C26" s="25" t="s">
        <v>1789</v>
      </c>
    </row>
    <row r="27" spans="1:3" ht="18" customHeight="1" x14ac:dyDescent="0.35">
      <c r="A27" s="23"/>
      <c r="B27" s="23" t="s">
        <v>20</v>
      </c>
      <c r="C27" s="25" t="s">
        <v>1790</v>
      </c>
    </row>
    <row r="28" spans="1:3" ht="18" customHeight="1" x14ac:dyDescent="0.35">
      <c r="A28" s="23"/>
      <c r="B28" s="23" t="s">
        <v>20</v>
      </c>
      <c r="C28" s="25" t="s">
        <v>1791</v>
      </c>
    </row>
    <row r="29" spans="1:3" ht="18" customHeight="1" x14ac:dyDescent="0.35">
      <c r="A29" s="23"/>
      <c r="B29" s="23" t="s">
        <v>20</v>
      </c>
      <c r="C29" s="25" t="s">
        <v>1792</v>
      </c>
    </row>
    <row r="30" spans="1:3" ht="44" customHeight="1" x14ac:dyDescent="0.35">
      <c r="A30" s="23"/>
      <c r="B30" s="23" t="s">
        <v>20</v>
      </c>
      <c r="C30" s="26" t="s">
        <v>1793</v>
      </c>
    </row>
    <row r="31" spans="1:3" ht="10" customHeight="1" x14ac:dyDescent="0.35"/>
    <row r="32" spans="1:3" ht="3" customHeight="1" x14ac:dyDescent="0.35">
      <c r="B32" s="21"/>
      <c r="C32" s="21"/>
    </row>
    <row r="33" spans="2:3" ht="12" customHeight="1" x14ac:dyDescent="0.35"/>
    <row r="34" spans="2:3" ht="24" customHeight="1" x14ac:dyDescent="0.35">
      <c r="B34" s="27" t="s">
        <v>1794</v>
      </c>
      <c r="C34" s="28" t="s">
        <v>1795</v>
      </c>
    </row>
    <row r="35" spans="2:3" ht="18.5" x14ac:dyDescent="0.35">
      <c r="B35" s="27" t="s">
        <v>1796</v>
      </c>
      <c r="C35" s="29" t="s">
        <v>1797</v>
      </c>
    </row>
    <row r="36" spans="2:3" ht="27" customHeight="1" x14ac:dyDescent="0.35">
      <c r="B36" s="30" t="s">
        <v>1798</v>
      </c>
      <c r="C36" s="22" t="s">
        <v>1799</v>
      </c>
    </row>
    <row r="37" spans="2:3" x14ac:dyDescent="0.35">
      <c r="B37" s="27" t="s">
        <v>1800</v>
      </c>
      <c r="C37" s="31" t="s">
        <v>1801</v>
      </c>
    </row>
    <row r="38" spans="2:3" x14ac:dyDescent="0.35">
      <c r="B38" s="27" t="s">
        <v>1802</v>
      </c>
      <c r="C38" s="31" t="s">
        <v>1803</v>
      </c>
    </row>
    <row r="39" spans="2:3" ht="10" customHeight="1" x14ac:dyDescent="0.35"/>
    <row r="40" spans="2:3" ht="58" x14ac:dyDescent="0.35">
      <c r="B40" s="27" t="s">
        <v>1804</v>
      </c>
      <c r="C40" s="32" t="s">
        <v>1805</v>
      </c>
    </row>
    <row r="42" spans="2:3" ht="10" customHeight="1" x14ac:dyDescent="0.35"/>
    <row r="43" spans="2:3" ht="3" customHeight="1" x14ac:dyDescent="0.35">
      <c r="B43" s="21"/>
      <c r="C43" s="21"/>
    </row>
    <row r="44" spans="2:3" ht="12" customHeight="1" x14ac:dyDescent="0.35"/>
    <row r="45" spans="2:3" ht="130.5" x14ac:dyDescent="0.35">
      <c r="B45" s="18" t="s">
        <v>1806</v>
      </c>
      <c r="C45" s="19" t="s">
        <v>1807</v>
      </c>
    </row>
    <row r="46" spans="2:3" ht="6" customHeight="1" x14ac:dyDescent="0.35"/>
    <row r="47" spans="2:3" ht="217.5" x14ac:dyDescent="0.35">
      <c r="C47" s="19" t="s">
        <v>1808</v>
      </c>
    </row>
    <row r="48" spans="2:3" ht="6" customHeight="1" x14ac:dyDescent="0.35"/>
    <row r="49" spans="2:3" ht="43.5" x14ac:dyDescent="0.35">
      <c r="C49" s="19" t="s">
        <v>1809</v>
      </c>
    </row>
    <row r="50" spans="2:3" ht="10" customHeight="1" x14ac:dyDescent="0.35"/>
    <row r="51" spans="2:3" ht="3" customHeight="1" x14ac:dyDescent="0.35">
      <c r="B51" s="21"/>
      <c r="C51" s="21"/>
    </row>
    <row r="52" spans="2:3" ht="12" customHeight="1" x14ac:dyDescent="0.35"/>
    <row r="53" spans="2:3" ht="145" x14ac:dyDescent="0.35">
      <c r="B53" s="18" t="s">
        <v>1810</v>
      </c>
      <c r="C53" s="19" t="s">
        <v>1811</v>
      </c>
    </row>
    <row r="54" spans="2:3" ht="6" customHeight="1" x14ac:dyDescent="0.35"/>
    <row r="55" spans="2:3" ht="203" x14ac:dyDescent="0.35">
      <c r="C55" s="19" t="s">
        <v>1812</v>
      </c>
    </row>
    <row r="56" spans="2:3" ht="6" customHeight="1" x14ac:dyDescent="0.35"/>
    <row r="57" spans="2:3" ht="43.5" x14ac:dyDescent="0.35">
      <c r="C57" s="19" t="s">
        <v>1813</v>
      </c>
    </row>
    <row r="58" spans="2:3" ht="10" customHeight="1" x14ac:dyDescent="0.35"/>
    <row r="59" spans="2:3" ht="3" customHeight="1" x14ac:dyDescent="0.35">
      <c r="B59" s="21"/>
      <c r="C59" s="21"/>
    </row>
    <row r="60" spans="2:3" ht="12" customHeight="1" x14ac:dyDescent="0.35"/>
    <row r="61" spans="2:3" ht="101.5" x14ac:dyDescent="0.35">
      <c r="B61" s="18" t="s">
        <v>1814</v>
      </c>
      <c r="C61" s="19" t="s">
        <v>1815</v>
      </c>
    </row>
    <row r="62" spans="2:3" ht="6" customHeight="1" x14ac:dyDescent="0.35"/>
    <row r="63" spans="2:3" ht="145" x14ac:dyDescent="0.35">
      <c r="C63" s="19" t="s">
        <v>1816</v>
      </c>
    </row>
    <row r="64" spans="2:3" ht="6" customHeight="1" x14ac:dyDescent="0.35"/>
    <row r="65" spans="2:3" ht="43.5" x14ac:dyDescent="0.35">
      <c r="C65" s="19" t="s">
        <v>1817</v>
      </c>
    </row>
    <row r="66" spans="2:3" ht="10" customHeight="1" x14ac:dyDescent="0.35"/>
    <row r="67" spans="2:3" ht="3" customHeight="1" x14ac:dyDescent="0.35">
      <c r="B67" s="21"/>
      <c r="C67" s="21"/>
    </row>
    <row r="68" spans="2:3" ht="12" customHeight="1" x14ac:dyDescent="0.35"/>
    <row r="69" spans="2:3" ht="26" customHeight="1" x14ac:dyDescent="0.35">
      <c r="B69" s="33" t="s">
        <v>1818</v>
      </c>
    </row>
    <row r="70" spans="2:3" ht="8" customHeight="1" x14ac:dyDescent="0.35"/>
    <row r="71" spans="2:3" ht="20" customHeight="1" x14ac:dyDescent="0.35">
      <c r="B71" s="27" t="s">
        <v>1819</v>
      </c>
      <c r="C71" s="34" t="s">
        <v>1820</v>
      </c>
    </row>
    <row r="72" spans="2:3" ht="116" x14ac:dyDescent="0.35">
      <c r="C72" s="19" t="s">
        <v>1821</v>
      </c>
    </row>
    <row r="73" spans="2:3" ht="10" customHeight="1" x14ac:dyDescent="0.35"/>
    <row r="74" spans="2:3" ht="20" customHeight="1" x14ac:dyDescent="0.35">
      <c r="B74" s="27" t="s">
        <v>1822</v>
      </c>
      <c r="C74" s="34" t="s">
        <v>1823</v>
      </c>
    </row>
    <row r="75" spans="2:3" ht="116" x14ac:dyDescent="0.35">
      <c r="C75" s="19" t="s">
        <v>1824</v>
      </c>
    </row>
    <row r="76" spans="2:3" ht="10" customHeight="1" x14ac:dyDescent="0.35"/>
    <row r="77" spans="2:3" ht="20" customHeight="1" x14ac:dyDescent="0.35">
      <c r="B77" s="27" t="s">
        <v>1825</v>
      </c>
      <c r="C77" s="34" t="s">
        <v>1826</v>
      </c>
    </row>
    <row r="78" spans="2:3" ht="130.5" x14ac:dyDescent="0.35">
      <c r="C78" s="19" t="s">
        <v>1827</v>
      </c>
    </row>
    <row r="79" spans="2:3" ht="10" customHeight="1" x14ac:dyDescent="0.35"/>
    <row r="80" spans="2:3" ht="20" customHeight="1" x14ac:dyDescent="0.35">
      <c r="B80" s="27" t="s">
        <v>1828</v>
      </c>
      <c r="C80" s="34" t="s">
        <v>1829</v>
      </c>
    </row>
    <row r="81" spans="2:3" ht="130.5" x14ac:dyDescent="0.35">
      <c r="C81" s="19" t="s">
        <v>1830</v>
      </c>
    </row>
    <row r="82" spans="2:3" ht="10" customHeight="1" x14ac:dyDescent="0.35"/>
    <row r="83" spans="2:3" ht="20" customHeight="1" x14ac:dyDescent="0.35">
      <c r="B83" s="27" t="s">
        <v>1831</v>
      </c>
      <c r="C83" s="34" t="s">
        <v>1832</v>
      </c>
    </row>
    <row r="84" spans="2:3" ht="116" x14ac:dyDescent="0.35">
      <c r="C84" s="19" t="s">
        <v>1833</v>
      </c>
    </row>
    <row r="85" spans="2:3" ht="10" customHeight="1" x14ac:dyDescent="0.35"/>
    <row r="86" spans="2:3" ht="20" customHeight="1" x14ac:dyDescent="0.35">
      <c r="B86" s="27" t="s">
        <v>1834</v>
      </c>
      <c r="C86" s="34" t="s">
        <v>1835</v>
      </c>
    </row>
    <row r="87" spans="2:3" ht="116" x14ac:dyDescent="0.35">
      <c r="C87" s="19" t="s">
        <v>1836</v>
      </c>
    </row>
    <row r="88" spans="2:3" ht="10" customHeight="1" x14ac:dyDescent="0.35"/>
    <row r="89" spans="2:3" ht="20" customHeight="1" x14ac:dyDescent="0.35">
      <c r="B89" s="27" t="s">
        <v>1837</v>
      </c>
      <c r="C89" s="34" t="s">
        <v>1838</v>
      </c>
    </row>
    <row r="90" spans="2:3" ht="203" x14ac:dyDescent="0.35">
      <c r="C90" s="19" t="s">
        <v>1839</v>
      </c>
    </row>
    <row r="91" spans="2:3" ht="10" customHeight="1" x14ac:dyDescent="0.35"/>
    <row r="94" spans="2:3" ht="32" customHeight="1" x14ac:dyDescent="0.35">
      <c r="B94" s="262" t="s">
        <v>1766</v>
      </c>
      <c r="C94" s="262"/>
    </row>
  </sheetData>
  <sheetProtection password="90EA" sheet="1"/>
  <mergeCells count="1">
    <mergeCell ref="B94:C94"/>
  </mergeCells>
  <hyperlinks>
    <hyperlink ref="C5" r:id="rId1" xr:uid="{00000000-0004-0000-0000-000000000000}"/>
    <hyperlink ref="C6" r:id="rId2" xr:uid="{00000000-0004-0000-0000-000001000000}"/>
    <hyperlink ref="C37" r:id="rId3" xr:uid="{00000000-0004-0000-0000-000002000000}"/>
    <hyperlink ref="C38" r:id="rId4" xr:uid="{00000000-0004-0000-0000-000003000000}"/>
    <hyperlink ref="B9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6" t="s">
        <v>4521</v>
      </c>
      <c r="B1" s="227" t="s">
        <v>1</v>
      </c>
      <c r="C1" s="227" t="s">
        <v>1998</v>
      </c>
      <c r="D1" s="227" t="s">
        <v>1999</v>
      </c>
      <c r="E1" s="227" t="s">
        <v>2004</v>
      </c>
      <c r="F1" s="227" t="s">
        <v>2005</v>
      </c>
      <c r="G1" s="227" t="s">
        <v>2006</v>
      </c>
      <c r="H1" s="227" t="s">
        <v>2007</v>
      </c>
      <c r="I1" s="227" t="s">
        <v>2008</v>
      </c>
      <c r="J1" s="227" t="s">
        <v>2009</v>
      </c>
      <c r="K1" s="227" t="s">
        <v>2010</v>
      </c>
      <c r="L1" s="227" t="s">
        <v>2011</v>
      </c>
      <c r="M1" s="227" t="s">
        <v>2012</v>
      </c>
      <c r="N1" s="227" t="s">
        <v>2013</v>
      </c>
      <c r="O1" s="227" t="s">
        <v>2014</v>
      </c>
      <c r="P1" s="227" t="s">
        <v>2015</v>
      </c>
      <c r="Q1" s="227" t="s">
        <v>2016</v>
      </c>
      <c r="R1" s="227" t="s">
        <v>2017</v>
      </c>
      <c r="S1" s="227" t="s">
        <v>2018</v>
      </c>
      <c r="T1" s="227" t="s">
        <v>2019</v>
      </c>
      <c r="U1" s="227" t="s">
        <v>2020</v>
      </c>
      <c r="V1" s="227" t="s">
        <v>2021</v>
      </c>
      <c r="W1" s="227" t="s">
        <v>2022</v>
      </c>
      <c r="X1" s="227" t="s">
        <v>2023</v>
      </c>
      <c r="Y1" s="227" t="s">
        <v>2024</v>
      </c>
      <c r="Z1" s="227" t="s">
        <v>2025</v>
      </c>
      <c r="AA1" s="227" t="s">
        <v>2026</v>
      </c>
      <c r="AB1" s="227" t="s">
        <v>2027</v>
      </c>
      <c r="AC1" s="227" t="s">
        <v>2028</v>
      </c>
      <c r="AD1" s="227" t="s">
        <v>2029</v>
      </c>
      <c r="AE1" s="227" t="s">
        <v>2030</v>
      </c>
      <c r="AF1" s="227" t="s">
        <v>2031</v>
      </c>
      <c r="AG1" s="227" t="s">
        <v>2032</v>
      </c>
      <c r="AH1" s="227" t="s">
        <v>2033</v>
      </c>
      <c r="AI1" s="227" t="s">
        <v>2034</v>
      </c>
      <c r="AJ1" s="227" t="s">
        <v>2035</v>
      </c>
      <c r="AK1" s="227" t="s">
        <v>2036</v>
      </c>
      <c r="AL1" s="227" t="s">
        <v>2037</v>
      </c>
      <c r="AM1" s="227" t="s">
        <v>2038</v>
      </c>
      <c r="AN1" s="227" t="s">
        <v>2039</v>
      </c>
      <c r="AO1" s="227" t="s">
        <v>2040</v>
      </c>
      <c r="AP1" s="227" t="s">
        <v>2041</v>
      </c>
      <c r="AQ1" s="227" t="s">
        <v>2042</v>
      </c>
      <c r="AR1" s="227" t="s">
        <v>2043</v>
      </c>
      <c r="AS1" s="228" t="s">
        <v>2044</v>
      </c>
    </row>
    <row r="2" spans="1:45" ht="60" customHeight="1" outlineLevel="1" x14ac:dyDescent="0.35">
      <c r="A2" s="220" t="s">
        <v>4522</v>
      </c>
      <c r="B2" s="207" t="s">
        <v>4523</v>
      </c>
      <c r="C2" s="206"/>
      <c r="D2" s="210"/>
      <c r="E2" s="212" t="str">
        <f>IF(COUNTIF(F2:AS2,"&lt;&gt;")=0,"",SUMPRODUCT(((Recommendations[ImplStatus]="Implemented")+(Recommendations[ImplStatus]="Compensated"))*ISNUMBER(MATCH(Recommendations[Id],F2:AS2,0)))/COUNTIF(F2:AS2,"&lt;&gt;"))</f>
        <v/>
      </c>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23"/>
    </row>
    <row r="3" spans="1:45" ht="60" customHeight="1" x14ac:dyDescent="0.35">
      <c r="A3" s="221" t="s">
        <v>4522</v>
      </c>
      <c r="B3" s="208" t="s">
        <v>4524</v>
      </c>
      <c r="C3" s="209" t="s">
        <v>4525</v>
      </c>
      <c r="D3" s="211" t="s">
        <v>4526</v>
      </c>
      <c r="E3" s="213" t="str">
        <f>IF(COUNTIF(F3:AS3,"&lt;&gt;")=0,"",SUMPRODUCT(((Recommendations[ImplStatus]="Implemented")+(Recommendations[ImplStatus]="Compensated"))*ISNUMBER(MATCH(Recommendations[Id],F3:AS3,0)))/COUNTIF(F3:AS3,"&lt;&gt;"))</f>
        <v/>
      </c>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24"/>
    </row>
    <row r="4" spans="1:45" ht="60" customHeight="1" x14ac:dyDescent="0.35">
      <c r="A4" s="221" t="s">
        <v>4522</v>
      </c>
      <c r="B4" s="208" t="s">
        <v>4527</v>
      </c>
      <c r="C4" s="209" t="s">
        <v>4528</v>
      </c>
      <c r="D4" s="211" t="s">
        <v>4529</v>
      </c>
      <c r="E4" s="213" t="str">
        <f>IF(COUNTIF(F4:AS4,"&lt;&gt;")=0,"",SUMPRODUCT(((Recommendations[ImplStatus]="Implemented")+(Recommendations[ImplStatus]="Compensated"))*ISNUMBER(MATCH(Recommendations[Id],F4:AS4,0)))/COUNTIF(F4:AS4,"&lt;&gt;"))</f>
        <v/>
      </c>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24"/>
    </row>
    <row r="5" spans="1:45" ht="60" customHeight="1" x14ac:dyDescent="0.35">
      <c r="A5" s="221" t="s">
        <v>4522</v>
      </c>
      <c r="B5" s="208" t="s">
        <v>4530</v>
      </c>
      <c r="C5" s="209" t="s">
        <v>4531</v>
      </c>
      <c r="D5" s="211" t="s">
        <v>4532</v>
      </c>
      <c r="E5" s="213" t="str">
        <f>IF(COUNTIF(F5:AS5,"&lt;&gt;")=0,"",SUMPRODUCT(((Recommendations[ImplStatus]="Implemented")+(Recommendations[ImplStatus]="Compensated"))*ISNUMBER(MATCH(Recommendations[Id],F5:AS5,0)))/COUNTIF(F5:AS5,"&lt;&gt;"))</f>
        <v/>
      </c>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24"/>
    </row>
    <row r="6" spans="1:45" ht="60" customHeight="1" x14ac:dyDescent="0.35">
      <c r="A6" s="221" t="s">
        <v>4522</v>
      </c>
      <c r="B6" s="208" t="s">
        <v>4533</v>
      </c>
      <c r="C6" s="209" t="s">
        <v>4534</v>
      </c>
      <c r="D6" s="211" t="s">
        <v>4535</v>
      </c>
      <c r="E6" s="213" t="str">
        <f>IF(COUNTIF(F6:AS6,"&lt;&gt;")=0,"",SUMPRODUCT(((Recommendations[ImplStatus]="Implemented")+(Recommendations[ImplStatus]="Compensated"))*ISNUMBER(MATCH(Recommendations[Id],F6:AS6,0)))/COUNTIF(F6:AS6,"&lt;&gt;"))</f>
        <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24"/>
    </row>
    <row r="7" spans="1:45" ht="60" customHeight="1" x14ac:dyDescent="0.35">
      <c r="A7" s="221" t="s">
        <v>4522</v>
      </c>
      <c r="B7" s="208" t="s">
        <v>4536</v>
      </c>
      <c r="C7" s="209" t="s">
        <v>4537</v>
      </c>
      <c r="D7" s="211" t="s">
        <v>4538</v>
      </c>
      <c r="E7" s="213" t="str">
        <f>IF(COUNTIF(F7:AS7,"&lt;&gt;")=0,"",SUMPRODUCT(((Recommendations[ImplStatus]="Implemented")+(Recommendations[ImplStatus]="Compensated"))*ISNUMBER(MATCH(Recommendations[Id],F7:AS7,0)))/COUNTIF(F7:AS7,"&lt;&gt;"))</f>
        <v/>
      </c>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24"/>
    </row>
    <row r="8" spans="1:45" ht="60" customHeight="1" x14ac:dyDescent="0.35">
      <c r="A8" s="221" t="s">
        <v>4522</v>
      </c>
      <c r="B8" s="208" t="s">
        <v>4539</v>
      </c>
      <c r="C8" s="209" t="s">
        <v>4540</v>
      </c>
      <c r="D8" s="211" t="s">
        <v>4541</v>
      </c>
      <c r="E8" s="213" t="str">
        <f>IF(COUNTIF(F8:AS8,"&lt;&gt;")=0,"",SUMPRODUCT(((Recommendations[ImplStatus]="Implemented")+(Recommendations[ImplStatus]="Compensated"))*ISNUMBER(MATCH(Recommendations[Id],F8:AS8,0)))/COUNTIF(F8:AS8,"&lt;&gt;"))</f>
        <v/>
      </c>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24"/>
    </row>
    <row r="9" spans="1:45" ht="60" customHeight="1" x14ac:dyDescent="0.35">
      <c r="A9" s="221" t="s">
        <v>4522</v>
      </c>
      <c r="B9" s="208" t="s">
        <v>4542</v>
      </c>
      <c r="C9" s="209" t="s">
        <v>4543</v>
      </c>
      <c r="D9" s="211" t="s">
        <v>4544</v>
      </c>
      <c r="E9" s="213" t="str">
        <f>IF(COUNTIF(F9:AS9,"&lt;&gt;")=0,"",SUMPRODUCT(((Recommendations[ImplStatus]="Implemented")+(Recommendations[ImplStatus]="Compensated"))*ISNUMBER(MATCH(Recommendations[Id],F9:AS9,0)))/COUNTIF(F9:AS9,"&lt;&gt;"))</f>
        <v/>
      </c>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24"/>
    </row>
    <row r="10" spans="1:45" ht="60" customHeight="1" x14ac:dyDescent="0.35">
      <c r="A10" s="221" t="s">
        <v>4522</v>
      </c>
      <c r="B10" s="208" t="s">
        <v>4545</v>
      </c>
      <c r="C10" s="209" t="s">
        <v>4546</v>
      </c>
      <c r="D10" s="211" t="s">
        <v>4547</v>
      </c>
      <c r="E10" s="213" t="str">
        <f>IF(COUNTIF(F10:AS10,"&lt;&gt;")=0,"",SUMPRODUCT(((Recommendations[ImplStatus]="Implemented")+(Recommendations[ImplStatus]="Compensated"))*ISNUMBER(MATCH(Recommendations[Id],F10:AS10,0)))/COUNTIF(F10:AS10,"&lt;&gt;"))</f>
        <v/>
      </c>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24"/>
    </row>
    <row r="11" spans="1:45" ht="60" customHeight="1" x14ac:dyDescent="0.35">
      <c r="A11" s="221" t="s">
        <v>4522</v>
      </c>
      <c r="B11" s="208" t="s">
        <v>4548</v>
      </c>
      <c r="C11" s="209" t="s">
        <v>4549</v>
      </c>
      <c r="D11" s="211" t="s">
        <v>4550</v>
      </c>
      <c r="E11" s="213" t="str">
        <f>IF(COUNTIF(F11:AS11,"&lt;&gt;")=0,"",SUMPRODUCT(((Recommendations[ImplStatus]="Implemented")+(Recommendations[ImplStatus]="Compensated"))*ISNUMBER(MATCH(Recommendations[Id],F11:AS11,0)))/COUNTIF(F11:AS11,"&lt;&gt;"))</f>
        <v/>
      </c>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24"/>
    </row>
    <row r="12" spans="1:45" ht="60" customHeight="1" x14ac:dyDescent="0.35">
      <c r="A12" s="221" t="s">
        <v>4522</v>
      </c>
      <c r="B12" s="208" t="s">
        <v>4551</v>
      </c>
      <c r="C12" s="209" t="s">
        <v>4552</v>
      </c>
      <c r="D12" s="211" t="s">
        <v>4553</v>
      </c>
      <c r="E12" s="213" t="str">
        <f>IF(COUNTIF(F12:AS12,"&lt;&gt;")=0,"",SUMPRODUCT(((Recommendations[ImplStatus]="Implemented")+(Recommendations[ImplStatus]="Compensated"))*ISNUMBER(MATCH(Recommendations[Id],F12:AS12,0)))/COUNTIF(F12:AS12,"&lt;&gt;"))</f>
        <v/>
      </c>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24"/>
    </row>
    <row r="13" spans="1:45" ht="60" customHeight="1" x14ac:dyDescent="0.35">
      <c r="A13" s="221" t="s">
        <v>4522</v>
      </c>
      <c r="B13" s="208" t="s">
        <v>4554</v>
      </c>
      <c r="C13" s="209" t="s">
        <v>4555</v>
      </c>
      <c r="D13" s="211" t="s">
        <v>4556</v>
      </c>
      <c r="E13" s="213" t="str">
        <f>IF(COUNTIF(F13:AS13,"&lt;&gt;")=0,"",SUMPRODUCT(((Recommendations[ImplStatus]="Implemented")+(Recommendations[ImplStatus]="Compensated"))*ISNUMBER(MATCH(Recommendations[Id],F13:AS13,0)))/COUNTIF(F13:AS13,"&lt;&gt;"))</f>
        <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24"/>
    </row>
    <row r="14" spans="1:45" ht="60" customHeight="1" x14ac:dyDescent="0.35">
      <c r="A14" s="221" t="s">
        <v>4522</v>
      </c>
      <c r="B14" s="208" t="s">
        <v>4557</v>
      </c>
      <c r="C14" s="209" t="s">
        <v>4558</v>
      </c>
      <c r="D14" s="211" t="s">
        <v>4559</v>
      </c>
      <c r="E14" s="213" t="str">
        <f>IF(COUNTIF(F14:AS14,"&lt;&gt;")=0,"",SUMPRODUCT(((Recommendations[ImplStatus]="Implemented")+(Recommendations[ImplStatus]="Compensated"))*ISNUMBER(MATCH(Recommendations[Id],F14:AS14,0)))/COUNTIF(F14:AS14,"&lt;&gt;"))</f>
        <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24"/>
    </row>
    <row r="15" spans="1:45" ht="60" customHeight="1" x14ac:dyDescent="0.35">
      <c r="A15" s="221" t="s">
        <v>4522</v>
      </c>
      <c r="B15" s="208" t="s">
        <v>4560</v>
      </c>
      <c r="C15" s="209" t="s">
        <v>4561</v>
      </c>
      <c r="D15" s="211" t="s">
        <v>4562</v>
      </c>
      <c r="E15" s="213" t="str">
        <f>IF(COUNTIF(F15:AS15,"&lt;&gt;")=0,"",SUMPRODUCT(((Recommendations[ImplStatus]="Implemented")+(Recommendations[ImplStatus]="Compensated"))*ISNUMBER(MATCH(Recommendations[Id],F15:AS15,0)))/COUNTIF(F15:AS15,"&lt;&gt;"))</f>
        <v/>
      </c>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24"/>
    </row>
    <row r="16" spans="1:45" ht="60" customHeight="1" x14ac:dyDescent="0.35">
      <c r="A16" s="221" t="s">
        <v>4522</v>
      </c>
      <c r="B16" s="208" t="s">
        <v>4563</v>
      </c>
      <c r="C16" s="209" t="s">
        <v>4564</v>
      </c>
      <c r="D16" s="211" t="s">
        <v>4565</v>
      </c>
      <c r="E16" s="213" t="str">
        <f>IF(COUNTIF(F16:AS16,"&lt;&gt;")=0,"",SUMPRODUCT(((Recommendations[ImplStatus]="Implemented")+(Recommendations[ImplStatus]="Compensated"))*ISNUMBER(MATCH(Recommendations[Id],F16:AS16,0)))/COUNTIF(F16:AS16,"&lt;&gt;"))</f>
        <v/>
      </c>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24"/>
    </row>
    <row r="17" spans="1:45" ht="60" customHeight="1" x14ac:dyDescent="0.35">
      <c r="A17" s="221" t="s">
        <v>4522</v>
      </c>
      <c r="B17" s="208" t="s">
        <v>4566</v>
      </c>
      <c r="C17" s="209" t="s">
        <v>4567</v>
      </c>
      <c r="D17" s="211" t="s">
        <v>4568</v>
      </c>
      <c r="E17" s="213" t="str">
        <f>IF(COUNTIF(F17:AS17,"&lt;&gt;")=0,"",SUMPRODUCT(((Recommendations[ImplStatus]="Implemented")+(Recommendations[ImplStatus]="Compensated"))*ISNUMBER(MATCH(Recommendations[Id],F17:AS17,0)))/COUNTIF(F17:AS17,"&lt;&gt;"))</f>
        <v/>
      </c>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24"/>
    </row>
    <row r="18" spans="1:45" ht="60" customHeight="1" x14ac:dyDescent="0.35">
      <c r="A18" s="221" t="s">
        <v>4522</v>
      </c>
      <c r="B18" s="208" t="s">
        <v>4569</v>
      </c>
      <c r="C18" s="209" t="s">
        <v>4570</v>
      </c>
      <c r="D18" s="211" t="s">
        <v>4571</v>
      </c>
      <c r="E18" s="213" t="str">
        <f>IF(COUNTIF(F18:AS18,"&lt;&gt;")=0,"",SUMPRODUCT(((Recommendations[ImplStatus]="Implemented")+(Recommendations[ImplStatus]="Compensated"))*ISNUMBER(MATCH(Recommendations[Id],F18:AS18,0)))/COUNTIF(F18:AS18,"&lt;&gt;"))</f>
        <v/>
      </c>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24"/>
    </row>
    <row r="19" spans="1:45" ht="60" customHeight="1" x14ac:dyDescent="0.35">
      <c r="A19" s="221" t="s">
        <v>4522</v>
      </c>
      <c r="B19" s="208" t="s">
        <v>4572</v>
      </c>
      <c r="C19" s="209" t="s">
        <v>4573</v>
      </c>
      <c r="D19" s="211" t="s">
        <v>4574</v>
      </c>
      <c r="E19" s="213" t="str">
        <f>IF(COUNTIF(F19:AS19,"&lt;&gt;")=0,"",SUMPRODUCT(((Recommendations[ImplStatus]="Implemented")+(Recommendations[ImplStatus]="Compensated"))*ISNUMBER(MATCH(Recommendations[Id],F19:AS19,0)))/COUNTIF(F19:AS19,"&lt;&gt;"))</f>
        <v/>
      </c>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24"/>
    </row>
    <row r="20" spans="1:45" ht="60" customHeight="1" x14ac:dyDescent="0.35">
      <c r="A20" s="221" t="s">
        <v>4522</v>
      </c>
      <c r="B20" s="208" t="s">
        <v>4575</v>
      </c>
      <c r="C20" s="209" t="s">
        <v>4576</v>
      </c>
      <c r="D20" s="211" t="s">
        <v>4577</v>
      </c>
      <c r="E20" s="213" t="str">
        <f>IF(COUNTIF(F20:AS20,"&lt;&gt;")=0,"",SUMPRODUCT(((Recommendations[ImplStatus]="Implemented")+(Recommendations[ImplStatus]="Compensated"))*ISNUMBER(MATCH(Recommendations[Id],F20:AS20,0)))/COUNTIF(F20:AS20,"&lt;&gt;"))</f>
        <v/>
      </c>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24"/>
    </row>
    <row r="21" spans="1:45" ht="60" customHeight="1" x14ac:dyDescent="0.35">
      <c r="A21" s="221" t="s">
        <v>4522</v>
      </c>
      <c r="B21" s="208" t="s">
        <v>4578</v>
      </c>
      <c r="C21" s="209" t="s">
        <v>4579</v>
      </c>
      <c r="D21" s="211" t="s">
        <v>4580</v>
      </c>
      <c r="E21" s="213" t="str">
        <f>IF(COUNTIF(F21:AS21,"&lt;&gt;")=0,"",SUMPRODUCT(((Recommendations[ImplStatus]="Implemented")+(Recommendations[ImplStatus]="Compensated"))*ISNUMBER(MATCH(Recommendations[Id],F21:AS21,0)))/COUNTIF(F21:AS21,"&lt;&gt;"))</f>
        <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24"/>
    </row>
    <row r="22" spans="1:45" ht="60" customHeight="1" x14ac:dyDescent="0.35">
      <c r="A22" s="221" t="s">
        <v>4522</v>
      </c>
      <c r="B22" s="208" t="s">
        <v>4581</v>
      </c>
      <c r="C22" s="209" t="s">
        <v>4582</v>
      </c>
      <c r="D22" s="211" t="s">
        <v>4583</v>
      </c>
      <c r="E22" s="213" t="str">
        <f>IF(COUNTIF(F22:AS22,"&lt;&gt;")=0,"",SUMPRODUCT(((Recommendations[ImplStatus]="Implemented")+(Recommendations[ImplStatus]="Compensated"))*ISNUMBER(MATCH(Recommendations[Id],F22:AS22,0)))/COUNTIF(F22:AS22,"&lt;&gt;"))</f>
        <v/>
      </c>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24"/>
    </row>
    <row r="23" spans="1:45" ht="60" customHeight="1" x14ac:dyDescent="0.35">
      <c r="A23" s="221" t="s">
        <v>4522</v>
      </c>
      <c r="B23" s="208" t="s">
        <v>4584</v>
      </c>
      <c r="C23" s="209" t="s">
        <v>4585</v>
      </c>
      <c r="D23" s="211" t="s">
        <v>4586</v>
      </c>
      <c r="E23" s="213" t="str">
        <f>IF(COUNTIF(F23:AS23,"&lt;&gt;")=0,"",SUMPRODUCT(((Recommendations[ImplStatus]="Implemented")+(Recommendations[ImplStatus]="Compensated"))*ISNUMBER(MATCH(Recommendations[Id],F23:AS23,0)))/COUNTIF(F23:AS23,"&lt;&gt;"))</f>
        <v/>
      </c>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24"/>
    </row>
    <row r="24" spans="1:45" ht="60" customHeight="1" x14ac:dyDescent="0.35">
      <c r="A24" s="221" t="s">
        <v>4522</v>
      </c>
      <c r="B24" s="208" t="s">
        <v>4587</v>
      </c>
      <c r="C24" s="209" t="s">
        <v>4588</v>
      </c>
      <c r="D24" s="211" t="s">
        <v>4589</v>
      </c>
      <c r="E24" s="213" t="str">
        <f>IF(COUNTIF(F24:AS24,"&lt;&gt;")=0,"",SUMPRODUCT(((Recommendations[ImplStatus]="Implemented")+(Recommendations[ImplStatus]="Compensated"))*ISNUMBER(MATCH(Recommendations[Id],F24:AS24,0)))/COUNTIF(F24:AS24,"&lt;&gt;"))</f>
        <v/>
      </c>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24"/>
    </row>
    <row r="25" spans="1:45" ht="60" customHeight="1" x14ac:dyDescent="0.35">
      <c r="A25" s="221" t="s">
        <v>4522</v>
      </c>
      <c r="B25" s="208" t="s">
        <v>4590</v>
      </c>
      <c r="C25" s="209" t="s">
        <v>4591</v>
      </c>
      <c r="D25" s="211" t="s">
        <v>4592</v>
      </c>
      <c r="E25" s="213" t="str">
        <f>IF(COUNTIF(F25:AS25,"&lt;&gt;")=0,"",SUMPRODUCT(((Recommendations[ImplStatus]="Implemented")+(Recommendations[ImplStatus]="Compensated"))*ISNUMBER(MATCH(Recommendations[Id],F25:AS25,0)))/COUNTIF(F25:AS25,"&lt;&gt;"))</f>
        <v/>
      </c>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24"/>
    </row>
    <row r="26" spans="1:45" ht="60" customHeight="1" x14ac:dyDescent="0.35">
      <c r="A26" s="221" t="s">
        <v>4522</v>
      </c>
      <c r="B26" s="208" t="s">
        <v>4593</v>
      </c>
      <c r="C26" s="209" t="s">
        <v>4594</v>
      </c>
      <c r="D26" s="211" t="s">
        <v>4595</v>
      </c>
      <c r="E26" s="213" t="str">
        <f>IF(COUNTIF(F26:AS26,"&lt;&gt;")=0,"",SUMPRODUCT(((Recommendations[ImplStatus]="Implemented")+(Recommendations[ImplStatus]="Compensated"))*ISNUMBER(MATCH(Recommendations[Id],F26:AS26,0)))/COUNTIF(F26:AS26,"&lt;&gt;"))</f>
        <v/>
      </c>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24"/>
    </row>
    <row r="27" spans="1:45" ht="60" customHeight="1" x14ac:dyDescent="0.35">
      <c r="A27" s="221" t="s">
        <v>4522</v>
      </c>
      <c r="B27" s="208" t="s">
        <v>4596</v>
      </c>
      <c r="C27" s="209" t="s">
        <v>4597</v>
      </c>
      <c r="D27" s="211" t="s">
        <v>4598</v>
      </c>
      <c r="E27" s="213" t="str">
        <f>IF(COUNTIF(F27:AS27,"&lt;&gt;")=0,"",SUMPRODUCT(((Recommendations[ImplStatus]="Implemented")+(Recommendations[ImplStatus]="Compensated"))*ISNUMBER(MATCH(Recommendations[Id],F27:AS27,0)))/COUNTIF(F27:AS27,"&lt;&gt;"))</f>
        <v/>
      </c>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24"/>
    </row>
    <row r="28" spans="1:45" ht="60" customHeight="1" x14ac:dyDescent="0.35">
      <c r="A28" s="221" t="s">
        <v>4522</v>
      </c>
      <c r="B28" s="208" t="s">
        <v>4599</v>
      </c>
      <c r="C28" s="209" t="s">
        <v>4600</v>
      </c>
      <c r="D28" s="211" t="s">
        <v>4601</v>
      </c>
      <c r="E28" s="213" t="str">
        <f>IF(COUNTIF(F28:AS28,"&lt;&gt;")=0,"",SUMPRODUCT(((Recommendations[ImplStatus]="Implemented")+(Recommendations[ImplStatus]="Compensated"))*ISNUMBER(MATCH(Recommendations[Id],F28:AS28,0)))/COUNTIF(F28:AS28,"&lt;&gt;"))</f>
        <v/>
      </c>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24"/>
    </row>
    <row r="29" spans="1:45" ht="60" customHeight="1" x14ac:dyDescent="0.35">
      <c r="A29" s="221" t="s">
        <v>4522</v>
      </c>
      <c r="B29" s="208" t="s">
        <v>4602</v>
      </c>
      <c r="C29" s="209" t="s">
        <v>4603</v>
      </c>
      <c r="D29" s="211" t="s">
        <v>4604</v>
      </c>
      <c r="E29" s="213" t="str">
        <f>IF(COUNTIF(F29:AS29,"&lt;&gt;")=0,"",SUMPRODUCT(((Recommendations[ImplStatus]="Implemented")+(Recommendations[ImplStatus]="Compensated"))*ISNUMBER(MATCH(Recommendations[Id],F29:AS29,0)))/COUNTIF(F29:AS29,"&lt;&gt;"))</f>
        <v/>
      </c>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24"/>
    </row>
    <row r="30" spans="1:45" ht="60" customHeight="1" x14ac:dyDescent="0.35">
      <c r="A30" s="221" t="s">
        <v>4522</v>
      </c>
      <c r="B30" s="208" t="s">
        <v>4605</v>
      </c>
      <c r="C30" s="209" t="s">
        <v>4606</v>
      </c>
      <c r="D30" s="211" t="s">
        <v>4607</v>
      </c>
      <c r="E30" s="213" t="str">
        <f>IF(COUNTIF(F30:AS30,"&lt;&gt;")=0,"",SUMPRODUCT(((Recommendations[ImplStatus]="Implemented")+(Recommendations[ImplStatus]="Compensated"))*ISNUMBER(MATCH(Recommendations[Id],F30:AS30,0)))/COUNTIF(F30:AS30,"&lt;&gt;"))</f>
        <v/>
      </c>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24"/>
    </row>
    <row r="31" spans="1:45" ht="60" customHeight="1" x14ac:dyDescent="0.35">
      <c r="A31" s="221" t="s">
        <v>4522</v>
      </c>
      <c r="B31" s="208" t="s">
        <v>4608</v>
      </c>
      <c r="C31" s="209" t="s">
        <v>4609</v>
      </c>
      <c r="D31" s="211" t="s">
        <v>4610</v>
      </c>
      <c r="E31" s="213" t="str">
        <f>IF(COUNTIF(F31:AS31,"&lt;&gt;")=0,"",SUMPRODUCT(((Recommendations[ImplStatus]="Implemented")+(Recommendations[ImplStatus]="Compensated"))*ISNUMBER(MATCH(Recommendations[Id],F31:AS31,0)))/COUNTIF(F31:AS31,"&lt;&gt;"))</f>
        <v/>
      </c>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24"/>
    </row>
    <row r="32" spans="1:45" ht="60" customHeight="1" x14ac:dyDescent="0.35">
      <c r="A32" s="221" t="s">
        <v>4522</v>
      </c>
      <c r="B32" s="208" t="s">
        <v>4611</v>
      </c>
      <c r="C32" s="209" t="s">
        <v>4612</v>
      </c>
      <c r="D32" s="211" t="s">
        <v>4613</v>
      </c>
      <c r="E32" s="213" t="str">
        <f>IF(COUNTIF(F32:AS32,"&lt;&gt;")=0,"",SUMPRODUCT(((Recommendations[ImplStatus]="Implemented")+(Recommendations[ImplStatus]="Compensated"))*ISNUMBER(MATCH(Recommendations[Id],F32:AS32,0)))/COUNTIF(F32:AS32,"&lt;&gt;"))</f>
        <v/>
      </c>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24"/>
    </row>
    <row r="33" spans="1:45" ht="60" customHeight="1" x14ac:dyDescent="0.35">
      <c r="A33" s="221" t="s">
        <v>4522</v>
      </c>
      <c r="B33" s="208" t="s">
        <v>4614</v>
      </c>
      <c r="C33" s="209" t="s">
        <v>4615</v>
      </c>
      <c r="D33" s="211" t="s">
        <v>4616</v>
      </c>
      <c r="E33" s="213" t="str">
        <f>IF(COUNTIF(F33:AS33,"&lt;&gt;")=0,"",SUMPRODUCT(((Recommendations[ImplStatus]="Implemented")+(Recommendations[ImplStatus]="Compensated"))*ISNUMBER(MATCH(Recommendations[Id],F33:AS33,0)))/COUNTIF(F33:AS33,"&lt;&gt;"))</f>
        <v/>
      </c>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24"/>
    </row>
    <row r="34" spans="1:45" ht="60" customHeight="1" x14ac:dyDescent="0.35">
      <c r="A34" s="221" t="s">
        <v>4522</v>
      </c>
      <c r="B34" s="208" t="s">
        <v>4617</v>
      </c>
      <c r="C34" s="209" t="s">
        <v>4618</v>
      </c>
      <c r="D34" s="211" t="s">
        <v>4619</v>
      </c>
      <c r="E34" s="213" t="str">
        <f>IF(COUNTIF(F34:AS34,"&lt;&gt;")=0,"",SUMPRODUCT(((Recommendations[ImplStatus]="Implemented")+(Recommendations[ImplStatus]="Compensated"))*ISNUMBER(MATCH(Recommendations[Id],F34:AS34,0)))/COUNTIF(F34:AS34,"&lt;&gt;"))</f>
        <v/>
      </c>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24"/>
    </row>
    <row r="35" spans="1:45" ht="60" customHeight="1" x14ac:dyDescent="0.35">
      <c r="A35" s="221" t="s">
        <v>4522</v>
      </c>
      <c r="B35" s="208" t="s">
        <v>4620</v>
      </c>
      <c r="C35" s="209" t="s">
        <v>4621</v>
      </c>
      <c r="D35" s="211" t="s">
        <v>4622</v>
      </c>
      <c r="E35" s="213" t="str">
        <f>IF(COUNTIF(F35:AS35,"&lt;&gt;")=0,"",SUMPRODUCT(((Recommendations[ImplStatus]="Implemented")+(Recommendations[ImplStatus]="Compensated"))*ISNUMBER(MATCH(Recommendations[Id],F35:AS35,0)))/COUNTIF(F35:AS35,"&lt;&gt;"))</f>
        <v/>
      </c>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24"/>
    </row>
    <row r="36" spans="1:45" ht="60" customHeight="1" x14ac:dyDescent="0.35">
      <c r="A36" s="221" t="s">
        <v>4522</v>
      </c>
      <c r="B36" s="208" t="s">
        <v>4623</v>
      </c>
      <c r="C36" s="209" t="s">
        <v>4624</v>
      </c>
      <c r="D36" s="211" t="s">
        <v>4625</v>
      </c>
      <c r="E36" s="213" t="str">
        <f>IF(COUNTIF(F36:AS36,"&lt;&gt;")=0,"",SUMPRODUCT(((Recommendations[ImplStatus]="Implemented")+(Recommendations[ImplStatus]="Compensated"))*ISNUMBER(MATCH(Recommendations[Id],F36:AS36,0)))/COUNTIF(F36:AS36,"&lt;&gt;"))</f>
        <v/>
      </c>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24"/>
    </row>
    <row r="37" spans="1:45" ht="60" customHeight="1" x14ac:dyDescent="0.35">
      <c r="A37" s="221" t="s">
        <v>4522</v>
      </c>
      <c r="B37" s="208" t="s">
        <v>4626</v>
      </c>
      <c r="C37" s="209" t="s">
        <v>4627</v>
      </c>
      <c r="D37" s="211" t="s">
        <v>4628</v>
      </c>
      <c r="E37" s="213" t="str">
        <f>IF(COUNTIF(F37:AS37,"&lt;&gt;")=0,"",SUMPRODUCT(((Recommendations[ImplStatus]="Implemented")+(Recommendations[ImplStatus]="Compensated"))*ISNUMBER(MATCH(Recommendations[Id],F37:AS37,0)))/COUNTIF(F37:AS37,"&lt;&gt;"))</f>
        <v/>
      </c>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24"/>
    </row>
    <row r="38" spans="1:45" ht="60" customHeight="1" x14ac:dyDescent="0.35">
      <c r="A38" s="221" t="s">
        <v>4522</v>
      </c>
      <c r="B38" s="208" t="s">
        <v>4629</v>
      </c>
      <c r="C38" s="209" t="s">
        <v>4630</v>
      </c>
      <c r="D38" s="211" t="s">
        <v>4631</v>
      </c>
      <c r="E38" s="213" t="str">
        <f>IF(COUNTIF(F38:AS38,"&lt;&gt;")=0,"",SUMPRODUCT(((Recommendations[ImplStatus]="Implemented")+(Recommendations[ImplStatus]="Compensated"))*ISNUMBER(MATCH(Recommendations[Id],F38:AS38,0)))/COUNTIF(F38:AS38,"&lt;&gt;"))</f>
        <v/>
      </c>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24"/>
    </row>
    <row r="39" spans="1:45" ht="60" customHeight="1" x14ac:dyDescent="0.35">
      <c r="A39" s="221" t="s">
        <v>4522</v>
      </c>
      <c r="B39" s="208" t="s">
        <v>4632</v>
      </c>
      <c r="C39" s="209" t="s">
        <v>4633</v>
      </c>
      <c r="D39" s="211" t="s">
        <v>4634</v>
      </c>
      <c r="E39" s="213" t="str">
        <f>IF(COUNTIF(F39:AS39,"&lt;&gt;")=0,"",SUMPRODUCT(((Recommendations[ImplStatus]="Implemented")+(Recommendations[ImplStatus]="Compensated"))*ISNUMBER(MATCH(Recommendations[Id],F39:AS39,0)))/COUNTIF(F39:AS39,"&lt;&gt;"))</f>
        <v/>
      </c>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24"/>
    </row>
    <row r="40" spans="1:45" ht="60" customHeight="1" outlineLevel="1" x14ac:dyDescent="0.35">
      <c r="A40" s="220" t="s">
        <v>4635</v>
      </c>
      <c r="B40" s="207" t="s">
        <v>4636</v>
      </c>
      <c r="C40" s="206"/>
      <c r="D40" s="210"/>
      <c r="E40" s="212" t="str">
        <f>IF(COUNTIF(F40:AS40,"&lt;&gt;")=0,"",SUMPRODUCT(((Recommendations[ImplStatus]="Implemented")+(Recommendations[ImplStatus]="Compensated"))*ISNUMBER(MATCH(Recommendations[Id],F40:AS40,0)))/COUNTIF(F40:AS40,"&lt;&gt;"))</f>
        <v/>
      </c>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23"/>
    </row>
    <row r="41" spans="1:45" ht="60" customHeight="1" x14ac:dyDescent="0.35">
      <c r="A41" s="221" t="s">
        <v>4635</v>
      </c>
      <c r="B41" s="208" t="s">
        <v>4637</v>
      </c>
      <c r="C41" s="209" t="s">
        <v>4638</v>
      </c>
      <c r="D41" s="211" t="s">
        <v>4639</v>
      </c>
      <c r="E41" s="213" t="str">
        <f>IF(COUNTIF(F41:AS41,"&lt;&gt;")=0,"",SUMPRODUCT(((Recommendations[ImplStatus]="Implemented")+(Recommendations[ImplStatus]="Compensated"))*ISNUMBER(MATCH(Recommendations[Id],F41:AS41,0)))/COUNTIF(F41:AS41,"&lt;&gt;"))</f>
        <v/>
      </c>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24"/>
    </row>
    <row r="42" spans="1:45" ht="60" customHeight="1" x14ac:dyDescent="0.35">
      <c r="A42" s="221" t="s">
        <v>4635</v>
      </c>
      <c r="B42" s="208" t="s">
        <v>4640</v>
      </c>
      <c r="C42" s="209" t="s">
        <v>4641</v>
      </c>
      <c r="D42" s="211" t="s">
        <v>4642</v>
      </c>
      <c r="E42" s="213" t="str">
        <f>IF(COUNTIF(F42:AS42,"&lt;&gt;")=0,"",SUMPRODUCT(((Recommendations[ImplStatus]="Implemented")+(Recommendations[ImplStatus]="Compensated"))*ISNUMBER(MATCH(Recommendations[Id],F42:AS42,0)))/COUNTIF(F42:AS42,"&lt;&gt;"))</f>
        <v/>
      </c>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24"/>
    </row>
    <row r="43" spans="1:45" ht="60" customHeight="1" x14ac:dyDescent="0.35">
      <c r="A43" s="221" t="s">
        <v>4635</v>
      </c>
      <c r="B43" s="208" t="s">
        <v>4643</v>
      </c>
      <c r="C43" s="209" t="s">
        <v>4644</v>
      </c>
      <c r="D43" s="211" t="s">
        <v>4645</v>
      </c>
      <c r="E43" s="213" t="str">
        <f>IF(COUNTIF(F43:AS43,"&lt;&gt;")=0,"",SUMPRODUCT(((Recommendations[ImplStatus]="Implemented")+(Recommendations[ImplStatus]="Compensated"))*ISNUMBER(MATCH(Recommendations[Id],F43:AS43,0)))/COUNTIF(F43:AS43,"&lt;&gt;"))</f>
        <v/>
      </c>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24"/>
    </row>
    <row r="44" spans="1:45" ht="60" customHeight="1" x14ac:dyDescent="0.35">
      <c r="A44" s="221" t="s">
        <v>4635</v>
      </c>
      <c r="B44" s="208" t="s">
        <v>4646</v>
      </c>
      <c r="C44" s="209" t="s">
        <v>4647</v>
      </c>
      <c r="D44" s="211" t="s">
        <v>4648</v>
      </c>
      <c r="E44" s="213" t="str">
        <f>IF(COUNTIF(F44:AS44,"&lt;&gt;")=0,"",SUMPRODUCT(((Recommendations[ImplStatus]="Implemented")+(Recommendations[ImplStatus]="Compensated"))*ISNUMBER(MATCH(Recommendations[Id],F44:AS44,0)))/COUNTIF(F44:AS44,"&lt;&gt;"))</f>
        <v/>
      </c>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24"/>
    </row>
    <row r="45" spans="1:45" ht="60" customHeight="1" x14ac:dyDescent="0.35">
      <c r="A45" s="221" t="s">
        <v>4635</v>
      </c>
      <c r="B45" s="208" t="s">
        <v>4649</v>
      </c>
      <c r="C45" s="209" t="s">
        <v>4650</v>
      </c>
      <c r="D45" s="211" t="s">
        <v>4651</v>
      </c>
      <c r="E45" s="213" t="str">
        <f>IF(COUNTIF(F45:AS45,"&lt;&gt;")=0,"",SUMPRODUCT(((Recommendations[ImplStatus]="Implemented")+(Recommendations[ImplStatus]="Compensated"))*ISNUMBER(MATCH(Recommendations[Id],F45:AS45,0)))/COUNTIF(F45:AS45,"&lt;&gt;"))</f>
        <v/>
      </c>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24"/>
    </row>
    <row r="46" spans="1:45" ht="60" customHeight="1" x14ac:dyDescent="0.35">
      <c r="A46" s="221" t="s">
        <v>4635</v>
      </c>
      <c r="B46" s="208" t="s">
        <v>4652</v>
      </c>
      <c r="C46" s="209" t="s">
        <v>4653</v>
      </c>
      <c r="D46" s="211" t="s">
        <v>4654</v>
      </c>
      <c r="E46" s="213" t="str">
        <f>IF(COUNTIF(F46:AS46,"&lt;&gt;")=0,"",SUMPRODUCT(((Recommendations[ImplStatus]="Implemented")+(Recommendations[ImplStatus]="Compensated"))*ISNUMBER(MATCH(Recommendations[Id],F46:AS46,0)))/COUNTIF(F46:AS46,"&lt;&gt;"))</f>
        <v/>
      </c>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24"/>
    </row>
    <row r="47" spans="1:45" ht="60" customHeight="1" x14ac:dyDescent="0.35">
      <c r="A47" s="221" t="s">
        <v>4635</v>
      </c>
      <c r="B47" s="208" t="s">
        <v>4655</v>
      </c>
      <c r="C47" s="209" t="s">
        <v>4656</v>
      </c>
      <c r="D47" s="211" t="s">
        <v>4657</v>
      </c>
      <c r="E47" s="213" t="str">
        <f>IF(COUNTIF(F47:AS47,"&lt;&gt;")=0,"",SUMPRODUCT(((Recommendations[ImplStatus]="Implemented")+(Recommendations[ImplStatus]="Compensated"))*ISNUMBER(MATCH(Recommendations[Id],F47:AS47,0)))/COUNTIF(F47:AS47,"&lt;&gt;"))</f>
        <v/>
      </c>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24"/>
    </row>
    <row r="48" spans="1:45" ht="60" customHeight="1" x14ac:dyDescent="0.35">
      <c r="A48" s="221" t="s">
        <v>4635</v>
      </c>
      <c r="B48" s="208" t="s">
        <v>4658</v>
      </c>
      <c r="C48" s="209" t="s">
        <v>4659</v>
      </c>
      <c r="D48" s="211" t="s">
        <v>4660</v>
      </c>
      <c r="E48" s="213" t="str">
        <f>IF(COUNTIF(F48:AS48,"&lt;&gt;")=0,"",SUMPRODUCT(((Recommendations[ImplStatus]="Implemented")+(Recommendations[ImplStatus]="Compensated"))*ISNUMBER(MATCH(Recommendations[Id],F48:AS48,0)))/COUNTIF(F48:AS48,"&lt;&gt;"))</f>
        <v/>
      </c>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24"/>
    </row>
    <row r="49" spans="1:45" ht="60" customHeight="1" outlineLevel="1" x14ac:dyDescent="0.35">
      <c r="A49" s="220" t="s">
        <v>4661</v>
      </c>
      <c r="B49" s="207" t="s">
        <v>4662</v>
      </c>
      <c r="C49" s="206"/>
      <c r="D49" s="210"/>
      <c r="E49" s="212" t="str">
        <f>IF(COUNTIF(F49:AS49,"&lt;&gt;")=0,"",SUMPRODUCT(((Recommendations[ImplStatus]="Implemented")+(Recommendations[ImplStatus]="Compensated"))*ISNUMBER(MATCH(Recommendations[Id],F49:AS49,0)))/COUNTIF(F49:AS49,"&lt;&gt;"))</f>
        <v/>
      </c>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23"/>
    </row>
    <row r="50" spans="1:45" ht="60" customHeight="1" x14ac:dyDescent="0.35">
      <c r="A50" s="221" t="s">
        <v>4661</v>
      </c>
      <c r="B50" s="208" t="s">
        <v>4663</v>
      </c>
      <c r="C50" s="209" t="s">
        <v>4664</v>
      </c>
      <c r="D50" s="211" t="s">
        <v>4665</v>
      </c>
      <c r="E50" s="213" t="str">
        <f>IF(COUNTIF(F50:AS50,"&lt;&gt;")=0,"",SUMPRODUCT(((Recommendations[ImplStatus]="Implemented")+(Recommendations[ImplStatus]="Compensated"))*ISNUMBER(MATCH(Recommendations[Id],F50:AS50,0)))/COUNTIF(F50:AS50,"&lt;&gt;"))</f>
        <v/>
      </c>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24"/>
    </row>
    <row r="51" spans="1:45" ht="60" customHeight="1" x14ac:dyDescent="0.35">
      <c r="A51" s="221" t="s">
        <v>4661</v>
      </c>
      <c r="B51" s="208" t="s">
        <v>4666</v>
      </c>
      <c r="C51" s="209" t="s">
        <v>4667</v>
      </c>
      <c r="D51" s="211" t="s">
        <v>4668</v>
      </c>
      <c r="E51" s="213" t="str">
        <f>IF(COUNTIF(F51:AS51,"&lt;&gt;")=0,"",SUMPRODUCT(((Recommendations[ImplStatus]="Implemented")+(Recommendations[ImplStatus]="Compensated"))*ISNUMBER(MATCH(Recommendations[Id],F51:AS51,0)))/COUNTIF(F51:AS51,"&lt;&gt;"))</f>
        <v/>
      </c>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24"/>
    </row>
    <row r="52" spans="1:45" ht="60" customHeight="1" x14ac:dyDescent="0.35">
      <c r="A52" s="221" t="s">
        <v>4661</v>
      </c>
      <c r="B52" s="208" t="s">
        <v>4669</v>
      </c>
      <c r="C52" s="209" t="s">
        <v>4670</v>
      </c>
      <c r="D52" s="211" t="s">
        <v>4671</v>
      </c>
      <c r="E52" s="213" t="str">
        <f>IF(COUNTIF(F52:AS52,"&lt;&gt;")=0,"",SUMPRODUCT(((Recommendations[ImplStatus]="Implemented")+(Recommendations[ImplStatus]="Compensated"))*ISNUMBER(MATCH(Recommendations[Id],F52:AS52,0)))/COUNTIF(F52:AS52,"&lt;&gt;"))</f>
        <v/>
      </c>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24"/>
    </row>
    <row r="53" spans="1:45" ht="60" customHeight="1" x14ac:dyDescent="0.35">
      <c r="A53" s="221" t="s">
        <v>4661</v>
      </c>
      <c r="B53" s="208" t="s">
        <v>4672</v>
      </c>
      <c r="C53" s="209" t="s">
        <v>4673</v>
      </c>
      <c r="D53" s="211" t="s">
        <v>4674</v>
      </c>
      <c r="E53" s="213" t="str">
        <f>IF(COUNTIF(F53:AS53,"&lt;&gt;")=0,"",SUMPRODUCT(((Recommendations[ImplStatus]="Implemented")+(Recommendations[ImplStatus]="Compensated"))*ISNUMBER(MATCH(Recommendations[Id],F53:AS53,0)))/COUNTIF(F53:AS53,"&lt;&gt;"))</f>
        <v/>
      </c>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24"/>
    </row>
    <row r="54" spans="1:45" ht="60" customHeight="1" x14ac:dyDescent="0.35">
      <c r="A54" s="221" t="s">
        <v>4661</v>
      </c>
      <c r="B54" s="208" t="s">
        <v>4675</v>
      </c>
      <c r="C54" s="209" t="s">
        <v>4676</v>
      </c>
      <c r="D54" s="211" t="s">
        <v>4677</v>
      </c>
      <c r="E54" s="213" t="str">
        <f>IF(COUNTIF(F54:AS54,"&lt;&gt;")=0,"",SUMPRODUCT(((Recommendations[ImplStatus]="Implemented")+(Recommendations[ImplStatus]="Compensated"))*ISNUMBER(MATCH(Recommendations[Id],F54:AS54,0)))/COUNTIF(F54:AS54,"&lt;&gt;"))</f>
        <v/>
      </c>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24"/>
    </row>
    <row r="55" spans="1:45" ht="60" customHeight="1" x14ac:dyDescent="0.35">
      <c r="A55" s="221" t="s">
        <v>4661</v>
      </c>
      <c r="B55" s="208" t="s">
        <v>4678</v>
      </c>
      <c r="C55" s="209" t="s">
        <v>4679</v>
      </c>
      <c r="D55" s="211" t="s">
        <v>4680</v>
      </c>
      <c r="E55" s="213" t="str">
        <f>IF(COUNTIF(F55:AS55,"&lt;&gt;")=0,"",SUMPRODUCT(((Recommendations[ImplStatus]="Implemented")+(Recommendations[ImplStatus]="Compensated"))*ISNUMBER(MATCH(Recommendations[Id],F55:AS55,0)))/COUNTIF(F55:AS55,"&lt;&gt;"))</f>
        <v/>
      </c>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24"/>
    </row>
    <row r="56" spans="1:45" ht="60" customHeight="1" x14ac:dyDescent="0.35">
      <c r="A56" s="221" t="s">
        <v>4661</v>
      </c>
      <c r="B56" s="208" t="s">
        <v>4681</v>
      </c>
      <c r="C56" s="209" t="s">
        <v>4682</v>
      </c>
      <c r="D56" s="211" t="s">
        <v>4683</v>
      </c>
      <c r="E56" s="213" t="str">
        <f>IF(COUNTIF(F56:AS56,"&lt;&gt;")=0,"",SUMPRODUCT(((Recommendations[ImplStatus]="Implemented")+(Recommendations[ImplStatus]="Compensated"))*ISNUMBER(MATCH(Recommendations[Id],F56:AS56,0)))/COUNTIF(F56:AS56,"&lt;&gt;"))</f>
        <v/>
      </c>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24"/>
    </row>
    <row r="57" spans="1:45" ht="60" customHeight="1" x14ac:dyDescent="0.35">
      <c r="A57" s="221" t="s">
        <v>4661</v>
      </c>
      <c r="B57" s="208" t="s">
        <v>4684</v>
      </c>
      <c r="C57" s="209" t="s">
        <v>4685</v>
      </c>
      <c r="D57" s="211" t="s">
        <v>4686</v>
      </c>
      <c r="E57" s="213" t="str">
        <f>IF(COUNTIF(F57:AS57,"&lt;&gt;")=0,"",SUMPRODUCT(((Recommendations[ImplStatus]="Implemented")+(Recommendations[ImplStatus]="Compensated"))*ISNUMBER(MATCH(Recommendations[Id],F57:AS57,0)))/COUNTIF(F57:AS57,"&lt;&gt;"))</f>
        <v/>
      </c>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24"/>
    </row>
    <row r="58" spans="1:45" ht="60" customHeight="1" x14ac:dyDescent="0.35">
      <c r="A58" s="221" t="s">
        <v>4661</v>
      </c>
      <c r="B58" s="208" t="s">
        <v>4687</v>
      </c>
      <c r="C58" s="209" t="s">
        <v>4688</v>
      </c>
      <c r="D58" s="211" t="s">
        <v>4689</v>
      </c>
      <c r="E58" s="213" t="str">
        <f>IF(COUNTIF(F58:AS58,"&lt;&gt;")=0,"",SUMPRODUCT(((Recommendations[ImplStatus]="Implemented")+(Recommendations[ImplStatus]="Compensated"))*ISNUMBER(MATCH(Recommendations[Id],F58:AS58,0)))/COUNTIF(F58:AS58,"&lt;&gt;"))</f>
        <v/>
      </c>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24"/>
    </row>
    <row r="59" spans="1:45" ht="60" customHeight="1" x14ac:dyDescent="0.35">
      <c r="A59" s="221" t="s">
        <v>4661</v>
      </c>
      <c r="B59" s="208" t="s">
        <v>4690</v>
      </c>
      <c r="C59" s="209" t="s">
        <v>4691</v>
      </c>
      <c r="D59" s="211" t="s">
        <v>4692</v>
      </c>
      <c r="E59" s="213" t="str">
        <f>IF(COUNTIF(F59:AS59,"&lt;&gt;")=0,"",SUMPRODUCT(((Recommendations[ImplStatus]="Implemented")+(Recommendations[ImplStatus]="Compensated"))*ISNUMBER(MATCH(Recommendations[Id],F59:AS59,0)))/COUNTIF(F59:AS59,"&lt;&gt;"))</f>
        <v/>
      </c>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24"/>
    </row>
    <row r="60" spans="1:45" ht="60" customHeight="1" x14ac:dyDescent="0.35">
      <c r="A60" s="221" t="s">
        <v>4661</v>
      </c>
      <c r="B60" s="208" t="s">
        <v>4693</v>
      </c>
      <c r="C60" s="209" t="s">
        <v>4694</v>
      </c>
      <c r="D60" s="211" t="s">
        <v>4695</v>
      </c>
      <c r="E60" s="213" t="str">
        <f>IF(COUNTIF(F60:AS60,"&lt;&gt;")=0,"",SUMPRODUCT(((Recommendations[ImplStatus]="Implemented")+(Recommendations[ImplStatus]="Compensated"))*ISNUMBER(MATCH(Recommendations[Id],F60:AS60,0)))/COUNTIF(F60:AS60,"&lt;&gt;"))</f>
        <v/>
      </c>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24"/>
    </row>
    <row r="61" spans="1:45" ht="60" customHeight="1" x14ac:dyDescent="0.35">
      <c r="A61" s="221" t="s">
        <v>4661</v>
      </c>
      <c r="B61" s="208" t="s">
        <v>4696</v>
      </c>
      <c r="C61" s="209" t="s">
        <v>4697</v>
      </c>
      <c r="D61" s="211" t="s">
        <v>4698</v>
      </c>
      <c r="E61" s="213" t="str">
        <f>IF(COUNTIF(F61:AS61,"&lt;&gt;")=0,"",SUMPRODUCT(((Recommendations[ImplStatus]="Implemented")+(Recommendations[ImplStatus]="Compensated"))*ISNUMBER(MATCH(Recommendations[Id],F61:AS61,0)))/COUNTIF(F61:AS61,"&lt;&gt;"))</f>
        <v/>
      </c>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24"/>
    </row>
    <row r="62" spans="1:45" ht="60" customHeight="1" x14ac:dyDescent="0.35">
      <c r="A62" s="221" t="s">
        <v>4661</v>
      </c>
      <c r="B62" s="208" t="s">
        <v>4699</v>
      </c>
      <c r="C62" s="209" t="s">
        <v>4700</v>
      </c>
      <c r="D62" s="211" t="s">
        <v>4701</v>
      </c>
      <c r="E62" s="213" t="str">
        <f>IF(COUNTIF(F62:AS62,"&lt;&gt;")=0,"",SUMPRODUCT(((Recommendations[ImplStatus]="Implemented")+(Recommendations[ImplStatus]="Compensated"))*ISNUMBER(MATCH(Recommendations[Id],F62:AS62,0)))/COUNTIF(F62:AS62,"&lt;&gt;"))</f>
        <v/>
      </c>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24"/>
    </row>
    <row r="63" spans="1:45" ht="60" customHeight="1" x14ac:dyDescent="0.35">
      <c r="A63" s="221" t="s">
        <v>4661</v>
      </c>
      <c r="B63" s="208" t="s">
        <v>4702</v>
      </c>
      <c r="C63" s="209" t="s">
        <v>4703</v>
      </c>
      <c r="D63" s="211" t="s">
        <v>4704</v>
      </c>
      <c r="E63" s="213" t="str">
        <f>IF(COUNTIF(F63:AS63,"&lt;&gt;")=0,"",SUMPRODUCT(((Recommendations[ImplStatus]="Implemented")+(Recommendations[ImplStatus]="Compensated"))*ISNUMBER(MATCH(Recommendations[Id],F63:AS63,0)))/COUNTIF(F63:AS63,"&lt;&gt;"))</f>
        <v/>
      </c>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24"/>
    </row>
    <row r="64" spans="1:45" ht="60" customHeight="1" outlineLevel="1" x14ac:dyDescent="0.35">
      <c r="A64" s="220" t="s">
        <v>4705</v>
      </c>
      <c r="B64" s="207" t="s">
        <v>4706</v>
      </c>
      <c r="C64" s="206"/>
      <c r="D64" s="210"/>
      <c r="E64" s="212" t="str">
        <f>IF(COUNTIF(F64:AS64,"&lt;&gt;")=0,"",SUMPRODUCT(((Recommendations[ImplStatus]="Implemented")+(Recommendations[ImplStatus]="Compensated"))*ISNUMBER(MATCH(Recommendations[Id],F64:AS64,0)))/COUNTIF(F64:AS64,"&lt;&gt;"))</f>
        <v/>
      </c>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23"/>
    </row>
    <row r="65" spans="1:45" ht="60" customHeight="1" x14ac:dyDescent="0.35">
      <c r="A65" s="221" t="s">
        <v>4705</v>
      </c>
      <c r="B65" s="208" t="s">
        <v>4707</v>
      </c>
      <c r="C65" s="209" t="s">
        <v>4708</v>
      </c>
      <c r="D65" s="211" t="s">
        <v>4709</v>
      </c>
      <c r="E65" s="213" t="str">
        <f>IF(COUNTIF(F65:AS65,"&lt;&gt;")=0,"",SUMPRODUCT(((Recommendations[ImplStatus]="Implemented")+(Recommendations[ImplStatus]="Compensated"))*ISNUMBER(MATCH(Recommendations[Id],F65:AS65,0)))/COUNTIF(F65:AS65,"&lt;&gt;"))</f>
        <v/>
      </c>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24"/>
    </row>
    <row r="66" spans="1:45" ht="60" customHeight="1" x14ac:dyDescent="0.35">
      <c r="A66" s="221" t="s">
        <v>4705</v>
      </c>
      <c r="B66" s="208" t="s">
        <v>4710</v>
      </c>
      <c r="C66" s="209" t="s">
        <v>4711</v>
      </c>
      <c r="D66" s="211" t="s">
        <v>4712</v>
      </c>
      <c r="E66" s="213" t="str">
        <f>IF(COUNTIF(F66:AS66,"&lt;&gt;")=0,"",SUMPRODUCT(((Recommendations[ImplStatus]="Implemented")+(Recommendations[ImplStatus]="Compensated"))*ISNUMBER(MATCH(Recommendations[Id],F66:AS66,0)))/COUNTIF(F66:AS66,"&lt;&gt;"))</f>
        <v/>
      </c>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24"/>
    </row>
    <row r="67" spans="1:45" ht="60" customHeight="1" x14ac:dyDescent="0.35">
      <c r="A67" s="221" t="s">
        <v>4705</v>
      </c>
      <c r="B67" s="208" t="s">
        <v>4713</v>
      </c>
      <c r="C67" s="209" t="s">
        <v>4714</v>
      </c>
      <c r="D67" s="211" t="s">
        <v>4715</v>
      </c>
      <c r="E67" s="213" t="str">
        <f>IF(COUNTIF(F67:AS67,"&lt;&gt;")=0,"",SUMPRODUCT(((Recommendations[ImplStatus]="Implemented")+(Recommendations[ImplStatus]="Compensated"))*ISNUMBER(MATCH(Recommendations[Id],F67:AS67,0)))/COUNTIF(F67:AS67,"&lt;&gt;"))</f>
        <v/>
      </c>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24"/>
    </row>
    <row r="68" spans="1:45" ht="60" customHeight="1" x14ac:dyDescent="0.35">
      <c r="A68" s="221" t="s">
        <v>4705</v>
      </c>
      <c r="B68" s="208" t="s">
        <v>4716</v>
      </c>
      <c r="C68" s="209" t="s">
        <v>4717</v>
      </c>
      <c r="D68" s="211" t="s">
        <v>4718</v>
      </c>
      <c r="E68" s="213" t="str">
        <f>IF(COUNTIF(F68:AS68,"&lt;&gt;")=0,"",SUMPRODUCT(((Recommendations[ImplStatus]="Implemented")+(Recommendations[ImplStatus]="Compensated"))*ISNUMBER(MATCH(Recommendations[Id],F68:AS68,0)))/COUNTIF(F68:AS68,"&lt;&gt;"))</f>
        <v/>
      </c>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24"/>
    </row>
    <row r="69" spans="1:45" ht="60" customHeight="1" x14ac:dyDescent="0.35">
      <c r="A69" s="221" t="s">
        <v>4705</v>
      </c>
      <c r="B69" s="208" t="s">
        <v>4719</v>
      </c>
      <c r="C69" s="209" t="s">
        <v>4720</v>
      </c>
      <c r="D69" s="211" t="s">
        <v>4721</v>
      </c>
      <c r="E69" s="213" t="str">
        <f>IF(COUNTIF(F69:AS69,"&lt;&gt;")=0,"",SUMPRODUCT(((Recommendations[ImplStatus]="Implemented")+(Recommendations[ImplStatus]="Compensated"))*ISNUMBER(MATCH(Recommendations[Id],F69:AS69,0)))/COUNTIF(F69:AS69,"&lt;&gt;"))</f>
        <v/>
      </c>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24"/>
    </row>
    <row r="70" spans="1:45" ht="60" customHeight="1" x14ac:dyDescent="0.35">
      <c r="A70" s="221" t="s">
        <v>4705</v>
      </c>
      <c r="B70" s="208" t="s">
        <v>4722</v>
      </c>
      <c r="C70" s="209" t="s">
        <v>4723</v>
      </c>
      <c r="D70" s="211" t="s">
        <v>4724</v>
      </c>
      <c r="E70" s="213" t="str">
        <f>IF(COUNTIF(F70:AS70,"&lt;&gt;")=0,"",SUMPRODUCT(((Recommendations[ImplStatus]="Implemented")+(Recommendations[ImplStatus]="Compensated"))*ISNUMBER(MATCH(Recommendations[Id],F70:AS70,0)))/COUNTIF(F70:AS70,"&lt;&gt;"))</f>
        <v/>
      </c>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24"/>
    </row>
    <row r="71" spans="1:45" ht="60" customHeight="1" x14ac:dyDescent="0.35">
      <c r="A71" s="221" t="s">
        <v>4705</v>
      </c>
      <c r="B71" s="208" t="s">
        <v>4725</v>
      </c>
      <c r="C71" s="209" t="s">
        <v>4726</v>
      </c>
      <c r="D71" s="211" t="s">
        <v>4727</v>
      </c>
      <c r="E71" s="213" t="str">
        <f>IF(COUNTIF(F71:AS71,"&lt;&gt;")=0,"",SUMPRODUCT(((Recommendations[ImplStatus]="Implemented")+(Recommendations[ImplStatus]="Compensated"))*ISNUMBER(MATCH(Recommendations[Id],F71:AS71,0)))/COUNTIF(F71:AS71,"&lt;&gt;"))</f>
        <v/>
      </c>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24"/>
    </row>
    <row r="72" spans="1:45" ht="60" customHeight="1" x14ac:dyDescent="0.35">
      <c r="A72" s="221" t="s">
        <v>4705</v>
      </c>
      <c r="B72" s="208" t="s">
        <v>4728</v>
      </c>
      <c r="C72" s="209" t="s">
        <v>4729</v>
      </c>
      <c r="D72" s="211" t="s">
        <v>4730</v>
      </c>
      <c r="E72" s="213" t="str">
        <f>IF(COUNTIF(F72:AS72,"&lt;&gt;")=0,"",SUMPRODUCT(((Recommendations[ImplStatus]="Implemented")+(Recommendations[ImplStatus]="Compensated"))*ISNUMBER(MATCH(Recommendations[Id],F72:AS72,0)))/COUNTIF(F72:AS72,"&lt;&gt;"))</f>
        <v/>
      </c>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24"/>
    </row>
    <row r="73" spans="1:45" ht="60" customHeight="1" x14ac:dyDescent="0.35">
      <c r="A73" s="221" t="s">
        <v>4705</v>
      </c>
      <c r="B73" s="208" t="s">
        <v>4731</v>
      </c>
      <c r="C73" s="209" t="s">
        <v>4732</v>
      </c>
      <c r="D73" s="211" t="s">
        <v>4733</v>
      </c>
      <c r="E73" s="213" t="str">
        <f>IF(COUNTIF(F73:AS73,"&lt;&gt;")=0,"",SUMPRODUCT(((Recommendations[ImplStatus]="Implemented")+(Recommendations[ImplStatus]="Compensated"))*ISNUMBER(MATCH(Recommendations[Id],F73:AS73,0)))/COUNTIF(F73:AS73,"&lt;&gt;"))</f>
        <v/>
      </c>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24"/>
    </row>
    <row r="74" spans="1:45" ht="60" customHeight="1" x14ac:dyDescent="0.35">
      <c r="A74" s="221" t="s">
        <v>4705</v>
      </c>
      <c r="B74" s="208" t="s">
        <v>4734</v>
      </c>
      <c r="C74" s="209" t="s">
        <v>4735</v>
      </c>
      <c r="D74" s="211" t="s">
        <v>4736</v>
      </c>
      <c r="E74" s="213" t="str">
        <f>IF(COUNTIF(F74:AS74,"&lt;&gt;")=0,"",SUMPRODUCT(((Recommendations[ImplStatus]="Implemented")+(Recommendations[ImplStatus]="Compensated"))*ISNUMBER(MATCH(Recommendations[Id],F74:AS74,0)))/COUNTIF(F74:AS74,"&lt;&gt;"))</f>
        <v/>
      </c>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24"/>
    </row>
    <row r="75" spans="1:45" ht="60" customHeight="1" x14ac:dyDescent="0.35">
      <c r="A75" s="221" t="s">
        <v>4705</v>
      </c>
      <c r="B75" s="208" t="s">
        <v>4737</v>
      </c>
      <c r="C75" s="209" t="s">
        <v>4738</v>
      </c>
      <c r="D75" s="211" t="s">
        <v>4739</v>
      </c>
      <c r="E75" s="213" t="str">
        <f>IF(COUNTIF(F75:AS75,"&lt;&gt;")=0,"",SUMPRODUCT(((Recommendations[ImplStatus]="Implemented")+(Recommendations[ImplStatus]="Compensated"))*ISNUMBER(MATCH(Recommendations[Id],F75:AS75,0)))/COUNTIF(F75:AS75,"&lt;&gt;"))</f>
        <v/>
      </c>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24"/>
    </row>
    <row r="76" spans="1:45" ht="60" customHeight="1" x14ac:dyDescent="0.35">
      <c r="A76" s="221" t="s">
        <v>4705</v>
      </c>
      <c r="B76" s="208" t="s">
        <v>4740</v>
      </c>
      <c r="C76" s="209" t="s">
        <v>4741</v>
      </c>
      <c r="D76" s="211" t="s">
        <v>4742</v>
      </c>
      <c r="E76" s="213" t="str">
        <f>IF(COUNTIF(F76:AS76,"&lt;&gt;")=0,"",SUMPRODUCT(((Recommendations[ImplStatus]="Implemented")+(Recommendations[ImplStatus]="Compensated"))*ISNUMBER(MATCH(Recommendations[Id],F76:AS76,0)))/COUNTIF(F76:AS76,"&lt;&gt;"))</f>
        <v/>
      </c>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24"/>
    </row>
    <row r="77" spans="1:45" ht="60" customHeight="1" x14ac:dyDescent="0.35">
      <c r="A77" s="221" t="s">
        <v>4705</v>
      </c>
      <c r="B77" s="208" t="s">
        <v>4743</v>
      </c>
      <c r="C77" s="209" t="s">
        <v>4744</v>
      </c>
      <c r="D77" s="211" t="s">
        <v>4745</v>
      </c>
      <c r="E77" s="213" t="str">
        <f>IF(COUNTIF(F77:AS77,"&lt;&gt;")=0,"",SUMPRODUCT(((Recommendations[ImplStatus]="Implemented")+(Recommendations[ImplStatus]="Compensated"))*ISNUMBER(MATCH(Recommendations[Id],F77:AS77,0)))/COUNTIF(F77:AS77,"&lt;&gt;"))</f>
        <v/>
      </c>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24"/>
    </row>
    <row r="78" spans="1:45" ht="60" customHeight="1" x14ac:dyDescent="0.35">
      <c r="A78" s="221" t="s">
        <v>4705</v>
      </c>
      <c r="B78" s="208" t="s">
        <v>4746</v>
      </c>
      <c r="C78" s="209" t="s">
        <v>4747</v>
      </c>
      <c r="D78" s="211" t="s">
        <v>4748</v>
      </c>
      <c r="E78" s="213" t="str">
        <f>IF(COUNTIF(F78:AS78,"&lt;&gt;")=0,"",SUMPRODUCT(((Recommendations[ImplStatus]="Implemented")+(Recommendations[ImplStatus]="Compensated"))*ISNUMBER(MATCH(Recommendations[Id],F78:AS78,0)))/COUNTIF(F78:AS78,"&lt;&gt;"))</f>
        <v/>
      </c>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24"/>
    </row>
    <row r="79" spans="1:45" ht="60" customHeight="1" x14ac:dyDescent="0.35">
      <c r="A79" s="221" t="s">
        <v>4705</v>
      </c>
      <c r="B79" s="208" t="s">
        <v>4749</v>
      </c>
      <c r="C79" s="209" t="s">
        <v>4750</v>
      </c>
      <c r="D79" s="211" t="s">
        <v>4751</v>
      </c>
      <c r="E79" s="213" t="str">
        <f>IF(COUNTIF(F79:AS79,"&lt;&gt;")=0,"",SUMPRODUCT(((Recommendations[ImplStatus]="Implemented")+(Recommendations[ImplStatus]="Compensated"))*ISNUMBER(MATCH(Recommendations[Id],F79:AS79,0)))/COUNTIF(F79:AS79,"&lt;&gt;"))</f>
        <v/>
      </c>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24"/>
    </row>
    <row r="80" spans="1:45" ht="60" customHeight="1" x14ac:dyDescent="0.35">
      <c r="A80" s="221" t="s">
        <v>4705</v>
      </c>
      <c r="B80" s="208" t="s">
        <v>4752</v>
      </c>
      <c r="C80" s="209" t="s">
        <v>4753</v>
      </c>
      <c r="D80" s="211" t="s">
        <v>4754</v>
      </c>
      <c r="E80" s="213" t="str">
        <f>IF(COUNTIF(F80:AS80,"&lt;&gt;")=0,"",SUMPRODUCT(((Recommendations[ImplStatus]="Implemented")+(Recommendations[ImplStatus]="Compensated"))*ISNUMBER(MATCH(Recommendations[Id],F80:AS80,0)))/COUNTIF(F80:AS80,"&lt;&gt;"))</f>
        <v/>
      </c>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24"/>
    </row>
    <row r="81" spans="1:45" ht="60" customHeight="1" x14ac:dyDescent="0.35">
      <c r="A81" s="221" t="s">
        <v>4705</v>
      </c>
      <c r="B81" s="208" t="s">
        <v>4755</v>
      </c>
      <c r="C81" s="209" t="s">
        <v>4756</v>
      </c>
      <c r="D81" s="211" t="s">
        <v>4757</v>
      </c>
      <c r="E81" s="213" t="str">
        <f>IF(COUNTIF(F81:AS81,"&lt;&gt;")=0,"",SUMPRODUCT(((Recommendations[ImplStatus]="Implemented")+(Recommendations[ImplStatus]="Compensated"))*ISNUMBER(MATCH(Recommendations[Id],F81:AS81,0)))/COUNTIF(F81:AS81,"&lt;&gt;"))</f>
        <v/>
      </c>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24"/>
    </row>
    <row r="82" spans="1:45" ht="60" customHeight="1" x14ac:dyDescent="0.35">
      <c r="A82" s="221" t="s">
        <v>4705</v>
      </c>
      <c r="B82" s="208" t="s">
        <v>4758</v>
      </c>
      <c r="C82" s="209" t="s">
        <v>4759</v>
      </c>
      <c r="D82" s="211" t="s">
        <v>4760</v>
      </c>
      <c r="E82" s="213" t="str">
        <f>IF(COUNTIF(F82:AS82,"&lt;&gt;")=0,"",SUMPRODUCT(((Recommendations[ImplStatus]="Implemented")+(Recommendations[ImplStatus]="Compensated"))*ISNUMBER(MATCH(Recommendations[Id],F82:AS82,0)))/COUNTIF(F82:AS82,"&lt;&gt;"))</f>
        <v/>
      </c>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24"/>
    </row>
    <row r="83" spans="1:45" ht="60" customHeight="1" x14ac:dyDescent="0.35">
      <c r="A83" s="221" t="s">
        <v>4705</v>
      </c>
      <c r="B83" s="208" t="s">
        <v>4761</v>
      </c>
      <c r="C83" s="209" t="s">
        <v>4762</v>
      </c>
      <c r="D83" s="211" t="s">
        <v>4763</v>
      </c>
      <c r="E83" s="213" t="str">
        <f>IF(COUNTIF(F83:AS83,"&lt;&gt;")=0,"",SUMPRODUCT(((Recommendations[ImplStatus]="Implemented")+(Recommendations[ImplStatus]="Compensated"))*ISNUMBER(MATCH(Recommendations[Id],F83:AS83,0)))/COUNTIF(F83:AS83,"&lt;&gt;"))</f>
        <v/>
      </c>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24"/>
    </row>
    <row r="84" spans="1:45" ht="60" customHeight="1" x14ac:dyDescent="0.35">
      <c r="A84" s="221" t="s">
        <v>4705</v>
      </c>
      <c r="B84" s="208" t="s">
        <v>4764</v>
      </c>
      <c r="C84" s="209" t="s">
        <v>4765</v>
      </c>
      <c r="D84" s="211" t="s">
        <v>4766</v>
      </c>
      <c r="E84" s="213" t="str">
        <f>IF(COUNTIF(F84:AS84,"&lt;&gt;")=0,"",SUMPRODUCT(((Recommendations[ImplStatus]="Implemented")+(Recommendations[ImplStatus]="Compensated"))*ISNUMBER(MATCH(Recommendations[Id],F84:AS84,0)))/COUNTIF(F84:AS84,"&lt;&gt;"))</f>
        <v/>
      </c>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24"/>
    </row>
    <row r="85" spans="1:45" ht="60" customHeight="1" x14ac:dyDescent="0.35">
      <c r="A85" s="221" t="s">
        <v>4705</v>
      </c>
      <c r="B85" s="208" t="s">
        <v>4767</v>
      </c>
      <c r="C85" s="209" t="s">
        <v>4768</v>
      </c>
      <c r="D85" s="211" t="s">
        <v>4769</v>
      </c>
      <c r="E85" s="213" t="str">
        <f>IF(COUNTIF(F85:AS85,"&lt;&gt;")=0,"",SUMPRODUCT(((Recommendations[ImplStatus]="Implemented")+(Recommendations[ImplStatus]="Compensated"))*ISNUMBER(MATCH(Recommendations[Id],F85:AS85,0)))/COUNTIF(F85:AS85,"&lt;&gt;"))</f>
        <v/>
      </c>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24"/>
    </row>
    <row r="86" spans="1:45" ht="60" customHeight="1" x14ac:dyDescent="0.35">
      <c r="A86" s="221" t="s">
        <v>4705</v>
      </c>
      <c r="B86" s="208" t="s">
        <v>4770</v>
      </c>
      <c r="C86" s="209" t="s">
        <v>4771</v>
      </c>
      <c r="D86" s="211" t="s">
        <v>4772</v>
      </c>
      <c r="E86" s="213" t="str">
        <f>IF(COUNTIF(F86:AS86,"&lt;&gt;")=0,"",SUMPRODUCT(((Recommendations[ImplStatus]="Implemented")+(Recommendations[ImplStatus]="Compensated"))*ISNUMBER(MATCH(Recommendations[Id],F86:AS86,0)))/COUNTIF(F86:AS86,"&lt;&gt;"))</f>
        <v/>
      </c>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24"/>
    </row>
    <row r="87" spans="1:45" ht="60" customHeight="1" x14ac:dyDescent="0.35">
      <c r="A87" s="221" t="s">
        <v>4705</v>
      </c>
      <c r="B87" s="208" t="s">
        <v>4773</v>
      </c>
      <c r="C87" s="209" t="s">
        <v>4774</v>
      </c>
      <c r="D87" s="211" t="s">
        <v>4775</v>
      </c>
      <c r="E87" s="213" t="str">
        <f>IF(COUNTIF(F87:AS87,"&lt;&gt;")=0,"",SUMPRODUCT(((Recommendations[ImplStatus]="Implemented")+(Recommendations[ImplStatus]="Compensated"))*ISNUMBER(MATCH(Recommendations[Id],F87:AS87,0)))/COUNTIF(F87:AS87,"&lt;&gt;"))</f>
        <v/>
      </c>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24"/>
    </row>
    <row r="88" spans="1:45" ht="60" customHeight="1" x14ac:dyDescent="0.35">
      <c r="A88" s="221" t="s">
        <v>4705</v>
      </c>
      <c r="B88" s="208" t="s">
        <v>4776</v>
      </c>
      <c r="C88" s="209" t="s">
        <v>4777</v>
      </c>
      <c r="D88" s="211" t="s">
        <v>4778</v>
      </c>
      <c r="E88" s="213" t="str">
        <f>IF(COUNTIF(F88:AS88,"&lt;&gt;")=0,"",SUMPRODUCT(((Recommendations[ImplStatus]="Implemented")+(Recommendations[ImplStatus]="Compensated"))*ISNUMBER(MATCH(Recommendations[Id],F88:AS88,0)))/COUNTIF(F88:AS88,"&lt;&gt;"))</f>
        <v/>
      </c>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24"/>
    </row>
    <row r="89" spans="1:45" ht="60" customHeight="1" x14ac:dyDescent="0.35">
      <c r="A89" s="221" t="s">
        <v>4705</v>
      </c>
      <c r="B89" s="208" t="s">
        <v>4779</v>
      </c>
      <c r="C89" s="209" t="s">
        <v>4780</v>
      </c>
      <c r="D89" s="211" t="s">
        <v>4781</v>
      </c>
      <c r="E89" s="213" t="str">
        <f>IF(COUNTIF(F89:AS89,"&lt;&gt;")=0,"",SUMPRODUCT(((Recommendations[ImplStatus]="Implemented")+(Recommendations[ImplStatus]="Compensated"))*ISNUMBER(MATCH(Recommendations[Id],F89:AS89,0)))/COUNTIF(F89:AS89,"&lt;&gt;"))</f>
        <v/>
      </c>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24"/>
    </row>
    <row r="90" spans="1:45" ht="60" customHeight="1" x14ac:dyDescent="0.35">
      <c r="A90" s="221" t="s">
        <v>4705</v>
      </c>
      <c r="B90" s="208" t="s">
        <v>4782</v>
      </c>
      <c r="C90" s="209" t="s">
        <v>4783</v>
      </c>
      <c r="D90" s="211" t="s">
        <v>4784</v>
      </c>
      <c r="E90" s="213" t="str">
        <f>IF(COUNTIF(F90:AS90,"&lt;&gt;")=0,"",SUMPRODUCT(((Recommendations[ImplStatus]="Implemented")+(Recommendations[ImplStatus]="Compensated"))*ISNUMBER(MATCH(Recommendations[Id],F90:AS90,0)))/COUNTIF(F90:AS90,"&lt;&gt;"))</f>
        <v/>
      </c>
      <c r="F90" s="214"/>
      <c r="G90" s="214"/>
      <c r="H90" s="214"/>
      <c r="I90" s="214"/>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24"/>
    </row>
    <row r="91" spans="1:45" ht="60" customHeight="1" x14ac:dyDescent="0.35">
      <c r="A91" s="221" t="s">
        <v>4705</v>
      </c>
      <c r="B91" s="208" t="s">
        <v>4785</v>
      </c>
      <c r="C91" s="209" t="s">
        <v>4786</v>
      </c>
      <c r="D91" s="211" t="s">
        <v>4787</v>
      </c>
      <c r="E91" s="213" t="str">
        <f>IF(COUNTIF(F91:AS91,"&lt;&gt;")=0,"",SUMPRODUCT(((Recommendations[ImplStatus]="Implemented")+(Recommendations[ImplStatus]="Compensated"))*ISNUMBER(MATCH(Recommendations[Id],F91:AS91,0)))/COUNTIF(F91:AS91,"&lt;&gt;"))</f>
        <v/>
      </c>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24"/>
    </row>
    <row r="92" spans="1:45" ht="60" customHeight="1" x14ac:dyDescent="0.35">
      <c r="A92" s="221" t="s">
        <v>4705</v>
      </c>
      <c r="B92" s="208" t="s">
        <v>4788</v>
      </c>
      <c r="C92" s="209" t="s">
        <v>4789</v>
      </c>
      <c r="D92" s="211" t="s">
        <v>4790</v>
      </c>
      <c r="E92" s="213" t="str">
        <f>IF(COUNTIF(F92:AS92,"&lt;&gt;")=0,"",SUMPRODUCT(((Recommendations[ImplStatus]="Implemented")+(Recommendations[ImplStatus]="Compensated"))*ISNUMBER(MATCH(Recommendations[Id],F92:AS92,0)))/COUNTIF(F92:AS92,"&lt;&gt;"))</f>
        <v/>
      </c>
      <c r="F92" s="214"/>
      <c r="G92" s="214"/>
      <c r="H92" s="21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24"/>
    </row>
    <row r="93" spans="1:45" ht="60" customHeight="1" x14ac:dyDescent="0.35">
      <c r="A93" s="221" t="s">
        <v>4705</v>
      </c>
      <c r="B93" s="208" t="s">
        <v>4791</v>
      </c>
      <c r="C93" s="209" t="s">
        <v>4792</v>
      </c>
      <c r="D93" s="211" t="s">
        <v>4793</v>
      </c>
      <c r="E93" s="213" t="str">
        <f>IF(COUNTIF(F93:AS93,"&lt;&gt;")=0,"",SUMPRODUCT(((Recommendations[ImplStatus]="Implemented")+(Recommendations[ImplStatus]="Compensated"))*ISNUMBER(MATCH(Recommendations[Id],F93:AS93,0)))/COUNTIF(F93:AS93,"&lt;&gt;"))</f>
        <v/>
      </c>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24"/>
    </row>
    <row r="94" spans="1:45" ht="60" customHeight="1" x14ac:dyDescent="0.35">
      <c r="A94" s="221" t="s">
        <v>4705</v>
      </c>
      <c r="B94" s="208" t="s">
        <v>4794</v>
      </c>
      <c r="C94" s="209" t="s">
        <v>4795</v>
      </c>
      <c r="D94" s="211" t="s">
        <v>4796</v>
      </c>
      <c r="E94" s="213" t="str">
        <f>IF(COUNTIF(F94:AS94,"&lt;&gt;")=0,"",SUMPRODUCT(((Recommendations[ImplStatus]="Implemented")+(Recommendations[ImplStatus]="Compensated"))*ISNUMBER(MATCH(Recommendations[Id],F94:AS94,0)))/COUNTIF(F94:AS94,"&lt;&gt;"))</f>
        <v/>
      </c>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24"/>
    </row>
    <row r="95" spans="1:45" ht="60" customHeight="1" x14ac:dyDescent="0.35">
      <c r="A95" s="221" t="s">
        <v>4705</v>
      </c>
      <c r="B95" s="208" t="s">
        <v>4797</v>
      </c>
      <c r="C95" s="209" t="s">
        <v>4798</v>
      </c>
      <c r="D95" s="211" t="s">
        <v>4799</v>
      </c>
      <c r="E95" s="213" t="str">
        <f>IF(COUNTIF(F95:AS95,"&lt;&gt;")=0,"",SUMPRODUCT(((Recommendations[ImplStatus]="Implemented")+(Recommendations[ImplStatus]="Compensated"))*ISNUMBER(MATCH(Recommendations[Id],F95:AS95,0)))/COUNTIF(F95:AS95,"&lt;&gt;"))</f>
        <v/>
      </c>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24"/>
    </row>
    <row r="96" spans="1:45" ht="60" customHeight="1" x14ac:dyDescent="0.35">
      <c r="A96" s="221" t="s">
        <v>4705</v>
      </c>
      <c r="B96" s="208" t="s">
        <v>4800</v>
      </c>
      <c r="C96" s="209" t="s">
        <v>4801</v>
      </c>
      <c r="D96" s="211" t="s">
        <v>4802</v>
      </c>
      <c r="E96" s="213" t="str">
        <f>IF(COUNTIF(F96:AS96,"&lt;&gt;")=0,"",SUMPRODUCT(((Recommendations[ImplStatus]="Implemented")+(Recommendations[ImplStatus]="Compensated"))*ISNUMBER(MATCH(Recommendations[Id],F96:AS96,0)))/COUNTIF(F96:AS96,"&lt;&gt;"))</f>
        <v/>
      </c>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24"/>
    </row>
    <row r="97" spans="1:45" ht="60" customHeight="1" x14ac:dyDescent="0.35">
      <c r="A97" s="221" t="s">
        <v>4705</v>
      </c>
      <c r="B97" s="208" t="s">
        <v>4803</v>
      </c>
      <c r="C97" s="209" t="s">
        <v>4804</v>
      </c>
      <c r="D97" s="211" t="s">
        <v>4805</v>
      </c>
      <c r="E97" s="213" t="str">
        <f>IF(COUNTIF(F97:AS97,"&lt;&gt;")=0,"",SUMPRODUCT(((Recommendations[ImplStatus]="Implemented")+(Recommendations[ImplStatus]="Compensated"))*ISNUMBER(MATCH(Recommendations[Id],F97:AS97,0)))/COUNTIF(F97:AS97,"&lt;&gt;"))</f>
        <v/>
      </c>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24"/>
    </row>
    <row r="98" spans="1:45" ht="60" customHeight="1" x14ac:dyDescent="0.35">
      <c r="A98" s="222" t="s">
        <v>4705</v>
      </c>
      <c r="B98" s="215" t="s">
        <v>4806</v>
      </c>
      <c r="C98" s="216" t="s">
        <v>4807</v>
      </c>
      <c r="D98" s="217" t="s">
        <v>4808</v>
      </c>
      <c r="E98" s="218" t="str">
        <f>IF(COUNTIF(F98:AS98,"&lt;&gt;")=0,"",SUMPRODUCT(((Recommendations[ImplStatus]="Implemented")+(Recommendations[ImplStatus]="Compensated"))*ISNUMBER(MATCH(Recommendations[Id],F98:AS98,0)))/COUNTIF(F98:AS98,"&lt;&gt;"))</f>
        <v/>
      </c>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25"/>
    </row>
    <row r="102" spans="1:45" ht="32" customHeight="1" x14ac:dyDescent="0.35">
      <c r="A102" s="262" t="s">
        <v>1766</v>
      </c>
      <c r="B102" s="262"/>
      <c r="C102" s="262"/>
      <c r="D102" s="262"/>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IFERROR(INDEX('Recommendations'!$G$2:$G$368, MATCH(F2,'Recommendations'!$B$2:$B$368,0))="Implemented", FALSE))</xm:f>
            <x14:dxf>
              <font>
                <color rgb="FF000000"/>
              </font>
              <fill>
                <patternFill>
                  <bgColor rgb="FF3C7D22"/>
                </patternFill>
              </fill>
            </x14:dxf>
          </x14:cfRule>
          <x14:cfRule type="expression" priority="2" id="{00000000-000E-0000-0900-000002000000}">
            <xm:f>AND(F2&lt;&gt;"", IFERROR(INDEX('Recommendations'!$G$2:$G$368, MATCH(F2,'Recommendations'!$B$2:$B$368,0))="Compensated", FALSE))</xm:f>
            <x14:dxf>
              <font>
                <color rgb="FF000000"/>
              </font>
              <fill>
                <patternFill>
                  <bgColor rgb="FFC6E0B4"/>
                </patternFill>
              </fill>
            </x14:dxf>
          </x14:cfRule>
          <x14:cfRule type="expression" priority="3" id="{00000000-000E-0000-0900-000003000000}">
            <xm:f>AND(F2&lt;&gt;"", IFERROR(INDEX('Recommendations'!$G$2:$G$368, MATCH(F2,'Recommendations'!$B$2:$B$368,0))="Testing", FALSE))</xm:f>
            <x14:dxf>
              <font>
                <color rgb="FF000000"/>
              </font>
              <fill>
                <patternFill>
                  <bgColor rgb="FFFFC000"/>
                </patternFill>
              </fill>
            </x14:dxf>
          </x14:cfRule>
          <x14:cfRule type="expression" priority="4" id="{00000000-000E-0000-0900-000004000000}">
            <xm:f>AND(F2&lt;&gt;"", IFERROR(INDEX('Recommendations'!$G$2:$G$368, MATCH(F2,'Recommendations'!$B$2:$B$368,0))="Failed", FALSE))</xm:f>
            <x14:dxf>
              <font>
                <color rgb="FF000000"/>
              </font>
              <fill>
                <patternFill>
                  <bgColor rgb="FFD82891"/>
                </patternFill>
              </fill>
            </x14:dxf>
          </x14:cfRule>
          <x14:cfRule type="expression" priority="5" id="{00000000-000E-0000-0900-000005000000}">
            <xm:f>AND(F2&lt;&gt;"", IFERROR(INDEX('Recommendations'!$G$2:$G$368, MATCH(F2,'Recommendations'!$B$2:$B$368,0))="Risk Accepted", FALSE))</xm:f>
            <x14:dxf>
              <font>
                <color rgb="FF000000"/>
              </font>
              <fill>
                <patternFill>
                  <bgColor rgb="FFD9D9D9"/>
                </patternFill>
              </fill>
            </x14:dxf>
          </x14:cfRule>
          <x14:cfRule type="expression" priority="6" id="{00000000-000E-0000-0900-000006000000}">
            <xm:f>AND(F2&lt;&gt;"", IFERROR(INDEX('Recommendations'!$G$2:$G$368, MATCH(F2,'Recommendations'!$B$2:$B$368,0))="N/A",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59" t="s">
        <v>3636</v>
      </c>
      <c r="B1" s="260" t="s">
        <v>4521</v>
      </c>
      <c r="C1" s="260" t="s">
        <v>1</v>
      </c>
      <c r="D1" s="260" t="s">
        <v>1999</v>
      </c>
      <c r="E1" s="260" t="s">
        <v>4809</v>
      </c>
      <c r="F1" s="260" t="s">
        <v>4810</v>
      </c>
      <c r="G1" s="260" t="s">
        <v>2004</v>
      </c>
      <c r="H1" s="260" t="s">
        <v>2005</v>
      </c>
      <c r="I1" s="260" t="s">
        <v>2006</v>
      </c>
      <c r="J1" s="260" t="s">
        <v>2007</v>
      </c>
      <c r="K1" s="260" t="s">
        <v>2008</v>
      </c>
      <c r="L1" s="260" t="s">
        <v>2009</v>
      </c>
      <c r="M1" s="260" t="s">
        <v>2010</v>
      </c>
      <c r="N1" s="260" t="s">
        <v>2011</v>
      </c>
      <c r="O1" s="260" t="s">
        <v>2012</v>
      </c>
      <c r="P1" s="260" t="s">
        <v>2013</v>
      </c>
      <c r="Q1" s="260" t="s">
        <v>2014</v>
      </c>
      <c r="R1" s="260" t="s">
        <v>2015</v>
      </c>
      <c r="S1" s="260" t="s">
        <v>2016</v>
      </c>
      <c r="T1" s="260" t="s">
        <v>2017</v>
      </c>
      <c r="U1" s="260" t="s">
        <v>2018</v>
      </c>
      <c r="V1" s="260" t="s">
        <v>2019</v>
      </c>
      <c r="W1" s="260" t="s">
        <v>2020</v>
      </c>
      <c r="X1" s="260" t="s">
        <v>2021</v>
      </c>
      <c r="Y1" s="260" t="s">
        <v>2022</v>
      </c>
      <c r="Z1" s="260" t="s">
        <v>2023</v>
      </c>
      <c r="AA1" s="260" t="s">
        <v>2024</v>
      </c>
      <c r="AB1" s="260" t="s">
        <v>2025</v>
      </c>
      <c r="AC1" s="260" t="s">
        <v>2026</v>
      </c>
      <c r="AD1" s="260" t="s">
        <v>2027</v>
      </c>
      <c r="AE1" s="260" t="s">
        <v>2028</v>
      </c>
      <c r="AF1" s="260" t="s">
        <v>2029</v>
      </c>
      <c r="AG1" s="260" t="s">
        <v>2030</v>
      </c>
      <c r="AH1" s="260" t="s">
        <v>2031</v>
      </c>
      <c r="AI1" s="260" t="s">
        <v>2032</v>
      </c>
      <c r="AJ1" s="260" t="s">
        <v>2033</v>
      </c>
      <c r="AK1" s="260" t="s">
        <v>2034</v>
      </c>
      <c r="AL1" s="260" t="s">
        <v>2035</v>
      </c>
      <c r="AM1" s="260" t="s">
        <v>2036</v>
      </c>
      <c r="AN1" s="260" t="s">
        <v>2037</v>
      </c>
      <c r="AO1" s="260" t="s">
        <v>2038</v>
      </c>
      <c r="AP1" s="260" t="s">
        <v>2039</v>
      </c>
      <c r="AQ1" s="260" t="s">
        <v>2040</v>
      </c>
      <c r="AR1" s="260" t="s">
        <v>2041</v>
      </c>
      <c r="AS1" s="260" t="s">
        <v>2042</v>
      </c>
      <c r="AT1" s="260" t="s">
        <v>2043</v>
      </c>
      <c r="AU1" s="261" t="s">
        <v>2044</v>
      </c>
    </row>
    <row r="2" spans="1:47" ht="60" customHeight="1" outlineLevel="1" x14ac:dyDescent="0.35">
      <c r="A2" s="251" t="s">
        <v>4811</v>
      </c>
      <c r="B2" s="229"/>
      <c r="C2" s="229"/>
      <c r="D2" s="233"/>
      <c r="E2" s="229"/>
      <c r="F2" s="237"/>
      <c r="G2" s="240" t="str">
        <f>IF(COUNTIF(H2:AU2,"&lt;&gt;")=0,"",SUMPRODUCT(((Recommendations[ImplStatus]="Implemented")+(Recommendations[ImplStatus]="Compensated"))*ISNUMBER(MATCH(Recommendations[Id],H2:AU2,0)))/COUNTIF(H2:AU2,"&lt;&gt;"))</f>
        <v/>
      </c>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55"/>
    </row>
    <row r="3" spans="1:47" ht="60" customHeight="1" outlineLevel="2" x14ac:dyDescent="0.35">
      <c r="A3" s="252" t="s">
        <v>4811</v>
      </c>
      <c r="B3" s="230" t="s">
        <v>4812</v>
      </c>
      <c r="C3" s="230"/>
      <c r="D3" s="234"/>
      <c r="E3" s="230"/>
      <c r="F3" s="238"/>
      <c r="G3" s="241" t="str">
        <f>IF(COUNTIF(H3:AU3,"&lt;&gt;")=0,"",SUMPRODUCT(((Recommendations[ImplStatus]="Implemented")+(Recommendations[ImplStatus]="Compensated"))*ISNUMBER(MATCH(Recommendations[Id],H3:AU3,0)))/COUNTIF(H3:AU3,"&lt;&gt;"))</f>
        <v/>
      </c>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56"/>
    </row>
    <row r="4" spans="1:47" ht="60" customHeight="1" x14ac:dyDescent="0.35">
      <c r="A4" s="253" t="s">
        <v>4811</v>
      </c>
      <c r="B4" s="231" t="s">
        <v>4812</v>
      </c>
      <c r="C4" s="232" t="s">
        <v>4813</v>
      </c>
      <c r="D4" s="235" t="s">
        <v>4814</v>
      </c>
      <c r="E4" s="236" t="s">
        <v>4815</v>
      </c>
      <c r="F4" s="239" t="s">
        <v>4816</v>
      </c>
      <c r="G4" s="242" t="str">
        <f>IF(COUNTIF(H4:AU4,"&lt;&gt;")=0,"",SUMPRODUCT(((Recommendations[ImplStatus]="Implemented")+(Recommendations[ImplStatus]="Compensated"))*ISNUMBER(MATCH(Recommendations[Id],H4:AU4,0)))/COUNTIF(H4:AU4,"&lt;&gt;"))</f>
        <v/>
      </c>
      <c r="H4" s="243"/>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57"/>
    </row>
    <row r="5" spans="1:47" ht="60" customHeight="1" x14ac:dyDescent="0.35">
      <c r="A5" s="253" t="s">
        <v>4811</v>
      </c>
      <c r="B5" s="231" t="s">
        <v>4812</v>
      </c>
      <c r="C5" s="232" t="s">
        <v>4817</v>
      </c>
      <c r="D5" s="235" t="s">
        <v>4818</v>
      </c>
      <c r="E5" s="236" t="s">
        <v>4815</v>
      </c>
      <c r="F5" s="239" t="s">
        <v>4816</v>
      </c>
      <c r="G5" s="242" t="str">
        <f>IF(COUNTIF(H5:AU5,"&lt;&gt;")=0,"",SUMPRODUCT(((Recommendations[ImplStatus]="Implemented")+(Recommendations[ImplStatus]="Compensated"))*ISNUMBER(MATCH(Recommendations[Id],H5:AU5,0)))/COUNTIF(H5:AU5,"&lt;&gt;"))</f>
        <v/>
      </c>
      <c r="H5" s="243"/>
      <c r="I5" s="243"/>
      <c r="J5" s="243"/>
      <c r="K5" s="243"/>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57"/>
    </row>
    <row r="6" spans="1:47" ht="60" customHeight="1" x14ac:dyDescent="0.35">
      <c r="A6" s="253" t="s">
        <v>4811</v>
      </c>
      <c r="B6" s="231" t="s">
        <v>4812</v>
      </c>
      <c r="C6" s="232" t="s">
        <v>4819</v>
      </c>
      <c r="D6" s="235" t="s">
        <v>4820</v>
      </c>
      <c r="E6" s="236" t="s">
        <v>4815</v>
      </c>
      <c r="F6" s="239" t="s">
        <v>4816</v>
      </c>
      <c r="G6" s="242" t="str">
        <f>IF(COUNTIF(H6:AU6,"&lt;&gt;")=0,"",SUMPRODUCT(((Recommendations[ImplStatus]="Implemented")+(Recommendations[ImplStatus]="Compensated"))*ISNUMBER(MATCH(Recommendations[Id],H6:AU6,0)))/COUNTIF(H6:AU6,"&lt;&gt;"))</f>
        <v/>
      </c>
      <c r="H6" s="243"/>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57"/>
    </row>
    <row r="7" spans="1:47" ht="60" customHeight="1" x14ac:dyDescent="0.35">
      <c r="A7" s="253" t="s">
        <v>4811</v>
      </c>
      <c r="B7" s="231" t="s">
        <v>4812</v>
      </c>
      <c r="C7" s="232" t="s">
        <v>4821</v>
      </c>
      <c r="D7" s="235" t="s">
        <v>4822</v>
      </c>
      <c r="E7" s="236" t="s">
        <v>4815</v>
      </c>
      <c r="F7" s="239" t="s">
        <v>4816</v>
      </c>
      <c r="G7" s="242" t="str">
        <f>IF(COUNTIF(H7:AU7,"&lt;&gt;")=0,"",SUMPRODUCT(((Recommendations[ImplStatus]="Implemented")+(Recommendations[ImplStatus]="Compensated"))*ISNUMBER(MATCH(Recommendations[Id],H7:AU7,0)))/COUNTIF(H7:AU7,"&lt;&gt;"))</f>
        <v/>
      </c>
      <c r="H7" s="243"/>
      <c r="I7" s="243"/>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57"/>
    </row>
    <row r="8" spans="1:47" ht="60" customHeight="1" x14ac:dyDescent="0.35">
      <c r="A8" s="253" t="s">
        <v>4811</v>
      </c>
      <c r="B8" s="231" t="s">
        <v>4812</v>
      </c>
      <c r="C8" s="232" t="s">
        <v>4823</v>
      </c>
      <c r="D8" s="235" t="s">
        <v>4824</v>
      </c>
      <c r="E8" s="236" t="s">
        <v>4815</v>
      </c>
      <c r="F8" s="239" t="s">
        <v>4816</v>
      </c>
      <c r="G8" s="242" t="str">
        <f>IF(COUNTIF(H8:AU8,"&lt;&gt;")=0,"",SUMPRODUCT(((Recommendations[ImplStatus]="Implemented")+(Recommendations[ImplStatus]="Compensated"))*ISNUMBER(MATCH(Recommendations[Id],H8:AU8,0)))/COUNTIF(H8:AU8,"&lt;&gt;"))</f>
        <v/>
      </c>
      <c r="H8" s="243"/>
      <c r="I8" s="243"/>
      <c r="J8" s="243"/>
      <c r="K8" s="243"/>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57"/>
    </row>
    <row r="9" spans="1:47" ht="60" customHeight="1" x14ac:dyDescent="0.35">
      <c r="A9" s="253" t="s">
        <v>4811</v>
      </c>
      <c r="B9" s="231" t="s">
        <v>4812</v>
      </c>
      <c r="C9" s="232" t="s">
        <v>4825</v>
      </c>
      <c r="D9" s="235" t="s">
        <v>4826</v>
      </c>
      <c r="E9" s="236" t="s">
        <v>4815</v>
      </c>
      <c r="F9" s="239" t="s">
        <v>4816</v>
      </c>
      <c r="G9" s="242" t="str">
        <f>IF(COUNTIF(H9:AU9,"&lt;&gt;")=0,"",SUMPRODUCT(((Recommendations[ImplStatus]="Implemented")+(Recommendations[ImplStatus]="Compensated"))*ISNUMBER(MATCH(Recommendations[Id],H9:AU9,0)))/COUNTIF(H9:AU9,"&lt;&gt;"))</f>
        <v/>
      </c>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57"/>
    </row>
    <row r="10" spans="1:47" ht="60" customHeight="1" x14ac:dyDescent="0.35">
      <c r="A10" s="253" t="s">
        <v>4811</v>
      </c>
      <c r="B10" s="231" t="s">
        <v>4812</v>
      </c>
      <c r="C10" s="232" t="s">
        <v>4827</v>
      </c>
      <c r="D10" s="235" t="s">
        <v>4828</v>
      </c>
      <c r="E10" s="236" t="s">
        <v>4815</v>
      </c>
      <c r="F10" s="239" t="s">
        <v>4816</v>
      </c>
      <c r="G10" s="242" t="str">
        <f>IF(COUNTIF(H10:AU10,"&lt;&gt;")=0,"",SUMPRODUCT(((Recommendations[ImplStatus]="Implemented")+(Recommendations[ImplStatus]="Compensated"))*ISNUMBER(MATCH(Recommendations[Id],H10:AU10,0)))/COUNTIF(H10:AU10,"&lt;&gt;"))</f>
        <v/>
      </c>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57"/>
    </row>
    <row r="11" spans="1:47" ht="60" customHeight="1" x14ac:dyDescent="0.35">
      <c r="A11" s="253" t="s">
        <v>4811</v>
      </c>
      <c r="B11" s="231" t="s">
        <v>4812</v>
      </c>
      <c r="C11" s="232" t="s">
        <v>4829</v>
      </c>
      <c r="D11" s="235" t="s">
        <v>4830</v>
      </c>
      <c r="E11" s="236" t="s">
        <v>4815</v>
      </c>
      <c r="F11" s="239" t="s">
        <v>4816</v>
      </c>
      <c r="G11" s="242" t="str">
        <f>IF(COUNTIF(H11:AU11,"&lt;&gt;")=0,"",SUMPRODUCT(((Recommendations[ImplStatus]="Implemented")+(Recommendations[ImplStatus]="Compensated"))*ISNUMBER(MATCH(Recommendations[Id],H11:AU11,0)))/COUNTIF(H11:AU11,"&lt;&gt;"))</f>
        <v/>
      </c>
      <c r="H11" s="243"/>
      <c r="I11" s="243"/>
      <c r="J11" s="243"/>
      <c r="K11" s="243"/>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57"/>
    </row>
    <row r="12" spans="1:47" ht="60" customHeight="1" x14ac:dyDescent="0.35">
      <c r="A12" s="253" t="s">
        <v>4811</v>
      </c>
      <c r="B12" s="231" t="s">
        <v>4812</v>
      </c>
      <c r="C12" s="232" t="s">
        <v>4831</v>
      </c>
      <c r="D12" s="235" t="s">
        <v>4832</v>
      </c>
      <c r="E12" s="236" t="s">
        <v>4815</v>
      </c>
      <c r="F12" s="239" t="s">
        <v>4816</v>
      </c>
      <c r="G12" s="242" t="str">
        <f>IF(COUNTIF(H12:AU12,"&lt;&gt;")=0,"",SUMPRODUCT(((Recommendations[ImplStatus]="Implemented")+(Recommendations[ImplStatus]="Compensated"))*ISNUMBER(MATCH(Recommendations[Id],H12:AU12,0)))/COUNTIF(H12:AU12,"&lt;&gt;"))</f>
        <v/>
      </c>
      <c r="H12" s="243"/>
      <c r="I12" s="243"/>
      <c r="J12" s="243"/>
      <c r="K12" s="243"/>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57"/>
    </row>
    <row r="13" spans="1:47" ht="60" customHeight="1" x14ac:dyDescent="0.35">
      <c r="A13" s="253" t="s">
        <v>4811</v>
      </c>
      <c r="B13" s="231" t="s">
        <v>4812</v>
      </c>
      <c r="C13" s="232" t="s">
        <v>4833</v>
      </c>
      <c r="D13" s="235" t="s">
        <v>4834</v>
      </c>
      <c r="E13" s="236" t="s">
        <v>4815</v>
      </c>
      <c r="F13" s="239" t="s">
        <v>4816</v>
      </c>
      <c r="G13" s="242" t="str">
        <f>IF(COUNTIF(H13:AU13,"&lt;&gt;")=0,"",SUMPRODUCT(((Recommendations[ImplStatus]="Implemented")+(Recommendations[ImplStatus]="Compensated"))*ISNUMBER(MATCH(Recommendations[Id],H13:AU13,0)))/COUNTIF(H13:AU13,"&lt;&gt;"))</f>
        <v/>
      </c>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57"/>
    </row>
    <row r="14" spans="1:47" ht="60" customHeight="1" x14ac:dyDescent="0.35">
      <c r="A14" s="253" t="s">
        <v>4811</v>
      </c>
      <c r="B14" s="231" t="s">
        <v>4812</v>
      </c>
      <c r="C14" s="232" t="s">
        <v>4835</v>
      </c>
      <c r="D14" s="235" t="s">
        <v>4836</v>
      </c>
      <c r="E14" s="236" t="s">
        <v>4815</v>
      </c>
      <c r="F14" s="239" t="s">
        <v>4816</v>
      </c>
      <c r="G14" s="242" t="str">
        <f>IF(COUNTIF(H14:AU14,"&lt;&gt;")=0,"",SUMPRODUCT(((Recommendations[ImplStatus]="Implemented")+(Recommendations[ImplStatus]="Compensated"))*ISNUMBER(MATCH(Recommendations[Id],H14:AU14,0)))/COUNTIF(H14:AU14,"&lt;&gt;"))</f>
        <v/>
      </c>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57"/>
    </row>
    <row r="15" spans="1:47" ht="60" customHeight="1" x14ac:dyDescent="0.35">
      <c r="A15" s="253" t="s">
        <v>4811</v>
      </c>
      <c r="B15" s="231" t="s">
        <v>4812</v>
      </c>
      <c r="C15" s="232" t="s">
        <v>4837</v>
      </c>
      <c r="D15" s="235" t="s">
        <v>4838</v>
      </c>
      <c r="E15" s="236" t="s">
        <v>4815</v>
      </c>
      <c r="F15" s="239" t="s">
        <v>4816</v>
      </c>
      <c r="G15" s="242" t="str">
        <f>IF(COUNTIF(H15:AU15,"&lt;&gt;")=0,"",SUMPRODUCT(((Recommendations[ImplStatus]="Implemented")+(Recommendations[ImplStatus]="Compensated"))*ISNUMBER(MATCH(Recommendations[Id],H15:AU15,0)))/COUNTIF(H15:AU15,"&lt;&gt;"))</f>
        <v/>
      </c>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57"/>
    </row>
    <row r="16" spans="1:47" ht="60" customHeight="1" x14ac:dyDescent="0.35">
      <c r="A16" s="253" t="s">
        <v>4811</v>
      </c>
      <c r="B16" s="231" t="s">
        <v>4812</v>
      </c>
      <c r="C16" s="232" t="s">
        <v>4839</v>
      </c>
      <c r="D16" s="235" t="s">
        <v>4840</v>
      </c>
      <c r="E16" s="236" t="s">
        <v>4815</v>
      </c>
      <c r="F16" s="239" t="s">
        <v>4816</v>
      </c>
      <c r="G16" s="242" t="str">
        <f>IF(COUNTIF(H16:AU16,"&lt;&gt;")=0,"",SUMPRODUCT(((Recommendations[ImplStatus]="Implemented")+(Recommendations[ImplStatus]="Compensated"))*ISNUMBER(MATCH(Recommendations[Id],H16:AU16,0)))/COUNTIF(H16:AU16,"&lt;&gt;"))</f>
        <v/>
      </c>
      <c r="H16" s="243"/>
      <c r="I16" s="243"/>
      <c r="J16" s="243"/>
      <c r="K16" s="243"/>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57"/>
    </row>
    <row r="17" spans="1:47" ht="60" customHeight="1" outlineLevel="2" x14ac:dyDescent="0.35">
      <c r="A17" s="252" t="s">
        <v>4811</v>
      </c>
      <c r="B17" s="230" t="s">
        <v>4841</v>
      </c>
      <c r="C17" s="230"/>
      <c r="D17" s="234"/>
      <c r="E17" s="230"/>
      <c r="F17" s="238"/>
      <c r="G17" s="241" t="str">
        <f>IF(COUNTIF(H17:AU17,"&lt;&gt;")=0,"",SUMPRODUCT(((Recommendations[ImplStatus]="Implemented")+(Recommendations[ImplStatus]="Compensated"))*ISNUMBER(MATCH(Recommendations[Id],H17:AU17,0)))/COUNTIF(H17:AU17,"&lt;&gt;"))</f>
        <v/>
      </c>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56"/>
    </row>
    <row r="18" spans="1:47" ht="60" customHeight="1" x14ac:dyDescent="0.35">
      <c r="A18" s="253" t="s">
        <v>4811</v>
      </c>
      <c r="B18" s="231" t="s">
        <v>4841</v>
      </c>
      <c r="C18" s="232" t="s">
        <v>4842</v>
      </c>
      <c r="D18" s="235" t="s">
        <v>4843</v>
      </c>
      <c r="E18" s="236" t="s">
        <v>4844</v>
      </c>
      <c r="F18" s="239" t="s">
        <v>4845</v>
      </c>
      <c r="G18" s="242" t="str">
        <f>IF(COUNTIF(H18:AU18,"&lt;&gt;")=0,"",SUMPRODUCT(((Recommendations[ImplStatus]="Implemented")+(Recommendations[ImplStatus]="Compensated"))*ISNUMBER(MATCH(Recommendations[Id],H18:AU18,0)))/COUNTIF(H18:AU18,"&lt;&gt;"))</f>
        <v/>
      </c>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57"/>
    </row>
    <row r="19" spans="1:47" ht="60" customHeight="1" x14ac:dyDescent="0.35">
      <c r="A19" s="253" t="s">
        <v>4811</v>
      </c>
      <c r="B19" s="231" t="s">
        <v>4841</v>
      </c>
      <c r="C19" s="232" t="s">
        <v>4846</v>
      </c>
      <c r="D19" s="235" t="s">
        <v>4847</v>
      </c>
      <c r="E19" s="236" t="s">
        <v>4844</v>
      </c>
      <c r="F19" s="239" t="s">
        <v>4845</v>
      </c>
      <c r="G19" s="242" t="str">
        <f>IF(COUNTIF(H19:AU19,"&lt;&gt;")=0,"",SUMPRODUCT(((Recommendations[ImplStatus]="Implemented")+(Recommendations[ImplStatus]="Compensated"))*ISNUMBER(MATCH(Recommendations[Id],H19:AU19,0)))/COUNTIF(H19:AU19,"&lt;&gt;"))</f>
        <v/>
      </c>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57"/>
    </row>
    <row r="20" spans="1:47" ht="60" customHeight="1" x14ac:dyDescent="0.35">
      <c r="A20" s="253" t="s">
        <v>4811</v>
      </c>
      <c r="B20" s="231" t="s">
        <v>4841</v>
      </c>
      <c r="C20" s="232" t="s">
        <v>4848</v>
      </c>
      <c r="D20" s="235" t="s">
        <v>4849</v>
      </c>
      <c r="E20" s="236" t="s">
        <v>4844</v>
      </c>
      <c r="F20" s="239" t="s">
        <v>4845</v>
      </c>
      <c r="G20" s="242" t="str">
        <f>IF(COUNTIF(H20:AU20,"&lt;&gt;")=0,"",SUMPRODUCT(((Recommendations[ImplStatus]="Implemented")+(Recommendations[ImplStatus]="Compensated"))*ISNUMBER(MATCH(Recommendations[Id],H20:AU20,0)))/COUNTIF(H20:AU20,"&lt;&gt;"))</f>
        <v/>
      </c>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57"/>
    </row>
    <row r="21" spans="1:47" ht="60" customHeight="1" x14ac:dyDescent="0.35">
      <c r="A21" s="253" t="s">
        <v>4811</v>
      </c>
      <c r="B21" s="231" t="s">
        <v>4841</v>
      </c>
      <c r="C21" s="232" t="s">
        <v>4850</v>
      </c>
      <c r="D21" s="235" t="s">
        <v>4851</v>
      </c>
      <c r="E21" s="236" t="s">
        <v>4844</v>
      </c>
      <c r="F21" s="239" t="s">
        <v>4845</v>
      </c>
      <c r="G21" s="242" t="str">
        <f>IF(COUNTIF(H21:AU21,"&lt;&gt;")=0,"",SUMPRODUCT(((Recommendations[ImplStatus]="Implemented")+(Recommendations[ImplStatus]="Compensated"))*ISNUMBER(MATCH(Recommendations[Id],H21:AU21,0)))/COUNTIF(H21:AU21,"&lt;&gt;"))</f>
        <v/>
      </c>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57"/>
    </row>
    <row r="22" spans="1:47" ht="60" customHeight="1" x14ac:dyDescent="0.35">
      <c r="A22" s="253" t="s">
        <v>4811</v>
      </c>
      <c r="B22" s="231" t="s">
        <v>4841</v>
      </c>
      <c r="C22" s="232" t="s">
        <v>4852</v>
      </c>
      <c r="D22" s="235" t="s">
        <v>4853</v>
      </c>
      <c r="E22" s="236" t="s">
        <v>4844</v>
      </c>
      <c r="F22" s="239" t="s">
        <v>4845</v>
      </c>
      <c r="G22" s="242" t="str">
        <f>IF(COUNTIF(H22:AU22,"&lt;&gt;")=0,"",SUMPRODUCT(((Recommendations[ImplStatus]="Implemented")+(Recommendations[ImplStatus]="Compensated"))*ISNUMBER(MATCH(Recommendations[Id],H22:AU22,0)))/COUNTIF(H22:AU22,"&lt;&gt;"))</f>
        <v/>
      </c>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57"/>
    </row>
    <row r="23" spans="1:47" ht="60" customHeight="1" x14ac:dyDescent="0.35">
      <c r="A23" s="253" t="s">
        <v>4811</v>
      </c>
      <c r="B23" s="231" t="s">
        <v>4841</v>
      </c>
      <c r="C23" s="232" t="s">
        <v>4854</v>
      </c>
      <c r="D23" s="235" t="s">
        <v>4855</v>
      </c>
      <c r="E23" s="236" t="s">
        <v>4815</v>
      </c>
      <c r="F23" s="239" t="s">
        <v>4816</v>
      </c>
      <c r="G23" s="242" t="str">
        <f>IF(COUNTIF(H23:AU23,"&lt;&gt;")=0,"",SUMPRODUCT(((Recommendations[ImplStatus]="Implemented")+(Recommendations[ImplStatus]="Compensated"))*ISNUMBER(MATCH(Recommendations[Id],H23:AU23,0)))/COUNTIF(H23:AU23,"&lt;&gt;"))</f>
        <v/>
      </c>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57"/>
    </row>
    <row r="24" spans="1:47" ht="60" customHeight="1" x14ac:dyDescent="0.35">
      <c r="A24" s="253" t="s">
        <v>4811</v>
      </c>
      <c r="B24" s="231" t="s">
        <v>4841</v>
      </c>
      <c r="C24" s="232" t="s">
        <v>4856</v>
      </c>
      <c r="D24" s="235" t="s">
        <v>4857</v>
      </c>
      <c r="E24" s="236" t="s">
        <v>4815</v>
      </c>
      <c r="F24" s="239" t="s">
        <v>4816</v>
      </c>
      <c r="G24" s="242" t="str">
        <f>IF(COUNTIF(H24:AU24,"&lt;&gt;")=0,"",SUMPRODUCT(((Recommendations[ImplStatus]="Implemented")+(Recommendations[ImplStatus]="Compensated"))*ISNUMBER(MATCH(Recommendations[Id],H24:AU24,0)))/COUNTIF(H24:AU24,"&lt;&gt;"))</f>
        <v/>
      </c>
      <c r="H24" s="243"/>
      <c r="I24" s="243"/>
      <c r="J24" s="243"/>
      <c r="K24" s="243"/>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57"/>
    </row>
    <row r="25" spans="1:47" ht="60" customHeight="1" x14ac:dyDescent="0.35">
      <c r="A25" s="253" t="s">
        <v>4811</v>
      </c>
      <c r="B25" s="231" t="s">
        <v>4841</v>
      </c>
      <c r="C25" s="232" t="s">
        <v>4858</v>
      </c>
      <c r="D25" s="235" t="s">
        <v>4859</v>
      </c>
      <c r="E25" s="236" t="s">
        <v>4815</v>
      </c>
      <c r="F25" s="239" t="s">
        <v>4860</v>
      </c>
      <c r="G25" s="242" t="str">
        <f>IF(COUNTIF(H25:AU25,"&lt;&gt;")=0,"",SUMPRODUCT(((Recommendations[ImplStatus]="Implemented")+(Recommendations[ImplStatus]="Compensated"))*ISNUMBER(MATCH(Recommendations[Id],H25:AU25,0)))/COUNTIF(H25:AU25,"&lt;&gt;"))</f>
        <v/>
      </c>
      <c r="H25" s="243"/>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57"/>
    </row>
    <row r="26" spans="1:47" ht="60" customHeight="1" x14ac:dyDescent="0.35">
      <c r="A26" s="253" t="s">
        <v>4811</v>
      </c>
      <c r="B26" s="231" t="s">
        <v>4841</v>
      </c>
      <c r="C26" s="232" t="s">
        <v>4861</v>
      </c>
      <c r="D26" s="235" t="s">
        <v>4862</v>
      </c>
      <c r="E26" s="236" t="s">
        <v>4815</v>
      </c>
      <c r="F26" s="239" t="s">
        <v>4860</v>
      </c>
      <c r="G26" s="242" t="str">
        <f>IF(COUNTIF(H26:AU26,"&lt;&gt;")=0,"",SUMPRODUCT(((Recommendations[ImplStatus]="Implemented")+(Recommendations[ImplStatus]="Compensated"))*ISNUMBER(MATCH(Recommendations[Id],H26:AU26,0)))/COUNTIF(H26:AU26,"&lt;&gt;"))</f>
        <v/>
      </c>
      <c r="H26" s="243"/>
      <c r="I26" s="243"/>
      <c r="J26" s="243"/>
      <c r="K26" s="243"/>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57"/>
    </row>
    <row r="27" spans="1:47" ht="60" customHeight="1" x14ac:dyDescent="0.35">
      <c r="A27" s="253" t="s">
        <v>4811</v>
      </c>
      <c r="B27" s="231" t="s">
        <v>4841</v>
      </c>
      <c r="C27" s="232" t="s">
        <v>4863</v>
      </c>
      <c r="D27" s="235" t="s">
        <v>4864</v>
      </c>
      <c r="E27" s="236" t="s">
        <v>4815</v>
      </c>
      <c r="F27" s="239" t="s">
        <v>4860</v>
      </c>
      <c r="G27" s="242" t="str">
        <f>IF(COUNTIF(H27:AU27,"&lt;&gt;")=0,"",SUMPRODUCT(((Recommendations[ImplStatus]="Implemented")+(Recommendations[ImplStatus]="Compensated"))*ISNUMBER(MATCH(Recommendations[Id],H27:AU27,0)))/COUNTIF(H27:AU27,"&lt;&gt;"))</f>
        <v/>
      </c>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57"/>
    </row>
    <row r="28" spans="1:47" ht="60" customHeight="1" x14ac:dyDescent="0.35">
      <c r="A28" s="253" t="s">
        <v>4811</v>
      </c>
      <c r="B28" s="231" t="s">
        <v>4841</v>
      </c>
      <c r="C28" s="232" t="s">
        <v>4865</v>
      </c>
      <c r="D28" s="235" t="s">
        <v>4866</v>
      </c>
      <c r="E28" s="236" t="s">
        <v>4815</v>
      </c>
      <c r="F28" s="239" t="s">
        <v>4860</v>
      </c>
      <c r="G28" s="242" t="str">
        <f>IF(COUNTIF(H28:AU28,"&lt;&gt;")=0,"",SUMPRODUCT(((Recommendations[ImplStatus]="Implemented")+(Recommendations[ImplStatus]="Compensated"))*ISNUMBER(MATCH(Recommendations[Id],H28:AU28,0)))/COUNTIF(H28:AU28,"&lt;&gt;"))</f>
        <v/>
      </c>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57"/>
    </row>
    <row r="29" spans="1:47" ht="60" customHeight="1" x14ac:dyDescent="0.35">
      <c r="A29" s="253" t="s">
        <v>4811</v>
      </c>
      <c r="B29" s="231" t="s">
        <v>4841</v>
      </c>
      <c r="C29" s="232" t="s">
        <v>4867</v>
      </c>
      <c r="D29" s="235" t="s">
        <v>4868</v>
      </c>
      <c r="E29" s="236" t="s">
        <v>4815</v>
      </c>
      <c r="F29" s="239" t="s">
        <v>4860</v>
      </c>
      <c r="G29" s="242" t="str">
        <f>IF(COUNTIF(H29:AU29,"&lt;&gt;")=0,"",SUMPRODUCT(((Recommendations[ImplStatus]="Implemented")+(Recommendations[ImplStatus]="Compensated"))*ISNUMBER(MATCH(Recommendations[Id],H29:AU29,0)))/COUNTIF(H29:AU29,"&lt;&gt;"))</f>
        <v/>
      </c>
      <c r="H29" s="243"/>
      <c r="I29" s="243"/>
      <c r="J29" s="243"/>
      <c r="K29" s="243"/>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57"/>
    </row>
    <row r="30" spans="1:47" ht="60" customHeight="1" x14ac:dyDescent="0.35">
      <c r="A30" s="253" t="s">
        <v>4811</v>
      </c>
      <c r="B30" s="231" t="s">
        <v>4841</v>
      </c>
      <c r="C30" s="232" t="s">
        <v>4869</v>
      </c>
      <c r="D30" s="235" t="s">
        <v>4870</v>
      </c>
      <c r="E30" s="236" t="s">
        <v>4815</v>
      </c>
      <c r="F30" s="239" t="s">
        <v>4860</v>
      </c>
      <c r="G30" s="242" t="str">
        <f>IF(COUNTIF(H30:AU30,"&lt;&gt;")=0,"",SUMPRODUCT(((Recommendations[ImplStatus]="Implemented")+(Recommendations[ImplStatus]="Compensated"))*ISNUMBER(MATCH(Recommendations[Id],H30:AU30,0)))/COUNTIF(H30:AU30,"&lt;&gt;"))</f>
        <v/>
      </c>
      <c r="H30" s="243"/>
      <c r="I30" s="243"/>
      <c r="J30" s="243"/>
      <c r="K30" s="243"/>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57"/>
    </row>
    <row r="31" spans="1:47" ht="60" customHeight="1" x14ac:dyDescent="0.35">
      <c r="A31" s="253" t="s">
        <v>4811</v>
      </c>
      <c r="B31" s="231" t="s">
        <v>4841</v>
      </c>
      <c r="C31" s="232" t="s">
        <v>4871</v>
      </c>
      <c r="D31" s="235" t="s">
        <v>4872</v>
      </c>
      <c r="E31" s="236" t="s">
        <v>4815</v>
      </c>
      <c r="F31" s="239" t="s">
        <v>4860</v>
      </c>
      <c r="G31" s="242" t="str">
        <f>IF(COUNTIF(H31:AU31,"&lt;&gt;")=0,"",SUMPRODUCT(((Recommendations[ImplStatus]="Implemented")+(Recommendations[ImplStatus]="Compensated"))*ISNUMBER(MATCH(Recommendations[Id],H31:AU31,0)))/COUNTIF(H31:AU31,"&lt;&gt;"))</f>
        <v/>
      </c>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57"/>
    </row>
    <row r="32" spans="1:47" ht="60" customHeight="1" x14ac:dyDescent="0.35">
      <c r="A32" s="253" t="s">
        <v>4811</v>
      </c>
      <c r="B32" s="231" t="s">
        <v>4841</v>
      </c>
      <c r="C32" s="232" t="s">
        <v>4873</v>
      </c>
      <c r="D32" s="235" t="s">
        <v>4874</v>
      </c>
      <c r="E32" s="236" t="s">
        <v>4815</v>
      </c>
      <c r="F32" s="239" t="s">
        <v>4860</v>
      </c>
      <c r="G32" s="242" t="str">
        <f>IF(COUNTIF(H32:AU32,"&lt;&gt;")=0,"",SUMPRODUCT(((Recommendations[ImplStatus]="Implemented")+(Recommendations[ImplStatus]="Compensated"))*ISNUMBER(MATCH(Recommendations[Id],H32:AU32,0)))/COUNTIF(H32:AU32,"&lt;&gt;"))</f>
        <v/>
      </c>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57"/>
    </row>
    <row r="33" spans="1:47" ht="60" customHeight="1" x14ac:dyDescent="0.35">
      <c r="A33" s="253" t="s">
        <v>4811</v>
      </c>
      <c r="B33" s="231" t="s">
        <v>4841</v>
      </c>
      <c r="C33" s="232" t="s">
        <v>4875</v>
      </c>
      <c r="D33" s="235" t="s">
        <v>4876</v>
      </c>
      <c r="E33" s="236" t="s">
        <v>4844</v>
      </c>
      <c r="F33" s="239" t="s">
        <v>4845</v>
      </c>
      <c r="G33" s="242" t="str">
        <f>IF(COUNTIF(H33:AU33,"&lt;&gt;")=0,"",SUMPRODUCT(((Recommendations[ImplStatus]="Implemented")+(Recommendations[ImplStatus]="Compensated"))*ISNUMBER(MATCH(Recommendations[Id],H33:AU33,0)))/COUNTIF(H33:AU33,"&lt;&gt;"))</f>
        <v/>
      </c>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57"/>
    </row>
    <row r="34" spans="1:47" ht="60" customHeight="1" x14ac:dyDescent="0.35">
      <c r="A34" s="253" t="s">
        <v>4811</v>
      </c>
      <c r="B34" s="231" t="s">
        <v>4841</v>
      </c>
      <c r="C34" s="232" t="s">
        <v>4877</v>
      </c>
      <c r="D34" s="235" t="s">
        <v>4878</v>
      </c>
      <c r="E34" s="236" t="s">
        <v>4815</v>
      </c>
      <c r="F34" s="239" t="s">
        <v>4860</v>
      </c>
      <c r="G34" s="242" t="str">
        <f>IF(COUNTIF(H34:AU34,"&lt;&gt;")=0,"",SUMPRODUCT(((Recommendations[ImplStatus]="Implemented")+(Recommendations[ImplStatus]="Compensated"))*ISNUMBER(MATCH(Recommendations[Id],H34:AU34,0)))/COUNTIF(H34:AU34,"&lt;&gt;"))</f>
        <v/>
      </c>
      <c r="H34" s="243"/>
      <c r="I34" s="243"/>
      <c r="J34" s="243"/>
      <c r="K34" s="243"/>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57"/>
    </row>
    <row r="35" spans="1:47" ht="60" customHeight="1" outlineLevel="2" x14ac:dyDescent="0.35">
      <c r="A35" s="252" t="s">
        <v>4811</v>
      </c>
      <c r="B35" s="230" t="s">
        <v>4879</v>
      </c>
      <c r="C35" s="230"/>
      <c r="D35" s="234"/>
      <c r="E35" s="230"/>
      <c r="F35" s="238"/>
      <c r="G35" s="241" t="str">
        <f>IF(COUNTIF(H35:AU35,"&lt;&gt;")=0,"",SUMPRODUCT(((Recommendations[ImplStatus]="Implemented")+(Recommendations[ImplStatus]="Compensated"))*ISNUMBER(MATCH(Recommendations[Id],H35:AU35,0)))/COUNTIF(H35:AU35,"&lt;&gt;"))</f>
        <v/>
      </c>
      <c r="H35" s="238"/>
      <c r="I35" s="238"/>
      <c r="J35" s="23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56"/>
    </row>
    <row r="36" spans="1:47" ht="60" customHeight="1" x14ac:dyDescent="0.35">
      <c r="A36" s="253" t="s">
        <v>4811</v>
      </c>
      <c r="B36" s="231" t="s">
        <v>4879</v>
      </c>
      <c r="C36" s="232" t="s">
        <v>4880</v>
      </c>
      <c r="D36" s="235" t="s">
        <v>4881</v>
      </c>
      <c r="E36" s="236" t="s">
        <v>4815</v>
      </c>
      <c r="F36" s="239" t="s">
        <v>4860</v>
      </c>
      <c r="G36" s="242" t="str">
        <f>IF(COUNTIF(H36:AU36,"&lt;&gt;")=0,"",SUMPRODUCT(((Recommendations[ImplStatus]="Implemented")+(Recommendations[ImplStatus]="Compensated"))*ISNUMBER(MATCH(Recommendations[Id],H36:AU36,0)))/COUNTIF(H36:AU36,"&lt;&gt;"))</f>
        <v/>
      </c>
      <c r="H36" s="243"/>
      <c r="I36" s="243"/>
      <c r="J36" s="243"/>
      <c r="K36" s="243"/>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57"/>
    </row>
    <row r="37" spans="1:47" ht="60" customHeight="1" x14ac:dyDescent="0.35">
      <c r="A37" s="253" t="s">
        <v>4811</v>
      </c>
      <c r="B37" s="231" t="s">
        <v>4879</v>
      </c>
      <c r="C37" s="232" t="s">
        <v>4882</v>
      </c>
      <c r="D37" s="235" t="s">
        <v>4883</v>
      </c>
      <c r="E37" s="236" t="s">
        <v>4815</v>
      </c>
      <c r="F37" s="239" t="s">
        <v>4884</v>
      </c>
      <c r="G37" s="242" t="str">
        <f>IF(COUNTIF(H37:AU37,"&lt;&gt;")=0,"",SUMPRODUCT(((Recommendations[ImplStatus]="Implemented")+(Recommendations[ImplStatus]="Compensated"))*ISNUMBER(MATCH(Recommendations[Id],H37:AU37,0)))/COUNTIF(H37:AU37,"&lt;&gt;"))</f>
        <v/>
      </c>
      <c r="H37" s="243"/>
      <c r="I37" s="243"/>
      <c r="J37" s="243"/>
      <c r="K37" s="243"/>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57"/>
    </row>
    <row r="38" spans="1:47" ht="60" customHeight="1" x14ac:dyDescent="0.35">
      <c r="A38" s="253" t="s">
        <v>4811</v>
      </c>
      <c r="B38" s="231" t="s">
        <v>4879</v>
      </c>
      <c r="C38" s="232" t="s">
        <v>4885</v>
      </c>
      <c r="D38" s="235" t="s">
        <v>4886</v>
      </c>
      <c r="E38" s="236" t="s">
        <v>4815</v>
      </c>
      <c r="F38" s="239" t="s">
        <v>4884</v>
      </c>
      <c r="G38" s="242" t="str">
        <f>IF(COUNTIF(H38:AU38,"&lt;&gt;")=0,"",SUMPRODUCT(((Recommendations[ImplStatus]="Implemented")+(Recommendations[ImplStatus]="Compensated"))*ISNUMBER(MATCH(Recommendations[Id],H38:AU38,0)))/COUNTIF(H38:AU38,"&lt;&gt;"))</f>
        <v/>
      </c>
      <c r="H38" s="243"/>
      <c r="I38" s="243"/>
      <c r="J38" s="243"/>
      <c r="K38" s="243"/>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57"/>
    </row>
    <row r="39" spans="1:47" ht="60" customHeight="1" x14ac:dyDescent="0.35">
      <c r="A39" s="253" t="s">
        <v>4811</v>
      </c>
      <c r="B39" s="231" t="s">
        <v>4879</v>
      </c>
      <c r="C39" s="232" t="s">
        <v>4887</v>
      </c>
      <c r="D39" s="235" t="s">
        <v>4888</v>
      </c>
      <c r="E39" s="236" t="s">
        <v>4815</v>
      </c>
      <c r="F39" s="239" t="s">
        <v>4884</v>
      </c>
      <c r="G39" s="242" t="str">
        <f>IF(COUNTIF(H39:AU39,"&lt;&gt;")=0,"",SUMPRODUCT(((Recommendations[ImplStatus]="Implemented")+(Recommendations[ImplStatus]="Compensated"))*ISNUMBER(MATCH(Recommendations[Id],H39:AU39,0)))/COUNTIF(H39:AU39,"&lt;&gt;"))</f>
        <v/>
      </c>
      <c r="H39" s="243"/>
      <c r="I39" s="243"/>
      <c r="J39" s="243"/>
      <c r="K39" s="243"/>
      <c r="L39" s="243"/>
      <c r="M39" s="243"/>
      <c r="N39" s="243"/>
      <c r="O39" s="243"/>
      <c r="P39" s="243"/>
      <c r="Q39" s="243"/>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57"/>
    </row>
    <row r="40" spans="1:47" ht="60" customHeight="1" x14ac:dyDescent="0.35">
      <c r="A40" s="253" t="s">
        <v>4811</v>
      </c>
      <c r="B40" s="231" t="s">
        <v>4879</v>
      </c>
      <c r="C40" s="232" t="s">
        <v>4889</v>
      </c>
      <c r="D40" s="235" t="s">
        <v>4890</v>
      </c>
      <c r="E40" s="236" t="s">
        <v>4815</v>
      </c>
      <c r="F40" s="239" t="s">
        <v>4884</v>
      </c>
      <c r="G40" s="242" t="str">
        <f>IF(COUNTIF(H40:AU40,"&lt;&gt;")=0,"",SUMPRODUCT(((Recommendations[ImplStatus]="Implemented")+(Recommendations[ImplStatus]="Compensated"))*ISNUMBER(MATCH(Recommendations[Id],H40:AU40,0)))/COUNTIF(H40:AU40,"&lt;&gt;"))</f>
        <v/>
      </c>
      <c r="H40" s="243"/>
      <c r="I40" s="243"/>
      <c r="J40" s="243"/>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57"/>
    </row>
    <row r="41" spans="1:47" ht="60" customHeight="1" x14ac:dyDescent="0.35">
      <c r="A41" s="253" t="s">
        <v>4811</v>
      </c>
      <c r="B41" s="231" t="s">
        <v>4879</v>
      </c>
      <c r="C41" s="232" t="s">
        <v>4891</v>
      </c>
      <c r="D41" s="235" t="s">
        <v>4892</v>
      </c>
      <c r="E41" s="236" t="s">
        <v>4815</v>
      </c>
      <c r="F41" s="239" t="s">
        <v>4884</v>
      </c>
      <c r="G41" s="242" t="str">
        <f>IF(COUNTIF(H41:AU41,"&lt;&gt;")=0,"",SUMPRODUCT(((Recommendations[ImplStatus]="Implemented")+(Recommendations[ImplStatus]="Compensated"))*ISNUMBER(MATCH(Recommendations[Id],H41:AU41,0)))/COUNTIF(H41:AU41,"&lt;&gt;"))</f>
        <v/>
      </c>
      <c r="H41" s="243"/>
      <c r="I41" s="243"/>
      <c r="J41" s="243"/>
      <c r="K41" s="243"/>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57"/>
    </row>
    <row r="42" spans="1:47" ht="60" customHeight="1" x14ac:dyDescent="0.35">
      <c r="A42" s="253" t="s">
        <v>4811</v>
      </c>
      <c r="B42" s="231" t="s">
        <v>4879</v>
      </c>
      <c r="C42" s="232" t="s">
        <v>4893</v>
      </c>
      <c r="D42" s="235" t="s">
        <v>4894</v>
      </c>
      <c r="E42" s="236" t="s">
        <v>4815</v>
      </c>
      <c r="F42" s="239" t="s">
        <v>4884</v>
      </c>
      <c r="G42" s="242" t="str">
        <f>IF(COUNTIF(H42:AU42,"&lt;&gt;")=0,"",SUMPRODUCT(((Recommendations[ImplStatus]="Implemented")+(Recommendations[ImplStatus]="Compensated"))*ISNUMBER(MATCH(Recommendations[Id],H42:AU42,0)))/COUNTIF(H42:AU42,"&lt;&gt;"))</f>
        <v/>
      </c>
      <c r="H42" s="243"/>
      <c r="I42" s="243"/>
      <c r="J42" s="243"/>
      <c r="K42" s="243"/>
      <c r="L42" s="243"/>
      <c r="M42" s="243"/>
      <c r="N42" s="243"/>
      <c r="O42" s="243"/>
      <c r="P42" s="243"/>
      <c r="Q42" s="243"/>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57"/>
    </row>
    <row r="43" spans="1:47" ht="60" customHeight="1" x14ac:dyDescent="0.35">
      <c r="A43" s="253" t="s">
        <v>4811</v>
      </c>
      <c r="B43" s="231" t="s">
        <v>4879</v>
      </c>
      <c r="C43" s="232" t="s">
        <v>4895</v>
      </c>
      <c r="D43" s="235" t="s">
        <v>4896</v>
      </c>
      <c r="E43" s="236" t="s">
        <v>4815</v>
      </c>
      <c r="F43" s="239" t="s">
        <v>4884</v>
      </c>
      <c r="G43" s="242" t="str">
        <f>IF(COUNTIF(H43:AU43,"&lt;&gt;")=0,"",SUMPRODUCT(((Recommendations[ImplStatus]="Implemented")+(Recommendations[ImplStatus]="Compensated"))*ISNUMBER(MATCH(Recommendations[Id],H43:AU43,0)))/COUNTIF(H43:AU43,"&lt;&gt;"))</f>
        <v/>
      </c>
      <c r="H43" s="243"/>
      <c r="I43" s="243"/>
      <c r="J43" s="243"/>
      <c r="K43" s="243"/>
      <c r="L43" s="243"/>
      <c r="M43" s="243"/>
      <c r="N43" s="243"/>
      <c r="O43" s="243"/>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57"/>
    </row>
    <row r="44" spans="1:47" ht="60" customHeight="1" x14ac:dyDescent="0.35">
      <c r="A44" s="253" t="s">
        <v>4811</v>
      </c>
      <c r="B44" s="231" t="s">
        <v>4879</v>
      </c>
      <c r="C44" s="232" t="s">
        <v>4897</v>
      </c>
      <c r="D44" s="235" t="s">
        <v>4898</v>
      </c>
      <c r="E44" s="236" t="s">
        <v>4815</v>
      </c>
      <c r="F44" s="239" t="s">
        <v>4884</v>
      </c>
      <c r="G44" s="242" t="str">
        <f>IF(COUNTIF(H44:AU44,"&lt;&gt;")=0,"",SUMPRODUCT(((Recommendations[ImplStatus]="Implemented")+(Recommendations[ImplStatus]="Compensated"))*ISNUMBER(MATCH(Recommendations[Id],H44:AU44,0)))/COUNTIF(H44:AU44,"&lt;&gt;"))</f>
        <v/>
      </c>
      <c r="H44" s="243"/>
      <c r="I44" s="243"/>
      <c r="J44" s="243"/>
      <c r="K44" s="243"/>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57"/>
    </row>
    <row r="45" spans="1:47" ht="60" customHeight="1" x14ac:dyDescent="0.35">
      <c r="A45" s="253" t="s">
        <v>4811</v>
      </c>
      <c r="B45" s="231" t="s">
        <v>4879</v>
      </c>
      <c r="C45" s="232" t="s">
        <v>4899</v>
      </c>
      <c r="D45" s="235" t="s">
        <v>4900</v>
      </c>
      <c r="E45" s="236" t="s">
        <v>4815</v>
      </c>
      <c r="F45" s="239" t="s">
        <v>4884</v>
      </c>
      <c r="G45" s="242" t="str">
        <f>IF(COUNTIF(H45:AU45,"&lt;&gt;")=0,"",SUMPRODUCT(((Recommendations[ImplStatus]="Implemented")+(Recommendations[ImplStatus]="Compensated"))*ISNUMBER(MATCH(Recommendations[Id],H45:AU45,0)))/COUNTIF(H45:AU45,"&lt;&gt;"))</f>
        <v/>
      </c>
      <c r="H45" s="243"/>
      <c r="I45" s="243"/>
      <c r="J45" s="243"/>
      <c r="K45" s="243"/>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57"/>
    </row>
    <row r="46" spans="1:47" ht="60" customHeight="1" x14ac:dyDescent="0.35">
      <c r="A46" s="253" t="s">
        <v>4811</v>
      </c>
      <c r="B46" s="231" t="s">
        <v>4879</v>
      </c>
      <c r="C46" s="232" t="s">
        <v>4901</v>
      </c>
      <c r="D46" s="235" t="s">
        <v>4902</v>
      </c>
      <c r="E46" s="236" t="s">
        <v>4815</v>
      </c>
      <c r="F46" s="239" t="s">
        <v>4884</v>
      </c>
      <c r="G46" s="242" t="str">
        <f>IF(COUNTIF(H46:AU46,"&lt;&gt;")=0,"",SUMPRODUCT(((Recommendations[ImplStatus]="Implemented")+(Recommendations[ImplStatus]="Compensated"))*ISNUMBER(MATCH(Recommendations[Id],H46:AU46,0)))/COUNTIF(H46:AU46,"&lt;&gt;"))</f>
        <v/>
      </c>
      <c r="H46" s="243"/>
      <c r="I46" s="243"/>
      <c r="J46" s="243"/>
      <c r="K46" s="243"/>
      <c r="L46" s="243"/>
      <c r="M46" s="243"/>
      <c r="N46" s="243"/>
      <c r="O46" s="243"/>
      <c r="P46" s="243"/>
      <c r="Q46" s="24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57"/>
    </row>
    <row r="47" spans="1:47" ht="60" customHeight="1" x14ac:dyDescent="0.35">
      <c r="A47" s="253" t="s">
        <v>4811</v>
      </c>
      <c r="B47" s="231" t="s">
        <v>4879</v>
      </c>
      <c r="C47" s="232" t="s">
        <v>4903</v>
      </c>
      <c r="D47" s="235" t="s">
        <v>4904</v>
      </c>
      <c r="E47" s="236" t="s">
        <v>4815</v>
      </c>
      <c r="F47" s="239" t="s">
        <v>4884</v>
      </c>
      <c r="G47" s="242" t="str">
        <f>IF(COUNTIF(H47:AU47,"&lt;&gt;")=0,"",SUMPRODUCT(((Recommendations[ImplStatus]="Implemented")+(Recommendations[ImplStatus]="Compensated"))*ISNUMBER(MATCH(Recommendations[Id],H47:AU47,0)))/COUNTIF(H47:AU47,"&lt;&gt;"))</f>
        <v/>
      </c>
      <c r="H47" s="243"/>
      <c r="I47" s="243"/>
      <c r="J47" s="243"/>
      <c r="K47" s="243"/>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57"/>
    </row>
    <row r="48" spans="1:47" ht="60" customHeight="1" x14ac:dyDescent="0.35">
      <c r="A48" s="253" t="s">
        <v>4811</v>
      </c>
      <c r="B48" s="231" t="s">
        <v>4879</v>
      </c>
      <c r="C48" s="232" t="s">
        <v>4905</v>
      </c>
      <c r="D48" s="235" t="s">
        <v>4906</v>
      </c>
      <c r="E48" s="236" t="s">
        <v>4815</v>
      </c>
      <c r="F48" s="239" t="s">
        <v>4884</v>
      </c>
      <c r="G48" s="242" t="str">
        <f>IF(COUNTIF(H48:AU48,"&lt;&gt;")=0,"",SUMPRODUCT(((Recommendations[ImplStatus]="Implemented")+(Recommendations[ImplStatus]="Compensated"))*ISNUMBER(MATCH(Recommendations[Id],H48:AU48,0)))/COUNTIF(H48:AU48,"&lt;&gt;"))</f>
        <v/>
      </c>
      <c r="H48" s="243"/>
      <c r="I48" s="243"/>
      <c r="J48" s="243"/>
      <c r="K48" s="243"/>
      <c r="L48" s="243"/>
      <c r="M48" s="243"/>
      <c r="N48" s="243"/>
      <c r="O48" s="243"/>
      <c r="P48" s="243"/>
      <c r="Q48" s="24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57"/>
    </row>
    <row r="49" spans="1:47" ht="60" customHeight="1" x14ac:dyDescent="0.35">
      <c r="A49" s="253" t="s">
        <v>4811</v>
      </c>
      <c r="B49" s="231" t="s">
        <v>4879</v>
      </c>
      <c r="C49" s="232" t="s">
        <v>4907</v>
      </c>
      <c r="D49" s="235" t="s">
        <v>4908</v>
      </c>
      <c r="E49" s="236" t="s">
        <v>4815</v>
      </c>
      <c r="F49" s="239" t="s">
        <v>4884</v>
      </c>
      <c r="G49" s="242" t="str">
        <f>IF(COUNTIF(H49:AU49,"&lt;&gt;")=0,"",SUMPRODUCT(((Recommendations[ImplStatus]="Implemented")+(Recommendations[ImplStatus]="Compensated"))*ISNUMBER(MATCH(Recommendations[Id],H49:AU49,0)))/COUNTIF(H49:AU49,"&lt;&gt;"))</f>
        <v/>
      </c>
      <c r="H49" s="243"/>
      <c r="I49" s="243"/>
      <c r="J49" s="243"/>
      <c r="K49" s="243"/>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57"/>
    </row>
    <row r="50" spans="1:47" ht="60" customHeight="1" outlineLevel="2" x14ac:dyDescent="0.35">
      <c r="A50" s="252" t="s">
        <v>4811</v>
      </c>
      <c r="B50" s="230" t="s">
        <v>3760</v>
      </c>
      <c r="C50" s="230"/>
      <c r="D50" s="234"/>
      <c r="E50" s="230"/>
      <c r="F50" s="238"/>
      <c r="G50" s="241" t="str">
        <f>IF(COUNTIF(H50:AU50,"&lt;&gt;")=0,"",SUMPRODUCT(((Recommendations[ImplStatus]="Implemented")+(Recommendations[ImplStatus]="Compensated"))*ISNUMBER(MATCH(Recommendations[Id],H50:AU50,0)))/COUNTIF(H50:AU50,"&lt;&gt;"))</f>
        <v/>
      </c>
      <c r="H50" s="238"/>
      <c r="I50" s="238"/>
      <c r="J50" s="238"/>
      <c r="K50" s="238"/>
      <c r="L50" s="238"/>
      <c r="M50" s="238"/>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8"/>
      <c r="AN50" s="238"/>
      <c r="AO50" s="238"/>
      <c r="AP50" s="238"/>
      <c r="AQ50" s="238"/>
      <c r="AR50" s="238"/>
      <c r="AS50" s="238"/>
      <c r="AT50" s="238"/>
      <c r="AU50" s="256"/>
    </row>
    <row r="51" spans="1:47" ht="60" customHeight="1" x14ac:dyDescent="0.35">
      <c r="A51" s="253" t="s">
        <v>4811</v>
      </c>
      <c r="B51" s="231" t="s">
        <v>3760</v>
      </c>
      <c r="C51" s="232" t="s">
        <v>4909</v>
      </c>
      <c r="D51" s="235" t="s">
        <v>4910</v>
      </c>
      <c r="E51" s="236" t="s">
        <v>4911</v>
      </c>
      <c r="F51" s="239" t="s">
        <v>4912</v>
      </c>
      <c r="G51" s="242" t="str">
        <f>IF(COUNTIF(H51:AU51,"&lt;&gt;")=0,"",SUMPRODUCT(((Recommendations[ImplStatus]="Implemented")+(Recommendations[ImplStatus]="Compensated"))*ISNUMBER(MATCH(Recommendations[Id],H51:AU51,0)))/COUNTIF(H51:AU51,"&lt;&gt;"))</f>
        <v/>
      </c>
      <c r="H51" s="243"/>
      <c r="I51" s="243"/>
      <c r="J51" s="243"/>
      <c r="K51" s="243"/>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57"/>
    </row>
    <row r="52" spans="1:47" ht="60" customHeight="1" x14ac:dyDescent="0.35">
      <c r="A52" s="253" t="s">
        <v>4811</v>
      </c>
      <c r="B52" s="231" t="s">
        <v>3760</v>
      </c>
      <c r="C52" s="232" t="s">
        <v>4913</v>
      </c>
      <c r="D52" s="235" t="s">
        <v>4914</v>
      </c>
      <c r="E52" s="236" t="s">
        <v>4911</v>
      </c>
      <c r="F52" s="239" t="s">
        <v>4912</v>
      </c>
      <c r="G52" s="242" t="str">
        <f>IF(COUNTIF(H52:AU52,"&lt;&gt;")=0,"",SUMPRODUCT(((Recommendations[ImplStatus]="Implemented")+(Recommendations[ImplStatus]="Compensated"))*ISNUMBER(MATCH(Recommendations[Id],H52:AU52,0)))/COUNTIF(H52:AU52,"&lt;&gt;"))</f>
        <v/>
      </c>
      <c r="H52" s="243"/>
      <c r="I52" s="243"/>
      <c r="J52" s="243"/>
      <c r="K52" s="243"/>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57"/>
    </row>
    <row r="53" spans="1:47" ht="60" customHeight="1" x14ac:dyDescent="0.35">
      <c r="A53" s="253" t="s">
        <v>4811</v>
      </c>
      <c r="B53" s="231" t="s">
        <v>3760</v>
      </c>
      <c r="C53" s="232" t="s">
        <v>4915</v>
      </c>
      <c r="D53" s="235" t="s">
        <v>4916</v>
      </c>
      <c r="E53" s="236" t="s">
        <v>4911</v>
      </c>
      <c r="F53" s="239" t="s">
        <v>4912</v>
      </c>
      <c r="G53" s="242" t="str">
        <f>IF(COUNTIF(H53:AU53,"&lt;&gt;")=0,"",SUMPRODUCT(((Recommendations[ImplStatus]="Implemented")+(Recommendations[ImplStatus]="Compensated"))*ISNUMBER(MATCH(Recommendations[Id],H53:AU53,0)))/COUNTIF(H53:AU53,"&lt;&gt;"))</f>
        <v/>
      </c>
      <c r="H53" s="243"/>
      <c r="I53" s="243"/>
      <c r="J53" s="243"/>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57"/>
    </row>
    <row r="54" spans="1:47" ht="60" customHeight="1" x14ac:dyDescent="0.35">
      <c r="A54" s="253" t="s">
        <v>4811</v>
      </c>
      <c r="B54" s="231" t="s">
        <v>3760</v>
      </c>
      <c r="C54" s="232" t="s">
        <v>4917</v>
      </c>
      <c r="D54" s="235" t="s">
        <v>4918</v>
      </c>
      <c r="E54" s="236" t="s">
        <v>4911</v>
      </c>
      <c r="F54" s="239" t="s">
        <v>4912</v>
      </c>
      <c r="G54" s="242" t="str">
        <f>IF(COUNTIF(H54:AU54,"&lt;&gt;")=0,"",SUMPRODUCT(((Recommendations[ImplStatus]="Implemented")+(Recommendations[ImplStatus]="Compensated"))*ISNUMBER(MATCH(Recommendations[Id],H54:AU54,0)))/COUNTIF(H54:AU54,"&lt;&gt;"))</f>
        <v/>
      </c>
      <c r="H54" s="243"/>
      <c r="I54" s="243"/>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57"/>
    </row>
    <row r="55" spans="1:47" ht="60" customHeight="1" x14ac:dyDescent="0.35">
      <c r="A55" s="253" t="s">
        <v>4811</v>
      </c>
      <c r="B55" s="231" t="s">
        <v>3760</v>
      </c>
      <c r="C55" s="232" t="s">
        <v>4919</v>
      </c>
      <c r="D55" s="235" t="s">
        <v>4920</v>
      </c>
      <c r="E55" s="236" t="s">
        <v>4911</v>
      </c>
      <c r="F55" s="239" t="s">
        <v>4912</v>
      </c>
      <c r="G55" s="242" t="str">
        <f>IF(COUNTIF(H55:AU55,"&lt;&gt;")=0,"",SUMPRODUCT(((Recommendations[ImplStatus]="Implemented")+(Recommendations[ImplStatus]="Compensated"))*ISNUMBER(MATCH(Recommendations[Id],H55:AU55,0)))/COUNTIF(H55:AU55,"&lt;&gt;"))</f>
        <v/>
      </c>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57"/>
    </row>
    <row r="56" spans="1:47" ht="60" customHeight="1" x14ac:dyDescent="0.35">
      <c r="A56" s="253" t="s">
        <v>4811</v>
      </c>
      <c r="B56" s="231" t="s">
        <v>3760</v>
      </c>
      <c r="C56" s="232" t="s">
        <v>4921</v>
      </c>
      <c r="D56" s="235" t="s">
        <v>4922</v>
      </c>
      <c r="E56" s="236" t="s">
        <v>4911</v>
      </c>
      <c r="F56" s="239" t="s">
        <v>4912</v>
      </c>
      <c r="G56" s="242" t="str">
        <f>IF(COUNTIF(H56:AU56,"&lt;&gt;")=0,"",SUMPRODUCT(((Recommendations[ImplStatus]="Implemented")+(Recommendations[ImplStatus]="Compensated"))*ISNUMBER(MATCH(Recommendations[Id],H56:AU56,0)))/COUNTIF(H56:AU56,"&lt;&gt;"))</f>
        <v/>
      </c>
      <c r="H56" s="243"/>
      <c r="I56" s="243"/>
      <c r="J56" s="243"/>
      <c r="K56" s="243"/>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57"/>
    </row>
    <row r="57" spans="1:47" ht="60" customHeight="1" x14ac:dyDescent="0.35">
      <c r="A57" s="253" t="s">
        <v>4811</v>
      </c>
      <c r="B57" s="231" t="s">
        <v>3760</v>
      </c>
      <c r="C57" s="232" t="s">
        <v>4923</v>
      </c>
      <c r="D57" s="235" t="s">
        <v>4924</v>
      </c>
      <c r="E57" s="236" t="s">
        <v>4911</v>
      </c>
      <c r="F57" s="239" t="s">
        <v>4912</v>
      </c>
      <c r="G57" s="242" t="str">
        <f>IF(COUNTIF(H57:AU57,"&lt;&gt;")=0,"",SUMPRODUCT(((Recommendations[ImplStatus]="Implemented")+(Recommendations[ImplStatus]="Compensated"))*ISNUMBER(MATCH(Recommendations[Id],H57:AU57,0)))/COUNTIF(H57:AU57,"&lt;&gt;"))</f>
        <v/>
      </c>
      <c r="H57" s="243"/>
      <c r="I57" s="243"/>
      <c r="J57" s="243"/>
      <c r="K57" s="243"/>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57"/>
    </row>
    <row r="58" spans="1:47" ht="60" customHeight="1" x14ac:dyDescent="0.35">
      <c r="A58" s="253" t="s">
        <v>4811</v>
      </c>
      <c r="B58" s="231" t="s">
        <v>3760</v>
      </c>
      <c r="C58" s="232" t="s">
        <v>4925</v>
      </c>
      <c r="D58" s="235" t="s">
        <v>4926</v>
      </c>
      <c r="E58" s="236" t="s">
        <v>4815</v>
      </c>
      <c r="F58" s="239" t="s">
        <v>4912</v>
      </c>
      <c r="G58" s="242" t="str">
        <f>IF(COUNTIF(H58:AU58,"&lt;&gt;")=0,"",SUMPRODUCT(((Recommendations[ImplStatus]="Implemented")+(Recommendations[ImplStatus]="Compensated"))*ISNUMBER(MATCH(Recommendations[Id],H58:AU58,0)))/COUNTIF(H58:AU58,"&lt;&gt;"))</f>
        <v/>
      </c>
      <c r="H58" s="243"/>
      <c r="I58" s="243"/>
      <c r="J58" s="243"/>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57"/>
    </row>
    <row r="59" spans="1:47" ht="60" customHeight="1" x14ac:dyDescent="0.35">
      <c r="A59" s="253" t="s">
        <v>4811</v>
      </c>
      <c r="B59" s="231" t="s">
        <v>3760</v>
      </c>
      <c r="C59" s="232" t="s">
        <v>4927</v>
      </c>
      <c r="D59" s="235" t="s">
        <v>4928</v>
      </c>
      <c r="E59" s="236" t="s">
        <v>4815</v>
      </c>
      <c r="F59" s="239" t="s">
        <v>4912</v>
      </c>
      <c r="G59" s="242" t="str">
        <f>IF(COUNTIF(H59:AU59,"&lt;&gt;")=0,"",SUMPRODUCT(((Recommendations[ImplStatus]="Implemented")+(Recommendations[ImplStatus]="Compensated"))*ISNUMBER(MATCH(Recommendations[Id],H59:AU59,0)))/COUNTIF(H59:AU59,"&lt;&gt;"))</f>
        <v/>
      </c>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57"/>
    </row>
    <row r="60" spans="1:47" ht="60" customHeight="1" outlineLevel="2" x14ac:dyDescent="0.35">
      <c r="A60" s="252" t="s">
        <v>4811</v>
      </c>
      <c r="B60" s="230" t="s">
        <v>4929</v>
      </c>
      <c r="C60" s="230"/>
      <c r="D60" s="234"/>
      <c r="E60" s="230"/>
      <c r="F60" s="238"/>
      <c r="G60" s="241" t="str">
        <f>IF(COUNTIF(H60:AU60,"&lt;&gt;")=0,"",SUMPRODUCT(((Recommendations[ImplStatus]="Implemented")+(Recommendations[ImplStatus]="Compensated"))*ISNUMBER(MATCH(Recommendations[Id],H60:AU60,0)))/COUNTIF(H60:AU60,"&lt;&gt;"))</f>
        <v/>
      </c>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56"/>
    </row>
    <row r="61" spans="1:47" ht="60" customHeight="1" x14ac:dyDescent="0.35">
      <c r="A61" s="253" t="s">
        <v>4811</v>
      </c>
      <c r="B61" s="231" t="s">
        <v>4929</v>
      </c>
      <c r="C61" s="232" t="s">
        <v>4930</v>
      </c>
      <c r="D61" s="235" t="s">
        <v>4931</v>
      </c>
      <c r="E61" s="236" t="s">
        <v>4815</v>
      </c>
      <c r="F61" s="239" t="s">
        <v>4932</v>
      </c>
      <c r="G61" s="242" t="str">
        <f>IF(COUNTIF(H61:AU61,"&lt;&gt;")=0,"",SUMPRODUCT(((Recommendations[ImplStatus]="Implemented")+(Recommendations[ImplStatus]="Compensated"))*ISNUMBER(MATCH(Recommendations[Id],H61:AU61,0)))/COUNTIF(H61:AU61,"&lt;&gt;"))</f>
        <v/>
      </c>
      <c r="H61" s="243"/>
      <c r="I61" s="243"/>
      <c r="J61" s="243"/>
      <c r="K61" s="243"/>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57"/>
    </row>
    <row r="62" spans="1:47" ht="60" customHeight="1" x14ac:dyDescent="0.35">
      <c r="A62" s="253" t="s">
        <v>4811</v>
      </c>
      <c r="B62" s="231" t="s">
        <v>4929</v>
      </c>
      <c r="C62" s="232" t="s">
        <v>4933</v>
      </c>
      <c r="D62" s="235" t="s">
        <v>4934</v>
      </c>
      <c r="E62" s="236" t="s">
        <v>4815</v>
      </c>
      <c r="F62" s="239" t="s">
        <v>4932</v>
      </c>
      <c r="G62" s="242" t="str">
        <f>IF(COUNTIF(H62:AU62,"&lt;&gt;")=0,"",SUMPRODUCT(((Recommendations[ImplStatus]="Implemented")+(Recommendations[ImplStatus]="Compensated"))*ISNUMBER(MATCH(Recommendations[Id],H62:AU62,0)))/COUNTIF(H62:AU62,"&lt;&gt;"))</f>
        <v/>
      </c>
      <c r="H62" s="243"/>
      <c r="I62" s="243"/>
      <c r="J62" s="243"/>
      <c r="K62" s="243"/>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57"/>
    </row>
    <row r="63" spans="1:47" ht="60" customHeight="1" x14ac:dyDescent="0.35">
      <c r="A63" s="253" t="s">
        <v>4811</v>
      </c>
      <c r="B63" s="231" t="s">
        <v>4929</v>
      </c>
      <c r="C63" s="232" t="s">
        <v>4935</v>
      </c>
      <c r="D63" s="235" t="s">
        <v>4936</v>
      </c>
      <c r="E63" s="236" t="s">
        <v>4815</v>
      </c>
      <c r="F63" s="239" t="s">
        <v>4932</v>
      </c>
      <c r="G63" s="242" t="str">
        <f>IF(COUNTIF(H63:AU63,"&lt;&gt;")=0,"",SUMPRODUCT(((Recommendations[ImplStatus]="Implemented")+(Recommendations[ImplStatus]="Compensated"))*ISNUMBER(MATCH(Recommendations[Id],H63:AU63,0)))/COUNTIF(H63:AU63,"&lt;&gt;"))</f>
        <v/>
      </c>
      <c r="H63" s="243"/>
      <c r="I63" s="243"/>
      <c r="J63" s="243"/>
      <c r="K63" s="243"/>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57"/>
    </row>
    <row r="64" spans="1:47" ht="60" customHeight="1" x14ac:dyDescent="0.35">
      <c r="A64" s="253" t="s">
        <v>4811</v>
      </c>
      <c r="B64" s="231" t="s">
        <v>4929</v>
      </c>
      <c r="C64" s="232" t="s">
        <v>4937</v>
      </c>
      <c r="D64" s="235" t="s">
        <v>4938</v>
      </c>
      <c r="E64" s="236" t="s">
        <v>4815</v>
      </c>
      <c r="F64" s="239" t="s">
        <v>4932</v>
      </c>
      <c r="G64" s="242" t="str">
        <f>IF(COUNTIF(H64:AU64,"&lt;&gt;")=0,"",SUMPRODUCT(((Recommendations[ImplStatus]="Implemented")+(Recommendations[ImplStatus]="Compensated"))*ISNUMBER(MATCH(Recommendations[Id],H64:AU64,0)))/COUNTIF(H64:AU64,"&lt;&gt;"))</f>
        <v/>
      </c>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57"/>
    </row>
    <row r="65" spans="1:47" ht="60" customHeight="1" x14ac:dyDescent="0.35">
      <c r="A65" s="253" t="s">
        <v>4811</v>
      </c>
      <c r="B65" s="231" t="s">
        <v>4929</v>
      </c>
      <c r="C65" s="232" t="s">
        <v>4939</v>
      </c>
      <c r="D65" s="235" t="s">
        <v>4940</v>
      </c>
      <c r="E65" s="236" t="s">
        <v>4815</v>
      </c>
      <c r="F65" s="239" t="s">
        <v>4932</v>
      </c>
      <c r="G65" s="242" t="str">
        <f>IF(COUNTIF(H65:AU65,"&lt;&gt;")=0,"",SUMPRODUCT(((Recommendations[ImplStatus]="Implemented")+(Recommendations[ImplStatus]="Compensated"))*ISNUMBER(MATCH(Recommendations[Id],H65:AU65,0)))/COUNTIF(H65:AU65,"&lt;&gt;"))</f>
        <v/>
      </c>
      <c r="H65" s="243"/>
      <c r="I65" s="243"/>
      <c r="J65" s="243"/>
      <c r="K65" s="243"/>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57"/>
    </row>
    <row r="66" spans="1:47" ht="60" customHeight="1" x14ac:dyDescent="0.35">
      <c r="A66" s="253" t="s">
        <v>4811</v>
      </c>
      <c r="B66" s="231" t="s">
        <v>4929</v>
      </c>
      <c r="C66" s="232" t="s">
        <v>4941</v>
      </c>
      <c r="D66" s="235" t="s">
        <v>4942</v>
      </c>
      <c r="E66" s="236" t="s">
        <v>4815</v>
      </c>
      <c r="F66" s="239" t="s">
        <v>4932</v>
      </c>
      <c r="G66" s="242" t="str">
        <f>IF(COUNTIF(H66:AU66,"&lt;&gt;")=0,"",SUMPRODUCT(((Recommendations[ImplStatus]="Implemented")+(Recommendations[ImplStatus]="Compensated"))*ISNUMBER(MATCH(Recommendations[Id],H66:AU66,0)))/COUNTIF(H66:AU66,"&lt;&gt;"))</f>
        <v/>
      </c>
      <c r="H66" s="243"/>
      <c r="I66" s="243"/>
      <c r="J66" s="243"/>
      <c r="K66" s="243"/>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57"/>
    </row>
    <row r="67" spans="1:47" ht="60" customHeight="1" x14ac:dyDescent="0.35">
      <c r="A67" s="253" t="s">
        <v>4811</v>
      </c>
      <c r="B67" s="231" t="s">
        <v>4929</v>
      </c>
      <c r="C67" s="232" t="s">
        <v>4943</v>
      </c>
      <c r="D67" s="235" t="s">
        <v>4944</v>
      </c>
      <c r="E67" s="236" t="s">
        <v>4815</v>
      </c>
      <c r="F67" s="239" t="s">
        <v>4932</v>
      </c>
      <c r="G67" s="242" t="str">
        <f>IF(COUNTIF(H67:AU67,"&lt;&gt;")=0,"",SUMPRODUCT(((Recommendations[ImplStatus]="Implemented")+(Recommendations[ImplStatus]="Compensated"))*ISNUMBER(MATCH(Recommendations[Id],H67:AU67,0)))/COUNTIF(H67:AU67,"&lt;&gt;"))</f>
        <v/>
      </c>
      <c r="H67" s="243"/>
      <c r="I67" s="243"/>
      <c r="J67" s="243"/>
      <c r="K67" s="243"/>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57"/>
    </row>
    <row r="68" spans="1:47" ht="60" customHeight="1" x14ac:dyDescent="0.35">
      <c r="A68" s="253" t="s">
        <v>4811</v>
      </c>
      <c r="B68" s="231" t="s">
        <v>4929</v>
      </c>
      <c r="C68" s="232" t="s">
        <v>4945</v>
      </c>
      <c r="D68" s="235" t="s">
        <v>4946</v>
      </c>
      <c r="E68" s="236" t="s">
        <v>4815</v>
      </c>
      <c r="F68" s="239" t="s">
        <v>4947</v>
      </c>
      <c r="G68" s="242" t="str">
        <f>IF(COUNTIF(H68:AU68,"&lt;&gt;")=0,"",SUMPRODUCT(((Recommendations[ImplStatus]="Implemented")+(Recommendations[ImplStatus]="Compensated"))*ISNUMBER(MATCH(Recommendations[Id],H68:AU68,0)))/COUNTIF(H68:AU68,"&lt;&gt;"))</f>
        <v/>
      </c>
      <c r="H68" s="243"/>
      <c r="I68" s="243"/>
      <c r="J68" s="243"/>
      <c r="K68" s="243"/>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57"/>
    </row>
    <row r="69" spans="1:47" ht="60" customHeight="1" x14ac:dyDescent="0.35">
      <c r="A69" s="253" t="s">
        <v>4811</v>
      </c>
      <c r="B69" s="231" t="s">
        <v>4929</v>
      </c>
      <c r="C69" s="232" t="s">
        <v>4948</v>
      </c>
      <c r="D69" s="235" t="s">
        <v>4949</v>
      </c>
      <c r="E69" s="236" t="s">
        <v>4815</v>
      </c>
      <c r="F69" s="239" t="s">
        <v>4947</v>
      </c>
      <c r="G69" s="242" t="str">
        <f>IF(COUNTIF(H69:AU69,"&lt;&gt;")=0,"",SUMPRODUCT(((Recommendations[ImplStatus]="Implemented")+(Recommendations[ImplStatus]="Compensated"))*ISNUMBER(MATCH(Recommendations[Id],H69:AU69,0)))/COUNTIF(H69:AU69,"&lt;&gt;"))</f>
        <v/>
      </c>
      <c r="H69" s="243"/>
      <c r="I69" s="243"/>
      <c r="J69" s="243"/>
      <c r="K69" s="243"/>
      <c r="L69" s="243"/>
      <c r="M69" s="243"/>
      <c r="N69" s="243"/>
      <c r="O69" s="243"/>
      <c r="P69" s="243"/>
      <c r="Q69" s="24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57"/>
    </row>
    <row r="70" spans="1:47" ht="60" customHeight="1" x14ac:dyDescent="0.35">
      <c r="A70" s="253" t="s">
        <v>4811</v>
      </c>
      <c r="B70" s="231" t="s">
        <v>4929</v>
      </c>
      <c r="C70" s="232" t="s">
        <v>4950</v>
      </c>
      <c r="D70" s="235" t="s">
        <v>4951</v>
      </c>
      <c r="E70" s="236" t="s">
        <v>4815</v>
      </c>
      <c r="F70" s="239" t="s">
        <v>4947</v>
      </c>
      <c r="G70" s="242" t="str">
        <f>IF(COUNTIF(H70:AU70,"&lt;&gt;")=0,"",SUMPRODUCT(((Recommendations[ImplStatus]="Implemented")+(Recommendations[ImplStatus]="Compensated"))*ISNUMBER(MATCH(Recommendations[Id],H70:AU70,0)))/COUNTIF(H70:AU70,"&lt;&gt;"))</f>
        <v/>
      </c>
      <c r="H70" s="243"/>
      <c r="I70" s="243"/>
      <c r="J70" s="243"/>
      <c r="K70" s="243"/>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57"/>
    </row>
    <row r="71" spans="1:47" ht="60" customHeight="1" x14ac:dyDescent="0.35">
      <c r="A71" s="253" t="s">
        <v>4811</v>
      </c>
      <c r="B71" s="231" t="s">
        <v>4929</v>
      </c>
      <c r="C71" s="232" t="s">
        <v>4952</v>
      </c>
      <c r="D71" s="235" t="s">
        <v>4953</v>
      </c>
      <c r="E71" s="236" t="s">
        <v>4815</v>
      </c>
      <c r="F71" s="239" t="s">
        <v>4954</v>
      </c>
      <c r="G71" s="242" t="str">
        <f>IF(COUNTIF(H71:AU71,"&lt;&gt;")=0,"",SUMPRODUCT(((Recommendations[ImplStatus]="Implemented")+(Recommendations[ImplStatus]="Compensated"))*ISNUMBER(MATCH(Recommendations[Id],H71:AU71,0)))/COUNTIF(H71:AU71,"&lt;&gt;"))</f>
        <v/>
      </c>
      <c r="H71" s="243"/>
      <c r="I71" s="243"/>
      <c r="J71" s="243"/>
      <c r="K71" s="243"/>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57"/>
    </row>
    <row r="72" spans="1:47" ht="60" customHeight="1" x14ac:dyDescent="0.35">
      <c r="A72" s="253" t="s">
        <v>4811</v>
      </c>
      <c r="B72" s="231" t="s">
        <v>4929</v>
      </c>
      <c r="C72" s="232" t="s">
        <v>4955</v>
      </c>
      <c r="D72" s="235" t="s">
        <v>4956</v>
      </c>
      <c r="E72" s="236" t="s">
        <v>4815</v>
      </c>
      <c r="F72" s="239" t="s">
        <v>4932</v>
      </c>
      <c r="G72" s="242" t="str">
        <f>IF(COUNTIF(H72:AU72,"&lt;&gt;")=0,"",SUMPRODUCT(((Recommendations[ImplStatus]="Implemented")+(Recommendations[ImplStatus]="Compensated"))*ISNUMBER(MATCH(Recommendations[Id],H72:AU72,0)))/COUNTIF(H72:AU72,"&lt;&gt;"))</f>
        <v/>
      </c>
      <c r="H72" s="243"/>
      <c r="I72" s="243"/>
      <c r="J72" s="243"/>
      <c r="K72" s="243"/>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57"/>
    </row>
    <row r="73" spans="1:47" ht="60" customHeight="1" x14ac:dyDescent="0.35">
      <c r="A73" s="253" t="s">
        <v>4811</v>
      </c>
      <c r="B73" s="231" t="s">
        <v>4929</v>
      </c>
      <c r="C73" s="232" t="s">
        <v>4957</v>
      </c>
      <c r="D73" s="235" t="s">
        <v>4958</v>
      </c>
      <c r="E73" s="236" t="s">
        <v>4959</v>
      </c>
      <c r="F73" s="239" t="s">
        <v>4932</v>
      </c>
      <c r="G73" s="242" t="str">
        <f>IF(COUNTIF(H73:AU73,"&lt;&gt;")=0,"",SUMPRODUCT(((Recommendations[ImplStatus]="Implemented")+(Recommendations[ImplStatus]="Compensated"))*ISNUMBER(MATCH(Recommendations[Id],H73:AU73,0)))/COUNTIF(H73:AU73,"&lt;&gt;"))</f>
        <v/>
      </c>
      <c r="H73" s="243"/>
      <c r="I73" s="243"/>
      <c r="J73" s="243"/>
      <c r="K73" s="243"/>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57"/>
    </row>
    <row r="74" spans="1:47" ht="60" customHeight="1" outlineLevel="2" x14ac:dyDescent="0.35">
      <c r="A74" s="252" t="s">
        <v>4811</v>
      </c>
      <c r="B74" s="230" t="s">
        <v>4960</v>
      </c>
      <c r="C74" s="230"/>
      <c r="D74" s="234"/>
      <c r="E74" s="230"/>
      <c r="F74" s="238"/>
      <c r="G74" s="241" t="str">
        <f>IF(COUNTIF(H74:AU74,"&lt;&gt;")=0,"",SUMPRODUCT(((Recommendations[ImplStatus]="Implemented")+(Recommendations[ImplStatus]="Compensated"))*ISNUMBER(MATCH(Recommendations[Id],H74:AU74,0)))/COUNTIF(H74:AU74,"&lt;&gt;"))</f>
        <v/>
      </c>
      <c r="H74" s="238"/>
      <c r="I74" s="238"/>
      <c r="J74" s="238"/>
      <c r="K74" s="238"/>
      <c r="L74" s="238"/>
      <c r="M74" s="238"/>
      <c r="N74" s="238"/>
      <c r="O74" s="238"/>
      <c r="P74" s="238"/>
      <c r="Q74" s="238"/>
      <c r="R74" s="238"/>
      <c r="S74" s="238"/>
      <c r="T74" s="238"/>
      <c r="U74" s="238"/>
      <c r="V74" s="238"/>
      <c r="W74" s="238"/>
      <c r="X74" s="238"/>
      <c r="Y74" s="238"/>
      <c r="Z74" s="238"/>
      <c r="AA74" s="238"/>
      <c r="AB74" s="238"/>
      <c r="AC74" s="238"/>
      <c r="AD74" s="238"/>
      <c r="AE74" s="238"/>
      <c r="AF74" s="238"/>
      <c r="AG74" s="238"/>
      <c r="AH74" s="238"/>
      <c r="AI74" s="238"/>
      <c r="AJ74" s="238"/>
      <c r="AK74" s="238"/>
      <c r="AL74" s="238"/>
      <c r="AM74" s="238"/>
      <c r="AN74" s="238"/>
      <c r="AO74" s="238"/>
      <c r="AP74" s="238"/>
      <c r="AQ74" s="238"/>
      <c r="AR74" s="238"/>
      <c r="AS74" s="238"/>
      <c r="AT74" s="238"/>
      <c r="AU74" s="256"/>
    </row>
    <row r="75" spans="1:47" ht="60" customHeight="1" x14ac:dyDescent="0.35">
      <c r="A75" s="253" t="s">
        <v>4811</v>
      </c>
      <c r="B75" s="231" t="s">
        <v>4960</v>
      </c>
      <c r="C75" s="232" t="s">
        <v>4961</v>
      </c>
      <c r="D75" s="235" t="s">
        <v>4962</v>
      </c>
      <c r="E75" s="236" t="s">
        <v>4959</v>
      </c>
      <c r="F75" s="239" t="s">
        <v>4963</v>
      </c>
      <c r="G75" s="242" t="str">
        <f>IF(COUNTIF(H75:AU75,"&lt;&gt;")=0,"",SUMPRODUCT(((Recommendations[ImplStatus]="Implemented")+(Recommendations[ImplStatus]="Compensated"))*ISNUMBER(MATCH(Recommendations[Id],H75:AU75,0)))/COUNTIF(H75:AU75,"&lt;&gt;"))</f>
        <v/>
      </c>
      <c r="H75" s="243"/>
      <c r="I75" s="243"/>
      <c r="J75" s="243"/>
      <c r="K75" s="243"/>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57"/>
    </row>
    <row r="76" spans="1:47" ht="60" customHeight="1" x14ac:dyDescent="0.35">
      <c r="A76" s="253" t="s">
        <v>4811</v>
      </c>
      <c r="B76" s="231" t="s">
        <v>4960</v>
      </c>
      <c r="C76" s="232" t="s">
        <v>4964</v>
      </c>
      <c r="D76" s="235" t="s">
        <v>4965</v>
      </c>
      <c r="E76" s="236" t="s">
        <v>4959</v>
      </c>
      <c r="F76" s="239" t="s">
        <v>4963</v>
      </c>
      <c r="G76" s="242" t="str">
        <f>IF(COUNTIF(H76:AU76,"&lt;&gt;")=0,"",SUMPRODUCT(((Recommendations[ImplStatus]="Implemented")+(Recommendations[ImplStatus]="Compensated"))*ISNUMBER(MATCH(Recommendations[Id],H76:AU76,0)))/COUNTIF(H76:AU76,"&lt;&gt;"))</f>
        <v/>
      </c>
      <c r="H76" s="243"/>
      <c r="I76" s="243"/>
      <c r="J76" s="243"/>
      <c r="K76" s="243"/>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57"/>
    </row>
    <row r="77" spans="1:47" ht="60" customHeight="1" x14ac:dyDescent="0.35">
      <c r="A77" s="253" t="s">
        <v>4811</v>
      </c>
      <c r="B77" s="231" t="s">
        <v>4960</v>
      </c>
      <c r="C77" s="232" t="s">
        <v>4966</v>
      </c>
      <c r="D77" s="235" t="s">
        <v>4967</v>
      </c>
      <c r="E77" s="236" t="s">
        <v>4959</v>
      </c>
      <c r="F77" s="239" t="s">
        <v>4963</v>
      </c>
      <c r="G77" s="242" t="str">
        <f>IF(COUNTIF(H77:AU77,"&lt;&gt;")=0,"",SUMPRODUCT(((Recommendations[ImplStatus]="Implemented")+(Recommendations[ImplStatus]="Compensated"))*ISNUMBER(MATCH(Recommendations[Id],H77:AU77,0)))/COUNTIF(H77:AU77,"&lt;&gt;"))</f>
        <v/>
      </c>
      <c r="H77" s="243"/>
      <c r="I77" s="243"/>
      <c r="J77" s="243"/>
      <c r="K77" s="243"/>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57"/>
    </row>
    <row r="78" spans="1:47" ht="60" customHeight="1" x14ac:dyDescent="0.35">
      <c r="A78" s="253" t="s">
        <v>4811</v>
      </c>
      <c r="B78" s="231" t="s">
        <v>4960</v>
      </c>
      <c r="C78" s="232" t="s">
        <v>4968</v>
      </c>
      <c r="D78" s="235" t="s">
        <v>4969</v>
      </c>
      <c r="E78" s="236" t="s">
        <v>4959</v>
      </c>
      <c r="F78" s="239" t="s">
        <v>4963</v>
      </c>
      <c r="G78" s="242" t="str">
        <f>IF(COUNTIF(H78:AU78,"&lt;&gt;")=0,"",SUMPRODUCT(((Recommendations[ImplStatus]="Implemented")+(Recommendations[ImplStatus]="Compensated"))*ISNUMBER(MATCH(Recommendations[Id],H78:AU78,0)))/COUNTIF(H78:AU78,"&lt;&gt;"))</f>
        <v/>
      </c>
      <c r="H78" s="243"/>
      <c r="I78" s="243"/>
      <c r="J78" s="243"/>
      <c r="K78" s="243"/>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57"/>
    </row>
    <row r="79" spans="1:47" ht="60" customHeight="1" x14ac:dyDescent="0.35">
      <c r="A79" s="253" t="s">
        <v>4811</v>
      </c>
      <c r="B79" s="231" t="s">
        <v>4960</v>
      </c>
      <c r="C79" s="232" t="s">
        <v>4970</v>
      </c>
      <c r="D79" s="235" t="s">
        <v>4971</v>
      </c>
      <c r="E79" s="236" t="s">
        <v>4959</v>
      </c>
      <c r="F79" s="239" t="s">
        <v>4963</v>
      </c>
      <c r="G79" s="242" t="str">
        <f>IF(COUNTIF(H79:AU79,"&lt;&gt;")=0,"",SUMPRODUCT(((Recommendations[ImplStatus]="Implemented")+(Recommendations[ImplStatus]="Compensated"))*ISNUMBER(MATCH(Recommendations[Id],H79:AU79,0)))/COUNTIF(H79:AU79,"&lt;&gt;"))</f>
        <v/>
      </c>
      <c r="H79" s="243"/>
      <c r="I79" s="243"/>
      <c r="J79" s="243"/>
      <c r="K79" s="243"/>
      <c r="L79" s="243"/>
      <c r="M79" s="243"/>
      <c r="N79" s="243"/>
      <c r="O79" s="243"/>
      <c r="P79" s="243"/>
      <c r="Q79" s="24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57"/>
    </row>
    <row r="80" spans="1:47" ht="60" customHeight="1" x14ac:dyDescent="0.35">
      <c r="A80" s="253" t="s">
        <v>4811</v>
      </c>
      <c r="B80" s="231" t="s">
        <v>4960</v>
      </c>
      <c r="C80" s="232" t="s">
        <v>4972</v>
      </c>
      <c r="D80" s="235" t="s">
        <v>4973</v>
      </c>
      <c r="E80" s="236" t="s">
        <v>4959</v>
      </c>
      <c r="F80" s="239" t="s">
        <v>4963</v>
      </c>
      <c r="G80" s="242" t="str">
        <f>IF(COUNTIF(H80:AU80,"&lt;&gt;")=0,"",SUMPRODUCT(((Recommendations[ImplStatus]="Implemented")+(Recommendations[ImplStatus]="Compensated"))*ISNUMBER(MATCH(Recommendations[Id],H80:AU80,0)))/COUNTIF(H80:AU80,"&lt;&gt;"))</f>
        <v/>
      </c>
      <c r="H80" s="243"/>
      <c r="I80" s="243"/>
      <c r="J80" s="243"/>
      <c r="K80" s="243"/>
      <c r="L80" s="243"/>
      <c r="M80" s="243"/>
      <c r="N80" s="243"/>
      <c r="O80" s="243"/>
      <c r="P80" s="243"/>
      <c r="Q80" s="24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57"/>
    </row>
    <row r="81" spans="1:47" ht="60" customHeight="1" x14ac:dyDescent="0.35">
      <c r="A81" s="253" t="s">
        <v>4811</v>
      </c>
      <c r="B81" s="231" t="s">
        <v>4960</v>
      </c>
      <c r="C81" s="232" t="s">
        <v>4974</v>
      </c>
      <c r="D81" s="235" t="s">
        <v>4975</v>
      </c>
      <c r="E81" s="236" t="s">
        <v>4959</v>
      </c>
      <c r="F81" s="239" t="s">
        <v>4963</v>
      </c>
      <c r="G81" s="242" t="str">
        <f>IF(COUNTIF(H81:AU81,"&lt;&gt;")=0,"",SUMPRODUCT(((Recommendations[ImplStatus]="Implemented")+(Recommendations[ImplStatus]="Compensated"))*ISNUMBER(MATCH(Recommendations[Id],H81:AU81,0)))/COUNTIF(H81:AU81,"&lt;&gt;"))</f>
        <v/>
      </c>
      <c r="H81" s="243"/>
      <c r="I81" s="243"/>
      <c r="J81" s="243"/>
      <c r="K81" s="243"/>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57"/>
    </row>
    <row r="82" spans="1:47" ht="60" customHeight="1" x14ac:dyDescent="0.35">
      <c r="A82" s="253" t="s">
        <v>4811</v>
      </c>
      <c r="B82" s="231" t="s">
        <v>4960</v>
      </c>
      <c r="C82" s="232" t="s">
        <v>4976</v>
      </c>
      <c r="D82" s="235" t="s">
        <v>4977</v>
      </c>
      <c r="E82" s="236" t="s">
        <v>4959</v>
      </c>
      <c r="F82" s="239" t="s">
        <v>4963</v>
      </c>
      <c r="G82" s="242" t="str">
        <f>IF(COUNTIF(H82:AU82,"&lt;&gt;")=0,"",SUMPRODUCT(((Recommendations[ImplStatus]="Implemented")+(Recommendations[ImplStatus]="Compensated"))*ISNUMBER(MATCH(Recommendations[Id],H82:AU82,0)))/COUNTIF(H82:AU82,"&lt;&gt;"))</f>
        <v/>
      </c>
      <c r="H82" s="243"/>
      <c r="I82" s="243"/>
      <c r="J82" s="243"/>
      <c r="K82" s="243"/>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57"/>
    </row>
    <row r="83" spans="1:47" ht="60" customHeight="1" x14ac:dyDescent="0.35">
      <c r="A83" s="253" t="s">
        <v>4811</v>
      </c>
      <c r="B83" s="231" t="s">
        <v>4960</v>
      </c>
      <c r="C83" s="232" t="s">
        <v>4978</v>
      </c>
      <c r="D83" s="235" t="s">
        <v>4979</v>
      </c>
      <c r="E83" s="236" t="s">
        <v>4959</v>
      </c>
      <c r="F83" s="239" t="s">
        <v>4963</v>
      </c>
      <c r="G83" s="242" t="str">
        <f>IF(COUNTIF(H83:AU83,"&lt;&gt;")=0,"",SUMPRODUCT(((Recommendations[ImplStatus]="Implemented")+(Recommendations[ImplStatus]="Compensated"))*ISNUMBER(MATCH(Recommendations[Id],H83:AU83,0)))/COUNTIF(H83:AU83,"&lt;&gt;"))</f>
        <v/>
      </c>
      <c r="H83" s="243"/>
      <c r="I83" s="243"/>
      <c r="J83" s="243"/>
      <c r="K83" s="243"/>
      <c r="L83" s="243"/>
      <c r="M83" s="243"/>
      <c r="N83" s="243"/>
      <c r="O83" s="243"/>
      <c r="P83" s="243"/>
      <c r="Q83" s="243"/>
      <c r="R83" s="243"/>
      <c r="S83" s="243"/>
      <c r="T83" s="243"/>
      <c r="U83" s="243"/>
      <c r="V83" s="243"/>
      <c r="W83" s="243"/>
      <c r="X83" s="243"/>
      <c r="Y83" s="243"/>
      <c r="Z83" s="243"/>
      <c r="AA83" s="243"/>
      <c r="AB83" s="243"/>
      <c r="AC83" s="243"/>
      <c r="AD83" s="243"/>
      <c r="AE83" s="243"/>
      <c r="AF83" s="243"/>
      <c r="AG83" s="243"/>
      <c r="AH83" s="243"/>
      <c r="AI83" s="243"/>
      <c r="AJ83" s="243"/>
      <c r="AK83" s="243"/>
      <c r="AL83" s="243"/>
      <c r="AM83" s="243"/>
      <c r="AN83" s="243"/>
      <c r="AO83" s="243"/>
      <c r="AP83" s="243"/>
      <c r="AQ83" s="243"/>
      <c r="AR83" s="243"/>
      <c r="AS83" s="243"/>
      <c r="AT83" s="243"/>
      <c r="AU83" s="257"/>
    </row>
    <row r="84" spans="1:47" ht="60" customHeight="1" x14ac:dyDescent="0.35">
      <c r="A84" s="253" t="s">
        <v>4811</v>
      </c>
      <c r="B84" s="231" t="s">
        <v>4960</v>
      </c>
      <c r="C84" s="232" t="s">
        <v>4980</v>
      </c>
      <c r="D84" s="235" t="s">
        <v>4981</v>
      </c>
      <c r="E84" s="236" t="s">
        <v>4959</v>
      </c>
      <c r="F84" s="239" t="s">
        <v>4963</v>
      </c>
      <c r="G84" s="242" t="str">
        <f>IF(COUNTIF(H84:AU84,"&lt;&gt;")=0,"",SUMPRODUCT(((Recommendations[ImplStatus]="Implemented")+(Recommendations[ImplStatus]="Compensated"))*ISNUMBER(MATCH(Recommendations[Id],H84:AU84,0)))/COUNTIF(H84:AU84,"&lt;&gt;"))</f>
        <v/>
      </c>
      <c r="H84" s="243"/>
      <c r="I84" s="243"/>
      <c r="J84" s="243"/>
      <c r="K84" s="243"/>
      <c r="L84" s="243"/>
      <c r="M84" s="243"/>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57"/>
    </row>
    <row r="85" spans="1:47" ht="60" customHeight="1" x14ac:dyDescent="0.35">
      <c r="A85" s="253" t="s">
        <v>4811</v>
      </c>
      <c r="B85" s="231" t="s">
        <v>4960</v>
      </c>
      <c r="C85" s="232" t="s">
        <v>4982</v>
      </c>
      <c r="D85" s="235" t="s">
        <v>4983</v>
      </c>
      <c r="E85" s="236" t="s">
        <v>4959</v>
      </c>
      <c r="F85" s="239" t="s">
        <v>4963</v>
      </c>
      <c r="G85" s="242" t="str">
        <f>IF(COUNTIF(H85:AU85,"&lt;&gt;")=0,"",SUMPRODUCT(((Recommendations[ImplStatus]="Implemented")+(Recommendations[ImplStatus]="Compensated"))*ISNUMBER(MATCH(Recommendations[Id],H85:AU85,0)))/COUNTIF(H85:AU85,"&lt;&gt;"))</f>
        <v/>
      </c>
      <c r="H85" s="243"/>
      <c r="I85" s="243"/>
      <c r="J85" s="243"/>
      <c r="K85" s="243"/>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57"/>
    </row>
    <row r="86" spans="1:47" ht="60" customHeight="1" x14ac:dyDescent="0.35">
      <c r="A86" s="253" t="s">
        <v>4811</v>
      </c>
      <c r="B86" s="231" t="s">
        <v>4960</v>
      </c>
      <c r="C86" s="232" t="s">
        <v>4984</v>
      </c>
      <c r="D86" s="235" t="s">
        <v>4985</v>
      </c>
      <c r="E86" s="236" t="s">
        <v>4959</v>
      </c>
      <c r="F86" s="239" t="s">
        <v>4963</v>
      </c>
      <c r="G86" s="242" t="str">
        <f>IF(COUNTIF(H86:AU86,"&lt;&gt;")=0,"",SUMPRODUCT(((Recommendations[ImplStatus]="Implemented")+(Recommendations[ImplStatus]="Compensated"))*ISNUMBER(MATCH(Recommendations[Id],H86:AU86,0)))/COUNTIF(H86:AU86,"&lt;&gt;"))</f>
        <v/>
      </c>
      <c r="H86" s="243"/>
      <c r="I86" s="243"/>
      <c r="J86" s="243"/>
      <c r="K86" s="243"/>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57"/>
    </row>
    <row r="87" spans="1:47" ht="60" customHeight="1" x14ac:dyDescent="0.35">
      <c r="A87" s="253" t="s">
        <v>4811</v>
      </c>
      <c r="B87" s="231" t="s">
        <v>4960</v>
      </c>
      <c r="C87" s="232" t="s">
        <v>4986</v>
      </c>
      <c r="D87" s="235" t="s">
        <v>4987</v>
      </c>
      <c r="E87" s="236" t="s">
        <v>4959</v>
      </c>
      <c r="F87" s="239" t="s">
        <v>4963</v>
      </c>
      <c r="G87" s="242" t="str">
        <f>IF(COUNTIF(H87:AU87,"&lt;&gt;")=0,"",SUMPRODUCT(((Recommendations[ImplStatus]="Implemented")+(Recommendations[ImplStatus]="Compensated"))*ISNUMBER(MATCH(Recommendations[Id],H87:AU87,0)))/COUNTIF(H87:AU87,"&lt;&gt;"))</f>
        <v/>
      </c>
      <c r="H87" s="243"/>
      <c r="I87" s="243"/>
      <c r="J87" s="243"/>
      <c r="K87" s="243"/>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57"/>
    </row>
    <row r="88" spans="1:47" ht="60" customHeight="1" x14ac:dyDescent="0.35">
      <c r="A88" s="253" t="s">
        <v>4811</v>
      </c>
      <c r="B88" s="231" t="s">
        <v>4960</v>
      </c>
      <c r="C88" s="232" t="s">
        <v>4988</v>
      </c>
      <c r="D88" s="235" t="s">
        <v>4989</v>
      </c>
      <c r="E88" s="236" t="s">
        <v>4959</v>
      </c>
      <c r="F88" s="239" t="s">
        <v>4947</v>
      </c>
      <c r="G88" s="242" t="str">
        <f>IF(COUNTIF(H88:AU88,"&lt;&gt;")=0,"",SUMPRODUCT(((Recommendations[ImplStatus]="Implemented")+(Recommendations[ImplStatus]="Compensated"))*ISNUMBER(MATCH(Recommendations[Id],H88:AU88,0)))/COUNTIF(H88:AU88,"&lt;&gt;"))</f>
        <v/>
      </c>
      <c r="H88" s="243"/>
      <c r="I88" s="243"/>
      <c r="J88" s="243"/>
      <c r="K88" s="243"/>
      <c r="L88" s="243"/>
      <c r="M88" s="243"/>
      <c r="N88" s="243"/>
      <c r="O88" s="243"/>
      <c r="P88" s="243"/>
      <c r="Q88" s="24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57"/>
    </row>
    <row r="89" spans="1:47" ht="60" customHeight="1" x14ac:dyDescent="0.35">
      <c r="A89" s="253" t="s">
        <v>4811</v>
      </c>
      <c r="B89" s="231" t="s">
        <v>4960</v>
      </c>
      <c r="C89" s="232" t="s">
        <v>4990</v>
      </c>
      <c r="D89" s="235" t="s">
        <v>4991</v>
      </c>
      <c r="E89" s="236" t="s">
        <v>4959</v>
      </c>
      <c r="F89" s="239" t="s">
        <v>4947</v>
      </c>
      <c r="G89" s="242" t="str">
        <f>IF(COUNTIF(H89:AU89,"&lt;&gt;")=0,"",SUMPRODUCT(((Recommendations[ImplStatus]="Implemented")+(Recommendations[ImplStatus]="Compensated"))*ISNUMBER(MATCH(Recommendations[Id],H89:AU89,0)))/COUNTIF(H89:AU89,"&lt;&gt;"))</f>
        <v/>
      </c>
      <c r="H89" s="243"/>
      <c r="I89" s="243"/>
      <c r="J89" s="243"/>
      <c r="K89" s="243"/>
      <c r="L89" s="243"/>
      <c r="M89" s="243"/>
      <c r="N89" s="243"/>
      <c r="O89" s="243"/>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57"/>
    </row>
    <row r="90" spans="1:47" ht="60" customHeight="1" x14ac:dyDescent="0.35">
      <c r="A90" s="253" t="s">
        <v>4811</v>
      </c>
      <c r="B90" s="231" t="s">
        <v>4960</v>
      </c>
      <c r="C90" s="232" t="s">
        <v>4992</v>
      </c>
      <c r="D90" s="235" t="s">
        <v>4993</v>
      </c>
      <c r="E90" s="236" t="s">
        <v>4959</v>
      </c>
      <c r="F90" s="239" t="s">
        <v>4947</v>
      </c>
      <c r="G90" s="242" t="str">
        <f>IF(COUNTIF(H90:AU90,"&lt;&gt;")=0,"",SUMPRODUCT(((Recommendations[ImplStatus]="Implemented")+(Recommendations[ImplStatus]="Compensated"))*ISNUMBER(MATCH(Recommendations[Id],H90:AU90,0)))/COUNTIF(H90:AU90,"&lt;&gt;"))</f>
        <v/>
      </c>
      <c r="H90" s="243"/>
      <c r="I90" s="243"/>
      <c r="J90" s="243"/>
      <c r="K90" s="243"/>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57"/>
    </row>
    <row r="91" spans="1:47" ht="60" customHeight="1" outlineLevel="2" x14ac:dyDescent="0.35">
      <c r="A91" s="252" t="s">
        <v>4811</v>
      </c>
      <c r="B91" s="230" t="s">
        <v>4994</v>
      </c>
      <c r="C91" s="230"/>
      <c r="D91" s="234"/>
      <c r="E91" s="230"/>
      <c r="F91" s="238"/>
      <c r="G91" s="241" t="str">
        <f>IF(COUNTIF(H91:AU91,"&lt;&gt;")=0,"",SUMPRODUCT(((Recommendations[ImplStatus]="Implemented")+(Recommendations[ImplStatus]="Compensated"))*ISNUMBER(MATCH(Recommendations[Id],H91:AU91,0)))/COUNTIF(H91:AU91,"&lt;&gt;"))</f>
        <v/>
      </c>
      <c r="H91" s="238"/>
      <c r="I91" s="238"/>
      <c r="J91" s="238"/>
      <c r="K91" s="238"/>
      <c r="L91" s="238"/>
      <c r="M91" s="238"/>
      <c r="N91" s="238"/>
      <c r="O91" s="238"/>
      <c r="P91" s="238"/>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56"/>
    </row>
    <row r="92" spans="1:47" ht="60" customHeight="1" x14ac:dyDescent="0.35">
      <c r="A92" s="253" t="s">
        <v>4811</v>
      </c>
      <c r="B92" s="231" t="s">
        <v>4994</v>
      </c>
      <c r="C92" s="232" t="s">
        <v>4995</v>
      </c>
      <c r="D92" s="235" t="s">
        <v>4996</v>
      </c>
      <c r="E92" s="236" t="s">
        <v>4815</v>
      </c>
      <c r="F92" s="239" t="s">
        <v>4947</v>
      </c>
      <c r="G92" s="242" t="str">
        <f>IF(COUNTIF(H92:AU92,"&lt;&gt;")=0,"",SUMPRODUCT(((Recommendations[ImplStatus]="Implemented")+(Recommendations[ImplStatus]="Compensated"))*ISNUMBER(MATCH(Recommendations[Id],H92:AU92,0)))/COUNTIF(H92:AU92,"&lt;&gt;"))</f>
        <v/>
      </c>
      <c r="H92" s="243"/>
      <c r="I92" s="243"/>
      <c r="J92" s="243"/>
      <c r="K92" s="243"/>
      <c r="L92" s="243"/>
      <c r="M92" s="243"/>
      <c r="N92" s="243"/>
      <c r="O92" s="243"/>
      <c r="P92" s="243"/>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57"/>
    </row>
    <row r="93" spans="1:47" ht="60" customHeight="1" x14ac:dyDescent="0.35">
      <c r="A93" s="253" t="s">
        <v>4811</v>
      </c>
      <c r="B93" s="231" t="s">
        <v>4994</v>
      </c>
      <c r="C93" s="232" t="s">
        <v>4997</v>
      </c>
      <c r="D93" s="235" t="s">
        <v>4998</v>
      </c>
      <c r="E93" s="236" t="s">
        <v>4815</v>
      </c>
      <c r="F93" s="239" t="s">
        <v>4947</v>
      </c>
      <c r="G93" s="242" t="str">
        <f>IF(COUNTIF(H93:AU93,"&lt;&gt;")=0,"",SUMPRODUCT(((Recommendations[ImplStatus]="Implemented")+(Recommendations[ImplStatus]="Compensated"))*ISNUMBER(MATCH(Recommendations[Id],H93:AU93,0)))/COUNTIF(H93:AU93,"&lt;&gt;"))</f>
        <v/>
      </c>
      <c r="H93" s="243"/>
      <c r="I93" s="243"/>
      <c r="J93" s="243"/>
      <c r="K93" s="243"/>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57"/>
    </row>
    <row r="94" spans="1:47" ht="60" customHeight="1" x14ac:dyDescent="0.35">
      <c r="A94" s="253" t="s">
        <v>4811</v>
      </c>
      <c r="B94" s="231" t="s">
        <v>4994</v>
      </c>
      <c r="C94" s="232" t="s">
        <v>4999</v>
      </c>
      <c r="D94" s="235" t="s">
        <v>5000</v>
      </c>
      <c r="E94" s="236" t="s">
        <v>4815</v>
      </c>
      <c r="F94" s="239" t="s">
        <v>4947</v>
      </c>
      <c r="G94" s="242" t="str">
        <f>IF(COUNTIF(H94:AU94,"&lt;&gt;")=0,"",SUMPRODUCT(((Recommendations[ImplStatus]="Implemented")+(Recommendations[ImplStatus]="Compensated"))*ISNUMBER(MATCH(Recommendations[Id],H94:AU94,0)))/COUNTIF(H94:AU94,"&lt;&gt;"))</f>
        <v/>
      </c>
      <c r="H94" s="243"/>
      <c r="I94" s="243"/>
      <c r="J94" s="243"/>
      <c r="K94" s="243"/>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57"/>
    </row>
    <row r="95" spans="1:47" ht="60" customHeight="1" x14ac:dyDescent="0.35">
      <c r="A95" s="253" t="s">
        <v>4811</v>
      </c>
      <c r="B95" s="231" t="s">
        <v>4994</v>
      </c>
      <c r="C95" s="232" t="s">
        <v>5001</v>
      </c>
      <c r="D95" s="235" t="s">
        <v>5002</v>
      </c>
      <c r="E95" s="236" t="s">
        <v>4815</v>
      </c>
      <c r="F95" s="239" t="s">
        <v>4947</v>
      </c>
      <c r="G95" s="242" t="str">
        <f>IF(COUNTIF(H95:AU95,"&lt;&gt;")=0,"",SUMPRODUCT(((Recommendations[ImplStatus]="Implemented")+(Recommendations[ImplStatus]="Compensated"))*ISNUMBER(MATCH(Recommendations[Id],H95:AU95,0)))/COUNTIF(H95:AU95,"&lt;&gt;"))</f>
        <v/>
      </c>
      <c r="H95" s="243"/>
      <c r="I95" s="243"/>
      <c r="J95" s="243"/>
      <c r="K95" s="243"/>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57"/>
    </row>
    <row r="96" spans="1:47" ht="60" customHeight="1" x14ac:dyDescent="0.35">
      <c r="A96" s="253" t="s">
        <v>4811</v>
      </c>
      <c r="B96" s="231" t="s">
        <v>4994</v>
      </c>
      <c r="C96" s="232" t="s">
        <v>5003</v>
      </c>
      <c r="D96" s="235" t="s">
        <v>5004</v>
      </c>
      <c r="E96" s="236" t="s">
        <v>4815</v>
      </c>
      <c r="F96" s="239" t="s">
        <v>4947</v>
      </c>
      <c r="G96" s="242" t="str">
        <f>IF(COUNTIF(H96:AU96,"&lt;&gt;")=0,"",SUMPRODUCT(((Recommendations[ImplStatus]="Implemented")+(Recommendations[ImplStatus]="Compensated"))*ISNUMBER(MATCH(Recommendations[Id],H96:AU96,0)))/COUNTIF(H96:AU96,"&lt;&gt;"))</f>
        <v/>
      </c>
      <c r="H96" s="243"/>
      <c r="I96" s="243"/>
      <c r="J96" s="243"/>
      <c r="K96" s="243"/>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57"/>
    </row>
    <row r="97" spans="1:47" ht="60" customHeight="1" x14ac:dyDescent="0.35">
      <c r="A97" s="253" t="s">
        <v>4811</v>
      </c>
      <c r="B97" s="231" t="s">
        <v>4994</v>
      </c>
      <c r="C97" s="232" t="s">
        <v>5005</v>
      </c>
      <c r="D97" s="235" t="s">
        <v>5006</v>
      </c>
      <c r="E97" s="236" t="s">
        <v>4815</v>
      </c>
      <c r="F97" s="239" t="s">
        <v>5007</v>
      </c>
      <c r="G97" s="242" t="str">
        <f>IF(COUNTIF(H97:AU97,"&lt;&gt;")=0,"",SUMPRODUCT(((Recommendations[ImplStatus]="Implemented")+(Recommendations[ImplStatus]="Compensated"))*ISNUMBER(MATCH(Recommendations[Id],H97:AU97,0)))/COUNTIF(H97:AU97,"&lt;&gt;"))</f>
        <v/>
      </c>
      <c r="H97" s="243"/>
      <c r="I97" s="243"/>
      <c r="J97" s="243"/>
      <c r="K97" s="243"/>
      <c r="L97" s="243"/>
      <c r="M97" s="243"/>
      <c r="N97" s="243"/>
      <c r="O97" s="243"/>
      <c r="P97" s="243"/>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57"/>
    </row>
    <row r="98" spans="1:47" ht="60" customHeight="1" x14ac:dyDescent="0.35">
      <c r="A98" s="253" t="s">
        <v>4811</v>
      </c>
      <c r="B98" s="231" t="s">
        <v>4994</v>
      </c>
      <c r="C98" s="232" t="s">
        <v>5008</v>
      </c>
      <c r="D98" s="235" t="s">
        <v>5009</v>
      </c>
      <c r="E98" s="236" t="s">
        <v>4815</v>
      </c>
      <c r="F98" s="239" t="s">
        <v>5007</v>
      </c>
      <c r="G98" s="242" t="str">
        <f>IF(COUNTIF(H98:AU98,"&lt;&gt;")=0,"",SUMPRODUCT(((Recommendations[ImplStatus]="Implemented")+(Recommendations[ImplStatus]="Compensated"))*ISNUMBER(MATCH(Recommendations[Id],H98:AU98,0)))/COUNTIF(H98:AU98,"&lt;&gt;"))</f>
        <v/>
      </c>
      <c r="H98" s="243"/>
      <c r="I98" s="243"/>
      <c r="J98" s="243"/>
      <c r="K98" s="243"/>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57"/>
    </row>
    <row r="99" spans="1:47" ht="60" customHeight="1" x14ac:dyDescent="0.35">
      <c r="A99" s="253" t="s">
        <v>4811</v>
      </c>
      <c r="B99" s="231" t="s">
        <v>4994</v>
      </c>
      <c r="C99" s="232" t="s">
        <v>5010</v>
      </c>
      <c r="D99" s="235" t="s">
        <v>5011</v>
      </c>
      <c r="E99" s="236" t="s">
        <v>4815</v>
      </c>
      <c r="F99" s="239" t="s">
        <v>5007</v>
      </c>
      <c r="G99" s="242" t="str">
        <f>IF(COUNTIF(H99:AU99,"&lt;&gt;")=0,"",SUMPRODUCT(((Recommendations[ImplStatus]="Implemented")+(Recommendations[ImplStatus]="Compensated"))*ISNUMBER(MATCH(Recommendations[Id],H99:AU99,0)))/COUNTIF(H99:AU99,"&lt;&gt;"))</f>
        <v/>
      </c>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57"/>
    </row>
    <row r="100" spans="1:47" ht="60" customHeight="1" x14ac:dyDescent="0.35">
      <c r="A100" s="253" t="s">
        <v>4811</v>
      </c>
      <c r="B100" s="231" t="s">
        <v>4994</v>
      </c>
      <c r="C100" s="232" t="s">
        <v>5012</v>
      </c>
      <c r="D100" s="235" t="s">
        <v>5013</v>
      </c>
      <c r="E100" s="236" t="s">
        <v>4815</v>
      </c>
      <c r="F100" s="239" t="s">
        <v>5007</v>
      </c>
      <c r="G100" s="242" t="str">
        <f>IF(COUNTIF(H100:AU100,"&lt;&gt;")=0,"",SUMPRODUCT(((Recommendations[ImplStatus]="Implemented")+(Recommendations[ImplStatus]="Compensated"))*ISNUMBER(MATCH(Recommendations[Id],H100:AU100,0)))/COUNTIF(H100:AU100,"&lt;&gt;"))</f>
        <v/>
      </c>
      <c r="H100" s="243"/>
      <c r="I100" s="243"/>
      <c r="J100" s="243"/>
      <c r="K100" s="243"/>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57"/>
    </row>
    <row r="101" spans="1:47" ht="60" customHeight="1" x14ac:dyDescent="0.35">
      <c r="A101" s="253" t="s">
        <v>4811</v>
      </c>
      <c r="B101" s="231" t="s">
        <v>4994</v>
      </c>
      <c r="C101" s="232" t="s">
        <v>5014</v>
      </c>
      <c r="D101" s="235" t="s">
        <v>5015</v>
      </c>
      <c r="E101" s="236" t="s">
        <v>4815</v>
      </c>
      <c r="F101" s="239" t="s">
        <v>4947</v>
      </c>
      <c r="G101" s="242" t="str">
        <f>IF(COUNTIF(H101:AU101,"&lt;&gt;")=0,"",SUMPRODUCT(((Recommendations[ImplStatus]="Implemented")+(Recommendations[ImplStatus]="Compensated"))*ISNUMBER(MATCH(Recommendations[Id],H101:AU101,0)))/COUNTIF(H101:AU101,"&lt;&gt;"))</f>
        <v/>
      </c>
      <c r="H101" s="243"/>
      <c r="I101" s="243"/>
      <c r="J101" s="243"/>
      <c r="K101" s="243"/>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57"/>
    </row>
    <row r="102" spans="1:47" ht="60" customHeight="1" x14ac:dyDescent="0.35">
      <c r="A102" s="253" t="s">
        <v>4811</v>
      </c>
      <c r="B102" s="231" t="s">
        <v>4994</v>
      </c>
      <c r="C102" s="232" t="s">
        <v>5016</v>
      </c>
      <c r="D102" s="235" t="s">
        <v>5017</v>
      </c>
      <c r="E102" s="236" t="s">
        <v>4959</v>
      </c>
      <c r="F102" s="239" t="s">
        <v>4947</v>
      </c>
      <c r="G102" s="242" t="str">
        <f>IF(COUNTIF(H102:AU102,"&lt;&gt;")=0,"",SUMPRODUCT(((Recommendations[ImplStatus]="Implemented")+(Recommendations[ImplStatus]="Compensated"))*ISNUMBER(MATCH(Recommendations[Id],H102:AU102,0)))/COUNTIF(H102:AU102,"&lt;&gt;"))</f>
        <v/>
      </c>
      <c r="H102" s="243"/>
      <c r="I102" s="243"/>
      <c r="J102" s="243"/>
      <c r="K102" s="243"/>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57"/>
    </row>
    <row r="103" spans="1:47" ht="60" customHeight="1" x14ac:dyDescent="0.35">
      <c r="A103" s="253" t="s">
        <v>4811</v>
      </c>
      <c r="B103" s="231" t="s">
        <v>4994</v>
      </c>
      <c r="C103" s="232" t="s">
        <v>5018</v>
      </c>
      <c r="D103" s="235" t="s">
        <v>5019</v>
      </c>
      <c r="E103" s="236" t="s">
        <v>4959</v>
      </c>
      <c r="F103" s="239" t="s">
        <v>4947</v>
      </c>
      <c r="G103" s="242" t="str">
        <f>IF(COUNTIF(H103:AU103,"&lt;&gt;")=0,"",SUMPRODUCT(((Recommendations[ImplStatus]="Implemented")+(Recommendations[ImplStatus]="Compensated"))*ISNUMBER(MATCH(Recommendations[Id],H103:AU103,0)))/COUNTIF(H103:AU103,"&lt;&gt;"))</f>
        <v/>
      </c>
      <c r="H103" s="243"/>
      <c r="I103" s="243"/>
      <c r="J103" s="243"/>
      <c r="K103" s="243"/>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57"/>
    </row>
    <row r="104" spans="1:47" ht="60" customHeight="1" x14ac:dyDescent="0.35">
      <c r="A104" s="253" t="s">
        <v>4811</v>
      </c>
      <c r="B104" s="231" t="s">
        <v>4994</v>
      </c>
      <c r="C104" s="232" t="s">
        <v>5020</v>
      </c>
      <c r="D104" s="235" t="s">
        <v>5021</v>
      </c>
      <c r="E104" s="236" t="s">
        <v>4959</v>
      </c>
      <c r="F104" s="239" t="s">
        <v>4947</v>
      </c>
      <c r="G104" s="242" t="str">
        <f>IF(COUNTIF(H104:AU104,"&lt;&gt;")=0,"",SUMPRODUCT(((Recommendations[ImplStatus]="Implemented")+(Recommendations[ImplStatus]="Compensated"))*ISNUMBER(MATCH(Recommendations[Id],H104:AU104,0)))/COUNTIF(H104:AU104,"&lt;&gt;"))</f>
        <v/>
      </c>
      <c r="H104" s="243"/>
      <c r="I104" s="243"/>
      <c r="J104" s="243"/>
      <c r="K104" s="243"/>
      <c r="L104" s="243"/>
      <c r="M104" s="243"/>
      <c r="N104" s="243"/>
      <c r="O104" s="243"/>
      <c r="P104" s="243"/>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57"/>
    </row>
    <row r="105" spans="1:47" ht="60" customHeight="1" x14ac:dyDescent="0.35">
      <c r="A105" s="253" t="s">
        <v>4811</v>
      </c>
      <c r="B105" s="231" t="s">
        <v>4994</v>
      </c>
      <c r="C105" s="232" t="s">
        <v>5022</v>
      </c>
      <c r="D105" s="235" t="s">
        <v>5023</v>
      </c>
      <c r="E105" s="236" t="s">
        <v>4844</v>
      </c>
      <c r="F105" s="239" t="s">
        <v>4947</v>
      </c>
      <c r="G105" s="242" t="str">
        <f>IF(COUNTIF(H105:AU105,"&lt;&gt;")=0,"",SUMPRODUCT(((Recommendations[ImplStatus]="Implemented")+(Recommendations[ImplStatus]="Compensated"))*ISNUMBER(MATCH(Recommendations[Id],H105:AU105,0)))/COUNTIF(H105:AU105,"&lt;&gt;"))</f>
        <v/>
      </c>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57"/>
    </row>
    <row r="106" spans="1:47" ht="60" customHeight="1" outlineLevel="2" x14ac:dyDescent="0.35">
      <c r="A106" s="252" t="s">
        <v>4811</v>
      </c>
      <c r="B106" s="230" t="s">
        <v>5024</v>
      </c>
      <c r="C106" s="230"/>
      <c r="D106" s="234"/>
      <c r="E106" s="230"/>
      <c r="F106" s="238"/>
      <c r="G106" s="241" t="str">
        <f>IF(COUNTIF(H106:AU106,"&lt;&gt;")=0,"",SUMPRODUCT(((Recommendations[ImplStatus]="Implemented")+(Recommendations[ImplStatus]="Compensated"))*ISNUMBER(MATCH(Recommendations[Id],H106:AU106,0)))/COUNTIF(H106:AU106,"&lt;&gt;"))</f>
        <v/>
      </c>
      <c r="H106" s="238"/>
      <c r="I106" s="238"/>
      <c r="J106" s="238"/>
      <c r="K106" s="238"/>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56"/>
    </row>
    <row r="107" spans="1:47" ht="60" customHeight="1" x14ac:dyDescent="0.35">
      <c r="A107" s="253" t="s">
        <v>4811</v>
      </c>
      <c r="B107" s="231" t="s">
        <v>5024</v>
      </c>
      <c r="C107" s="232" t="s">
        <v>5025</v>
      </c>
      <c r="D107" s="235" t="s">
        <v>5026</v>
      </c>
      <c r="E107" s="236" t="s">
        <v>4959</v>
      </c>
      <c r="F107" s="239" t="s">
        <v>4947</v>
      </c>
      <c r="G107" s="242" t="str">
        <f>IF(COUNTIF(H107:AU107,"&lt;&gt;")=0,"",SUMPRODUCT(((Recommendations[ImplStatus]="Implemented")+(Recommendations[ImplStatus]="Compensated"))*ISNUMBER(MATCH(Recommendations[Id],H107:AU107,0)))/COUNTIF(H107:AU107,"&lt;&gt;"))</f>
        <v/>
      </c>
      <c r="H107" s="243"/>
      <c r="I107" s="243"/>
      <c r="J107" s="243"/>
      <c r="K107" s="243"/>
      <c r="L107" s="243"/>
      <c r="M107" s="243"/>
      <c r="N107" s="243"/>
      <c r="O107" s="243"/>
      <c r="P107" s="243"/>
      <c r="Q107" s="24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57"/>
    </row>
    <row r="108" spans="1:47" ht="60" customHeight="1" x14ac:dyDescent="0.35">
      <c r="A108" s="253" t="s">
        <v>4811</v>
      </c>
      <c r="B108" s="231" t="s">
        <v>5024</v>
      </c>
      <c r="C108" s="232" t="s">
        <v>5027</v>
      </c>
      <c r="D108" s="235" t="s">
        <v>5028</v>
      </c>
      <c r="E108" s="236" t="s">
        <v>4959</v>
      </c>
      <c r="F108" s="239" t="s">
        <v>4947</v>
      </c>
      <c r="G108" s="242" t="str">
        <f>IF(COUNTIF(H108:AU108,"&lt;&gt;")=0,"",SUMPRODUCT(((Recommendations[ImplStatus]="Implemented")+(Recommendations[ImplStatus]="Compensated"))*ISNUMBER(MATCH(Recommendations[Id],H108:AU108,0)))/COUNTIF(H108:AU108,"&lt;&gt;"))</f>
        <v/>
      </c>
      <c r="H108" s="243"/>
      <c r="I108" s="243"/>
      <c r="J108" s="243"/>
      <c r="K108" s="243"/>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57"/>
    </row>
    <row r="109" spans="1:47" ht="60" customHeight="1" x14ac:dyDescent="0.35">
      <c r="A109" s="253" t="s">
        <v>4811</v>
      </c>
      <c r="B109" s="231" t="s">
        <v>5024</v>
      </c>
      <c r="C109" s="232" t="s">
        <v>5029</v>
      </c>
      <c r="D109" s="235" t="s">
        <v>5030</v>
      </c>
      <c r="E109" s="236" t="s">
        <v>4959</v>
      </c>
      <c r="F109" s="239" t="s">
        <v>4947</v>
      </c>
      <c r="G109" s="242" t="str">
        <f>IF(COUNTIF(H109:AU109,"&lt;&gt;")=0,"",SUMPRODUCT(((Recommendations[ImplStatus]="Implemented")+(Recommendations[ImplStatus]="Compensated"))*ISNUMBER(MATCH(Recommendations[Id],H109:AU109,0)))/COUNTIF(H109:AU109,"&lt;&gt;"))</f>
        <v/>
      </c>
      <c r="H109" s="243"/>
      <c r="I109" s="243"/>
      <c r="J109" s="243"/>
      <c r="K109" s="243"/>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57"/>
    </row>
    <row r="110" spans="1:47" ht="60" customHeight="1" x14ac:dyDescent="0.35">
      <c r="A110" s="253" t="s">
        <v>4811</v>
      </c>
      <c r="B110" s="231" t="s">
        <v>5024</v>
      </c>
      <c r="C110" s="232" t="s">
        <v>5031</v>
      </c>
      <c r="D110" s="235" t="s">
        <v>5032</v>
      </c>
      <c r="E110" s="236" t="s">
        <v>4959</v>
      </c>
      <c r="F110" s="239" t="s">
        <v>4947</v>
      </c>
      <c r="G110" s="242" t="str">
        <f>IF(COUNTIF(H110:AU110,"&lt;&gt;")=0,"",SUMPRODUCT(((Recommendations[ImplStatus]="Implemented")+(Recommendations[ImplStatus]="Compensated"))*ISNUMBER(MATCH(Recommendations[Id],H110:AU110,0)))/COUNTIF(H110:AU110,"&lt;&gt;"))</f>
        <v/>
      </c>
      <c r="H110" s="243"/>
      <c r="I110" s="243"/>
      <c r="J110" s="243"/>
      <c r="K110" s="243"/>
      <c r="L110" s="243"/>
      <c r="M110" s="243"/>
      <c r="N110" s="243"/>
      <c r="O110" s="243"/>
      <c r="P110" s="243"/>
      <c r="Q110" s="24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57"/>
    </row>
    <row r="111" spans="1:47" ht="60" customHeight="1" x14ac:dyDescent="0.35">
      <c r="A111" s="253" t="s">
        <v>4811</v>
      </c>
      <c r="B111" s="231" t="s">
        <v>5024</v>
      </c>
      <c r="C111" s="232" t="s">
        <v>5033</v>
      </c>
      <c r="D111" s="235" t="s">
        <v>5034</v>
      </c>
      <c r="E111" s="236" t="s">
        <v>4959</v>
      </c>
      <c r="F111" s="239" t="s">
        <v>4947</v>
      </c>
      <c r="G111" s="242" t="str">
        <f>IF(COUNTIF(H111:AU111,"&lt;&gt;")=0,"",SUMPRODUCT(((Recommendations[ImplStatus]="Implemented")+(Recommendations[ImplStatus]="Compensated"))*ISNUMBER(MATCH(Recommendations[Id],H111:AU111,0)))/COUNTIF(H111:AU111,"&lt;&gt;"))</f>
        <v/>
      </c>
      <c r="H111" s="243"/>
      <c r="I111" s="243"/>
      <c r="J111" s="243"/>
      <c r="K111" s="243"/>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57"/>
    </row>
    <row r="112" spans="1:47" ht="60" customHeight="1" x14ac:dyDescent="0.35">
      <c r="A112" s="253" t="s">
        <v>4811</v>
      </c>
      <c r="B112" s="231" t="s">
        <v>5024</v>
      </c>
      <c r="C112" s="232" t="s">
        <v>5035</v>
      </c>
      <c r="D112" s="235" t="s">
        <v>5036</v>
      </c>
      <c r="E112" s="236" t="s">
        <v>4959</v>
      </c>
      <c r="F112" s="239" t="s">
        <v>4947</v>
      </c>
      <c r="G112" s="242" t="str">
        <f>IF(COUNTIF(H112:AU112,"&lt;&gt;")=0,"",SUMPRODUCT(((Recommendations[ImplStatus]="Implemented")+(Recommendations[ImplStatus]="Compensated"))*ISNUMBER(MATCH(Recommendations[Id],H112:AU112,0)))/COUNTIF(H112:AU112,"&lt;&gt;"))</f>
        <v/>
      </c>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57"/>
    </row>
    <row r="113" spans="1:47" ht="60" customHeight="1" x14ac:dyDescent="0.35">
      <c r="A113" s="253" t="s">
        <v>4811</v>
      </c>
      <c r="B113" s="231" t="s">
        <v>5024</v>
      </c>
      <c r="C113" s="232" t="s">
        <v>5037</v>
      </c>
      <c r="D113" s="235" t="s">
        <v>5038</v>
      </c>
      <c r="E113" s="236" t="s">
        <v>4959</v>
      </c>
      <c r="F113" s="239" t="s">
        <v>4947</v>
      </c>
      <c r="G113" s="242" t="str">
        <f>IF(COUNTIF(H113:AU113,"&lt;&gt;")=0,"",SUMPRODUCT(((Recommendations[ImplStatus]="Implemented")+(Recommendations[ImplStatus]="Compensated"))*ISNUMBER(MATCH(Recommendations[Id],H113:AU113,0)))/COUNTIF(H113:AU113,"&lt;&gt;"))</f>
        <v/>
      </c>
      <c r="H113" s="243"/>
      <c r="I113" s="243"/>
      <c r="J113" s="243"/>
      <c r="K113" s="243"/>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57"/>
    </row>
    <row r="114" spans="1:47" ht="60" customHeight="1" x14ac:dyDescent="0.35">
      <c r="A114" s="253" t="s">
        <v>4811</v>
      </c>
      <c r="B114" s="231" t="s">
        <v>5024</v>
      </c>
      <c r="C114" s="232" t="s">
        <v>5039</v>
      </c>
      <c r="D114" s="235" t="s">
        <v>5040</v>
      </c>
      <c r="E114" s="236" t="s">
        <v>4959</v>
      </c>
      <c r="F114" s="239" t="s">
        <v>4947</v>
      </c>
      <c r="G114" s="242" t="str">
        <f>IF(COUNTIF(H114:AU114,"&lt;&gt;")=0,"",SUMPRODUCT(((Recommendations[ImplStatus]="Implemented")+(Recommendations[ImplStatus]="Compensated"))*ISNUMBER(MATCH(Recommendations[Id],H114:AU114,0)))/COUNTIF(H114:AU114,"&lt;&gt;"))</f>
        <v/>
      </c>
      <c r="H114" s="243"/>
      <c r="I114" s="243"/>
      <c r="J114" s="243"/>
      <c r="K114" s="243"/>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57"/>
    </row>
    <row r="115" spans="1:47" ht="60" customHeight="1" x14ac:dyDescent="0.35">
      <c r="A115" s="253" t="s">
        <v>4811</v>
      </c>
      <c r="B115" s="231" t="s">
        <v>5024</v>
      </c>
      <c r="C115" s="232" t="s">
        <v>5041</v>
      </c>
      <c r="D115" s="235" t="s">
        <v>5042</v>
      </c>
      <c r="E115" s="236" t="s">
        <v>4959</v>
      </c>
      <c r="F115" s="239" t="s">
        <v>4947</v>
      </c>
      <c r="G115" s="242" t="str">
        <f>IF(COUNTIF(H115:AU115,"&lt;&gt;")=0,"",SUMPRODUCT(((Recommendations[ImplStatus]="Implemented")+(Recommendations[ImplStatus]="Compensated"))*ISNUMBER(MATCH(Recommendations[Id],H115:AU115,0)))/COUNTIF(H115:AU115,"&lt;&gt;"))</f>
        <v/>
      </c>
      <c r="H115" s="243"/>
      <c r="I115" s="243"/>
      <c r="J115" s="243"/>
      <c r="K115" s="243"/>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57"/>
    </row>
    <row r="116" spans="1:47" ht="60" customHeight="1" x14ac:dyDescent="0.35">
      <c r="A116" s="253" t="s">
        <v>4811</v>
      </c>
      <c r="B116" s="231" t="s">
        <v>5024</v>
      </c>
      <c r="C116" s="232" t="s">
        <v>5043</v>
      </c>
      <c r="D116" s="235" t="s">
        <v>5044</v>
      </c>
      <c r="E116" s="236" t="s">
        <v>4959</v>
      </c>
      <c r="F116" s="239" t="s">
        <v>4947</v>
      </c>
      <c r="G116" s="242" t="str">
        <f>IF(COUNTIF(H116:AU116,"&lt;&gt;")=0,"",SUMPRODUCT(((Recommendations[ImplStatus]="Implemented")+(Recommendations[ImplStatus]="Compensated"))*ISNUMBER(MATCH(Recommendations[Id],H116:AU116,0)))/COUNTIF(H116:AU116,"&lt;&gt;"))</f>
        <v/>
      </c>
      <c r="H116" s="243"/>
      <c r="I116" s="243"/>
      <c r="J116" s="243"/>
      <c r="K116" s="243"/>
      <c r="L116" s="243"/>
      <c r="M116" s="243"/>
      <c r="N116" s="243"/>
      <c r="O116" s="243"/>
      <c r="P116" s="243"/>
      <c r="Q116" s="24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57"/>
    </row>
    <row r="117" spans="1:47" ht="60" customHeight="1" x14ac:dyDescent="0.35">
      <c r="A117" s="253" t="s">
        <v>4811</v>
      </c>
      <c r="B117" s="231" t="s">
        <v>5024</v>
      </c>
      <c r="C117" s="232" t="s">
        <v>5045</v>
      </c>
      <c r="D117" s="235" t="s">
        <v>5046</v>
      </c>
      <c r="E117" s="236" t="s">
        <v>4959</v>
      </c>
      <c r="F117" s="239" t="s">
        <v>4947</v>
      </c>
      <c r="G117" s="242" t="str">
        <f>IF(COUNTIF(H117:AU117,"&lt;&gt;")=0,"",SUMPRODUCT(((Recommendations[ImplStatus]="Implemented")+(Recommendations[ImplStatus]="Compensated"))*ISNUMBER(MATCH(Recommendations[Id],H117:AU117,0)))/COUNTIF(H117:AU117,"&lt;&gt;"))</f>
        <v/>
      </c>
      <c r="H117" s="243"/>
      <c r="I117" s="243"/>
      <c r="J117" s="243"/>
      <c r="K117" s="243"/>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57"/>
    </row>
    <row r="118" spans="1:47" ht="60" customHeight="1" outlineLevel="1" x14ac:dyDescent="0.35">
      <c r="A118" s="251" t="s">
        <v>5047</v>
      </c>
      <c r="B118" s="229"/>
      <c r="C118" s="229"/>
      <c r="D118" s="233"/>
      <c r="E118" s="229"/>
      <c r="F118" s="237"/>
      <c r="G118" s="240" t="str">
        <f>IF(COUNTIF(H118:AU118,"&lt;&gt;")=0,"",SUMPRODUCT(((Recommendations[ImplStatus]="Implemented")+(Recommendations[ImplStatus]="Compensated"))*ISNUMBER(MATCH(Recommendations[Id],H118:AU118,0)))/COUNTIF(H118:AU118,"&lt;&gt;"))</f>
        <v/>
      </c>
      <c r="H118" s="237"/>
      <c r="I118" s="237"/>
      <c r="J118" s="237"/>
      <c r="K118" s="237"/>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55"/>
    </row>
    <row r="119" spans="1:47" ht="60" customHeight="1" outlineLevel="2" x14ac:dyDescent="0.35">
      <c r="A119" s="252" t="s">
        <v>5047</v>
      </c>
      <c r="B119" s="230" t="s">
        <v>5048</v>
      </c>
      <c r="C119" s="230"/>
      <c r="D119" s="234"/>
      <c r="E119" s="230"/>
      <c r="F119" s="238"/>
      <c r="G119" s="241" t="str">
        <f>IF(COUNTIF(H119:AU119,"&lt;&gt;")=0,"",SUMPRODUCT(((Recommendations[ImplStatus]="Implemented")+(Recommendations[ImplStatus]="Compensated"))*ISNUMBER(MATCH(Recommendations[Id],H119:AU119,0)))/COUNTIF(H119:AU119,"&lt;&gt;"))</f>
        <v/>
      </c>
      <c r="H119" s="238"/>
      <c r="I119" s="238"/>
      <c r="J119" s="238"/>
      <c r="K119" s="238"/>
      <c r="L119" s="238"/>
      <c r="M119" s="238"/>
      <c r="N119" s="238"/>
      <c r="O119" s="238"/>
      <c r="P119" s="238"/>
      <c r="Q119" s="238"/>
      <c r="R119" s="238"/>
      <c r="S119" s="238"/>
      <c r="T119" s="238"/>
      <c r="U119" s="238"/>
      <c r="V119" s="238"/>
      <c r="W119" s="238"/>
      <c r="X119" s="238"/>
      <c r="Y119" s="238"/>
      <c r="Z119" s="238"/>
      <c r="AA119" s="238"/>
      <c r="AB119" s="238"/>
      <c r="AC119" s="238"/>
      <c r="AD119" s="238"/>
      <c r="AE119" s="238"/>
      <c r="AF119" s="238"/>
      <c r="AG119" s="238"/>
      <c r="AH119" s="238"/>
      <c r="AI119" s="238"/>
      <c r="AJ119" s="238"/>
      <c r="AK119" s="238"/>
      <c r="AL119" s="238"/>
      <c r="AM119" s="238"/>
      <c r="AN119" s="238"/>
      <c r="AO119" s="238"/>
      <c r="AP119" s="238"/>
      <c r="AQ119" s="238"/>
      <c r="AR119" s="238"/>
      <c r="AS119" s="238"/>
      <c r="AT119" s="238"/>
      <c r="AU119" s="256"/>
    </row>
    <row r="120" spans="1:47" ht="60" customHeight="1" x14ac:dyDescent="0.35">
      <c r="A120" s="253" t="s">
        <v>5047</v>
      </c>
      <c r="B120" s="231" t="s">
        <v>5048</v>
      </c>
      <c r="C120" s="232" t="s">
        <v>5049</v>
      </c>
      <c r="D120" s="235" t="s">
        <v>5050</v>
      </c>
      <c r="E120" s="236" t="s">
        <v>4815</v>
      </c>
      <c r="F120" s="239" t="s">
        <v>5051</v>
      </c>
      <c r="G120" s="242" t="str">
        <f>IF(COUNTIF(H120:AU120,"&lt;&gt;")=0,"",SUMPRODUCT(((Recommendations[ImplStatus]="Implemented")+(Recommendations[ImplStatus]="Compensated"))*ISNUMBER(MATCH(Recommendations[Id],H120:AU120,0)))/COUNTIF(H120:AU120,"&lt;&gt;"))</f>
        <v/>
      </c>
      <c r="H120" s="243"/>
      <c r="I120" s="243"/>
      <c r="J120" s="243"/>
      <c r="K120" s="243"/>
      <c r="L120" s="243"/>
      <c r="M120" s="243"/>
      <c r="N120" s="243"/>
      <c r="O120" s="243"/>
      <c r="P120" s="243"/>
      <c r="Q120" s="24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57"/>
    </row>
    <row r="121" spans="1:47" ht="60" customHeight="1" x14ac:dyDescent="0.35">
      <c r="A121" s="253" t="s">
        <v>5047</v>
      </c>
      <c r="B121" s="231" t="s">
        <v>5048</v>
      </c>
      <c r="C121" s="232" t="s">
        <v>5052</v>
      </c>
      <c r="D121" s="235" t="s">
        <v>5053</v>
      </c>
      <c r="E121" s="236" t="s">
        <v>4815</v>
      </c>
      <c r="F121" s="239" t="s">
        <v>5051</v>
      </c>
      <c r="G121" s="242" t="str">
        <f>IF(COUNTIF(H121:AU121,"&lt;&gt;")=0,"",SUMPRODUCT(((Recommendations[ImplStatus]="Implemented")+(Recommendations[ImplStatus]="Compensated"))*ISNUMBER(MATCH(Recommendations[Id],H121:AU121,0)))/COUNTIF(H121:AU121,"&lt;&gt;"))</f>
        <v/>
      </c>
      <c r="H121" s="243"/>
      <c r="I121" s="243"/>
      <c r="J121" s="243"/>
      <c r="K121" s="243"/>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57"/>
    </row>
    <row r="122" spans="1:47" ht="60" customHeight="1" x14ac:dyDescent="0.35">
      <c r="A122" s="253" t="s">
        <v>5047</v>
      </c>
      <c r="B122" s="231" t="s">
        <v>5048</v>
      </c>
      <c r="C122" s="232" t="s">
        <v>5054</v>
      </c>
      <c r="D122" s="235" t="s">
        <v>5055</v>
      </c>
      <c r="E122" s="236" t="s">
        <v>4815</v>
      </c>
      <c r="F122" s="239" t="s">
        <v>5051</v>
      </c>
      <c r="G122" s="242" t="str">
        <f>IF(COUNTIF(H122:AU122,"&lt;&gt;")=0,"",SUMPRODUCT(((Recommendations[ImplStatus]="Implemented")+(Recommendations[ImplStatus]="Compensated"))*ISNUMBER(MATCH(Recommendations[Id],H122:AU122,0)))/COUNTIF(H122:AU122,"&lt;&gt;"))</f>
        <v/>
      </c>
      <c r="H122" s="243"/>
      <c r="I122" s="243"/>
      <c r="J122" s="243"/>
      <c r="K122" s="243"/>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57"/>
    </row>
    <row r="123" spans="1:47" ht="60" customHeight="1" x14ac:dyDescent="0.35">
      <c r="A123" s="253" t="s">
        <v>5047</v>
      </c>
      <c r="B123" s="231" t="s">
        <v>5048</v>
      </c>
      <c r="C123" s="232" t="s">
        <v>5056</v>
      </c>
      <c r="D123" s="235" t="s">
        <v>5057</v>
      </c>
      <c r="E123" s="236" t="s">
        <v>4815</v>
      </c>
      <c r="F123" s="239" t="s">
        <v>5051</v>
      </c>
      <c r="G123" s="242" t="str">
        <f>IF(COUNTIF(H123:AU123,"&lt;&gt;")=0,"",SUMPRODUCT(((Recommendations[ImplStatus]="Implemented")+(Recommendations[ImplStatus]="Compensated"))*ISNUMBER(MATCH(Recommendations[Id],H123:AU123,0)))/COUNTIF(H123:AU123,"&lt;&gt;"))</f>
        <v/>
      </c>
      <c r="H123" s="243"/>
      <c r="I123" s="243"/>
      <c r="J123" s="243"/>
      <c r="K123" s="243"/>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57"/>
    </row>
    <row r="124" spans="1:47" ht="60" customHeight="1" x14ac:dyDescent="0.35">
      <c r="A124" s="253" t="s">
        <v>5047</v>
      </c>
      <c r="B124" s="231" t="s">
        <v>5048</v>
      </c>
      <c r="C124" s="232" t="s">
        <v>5058</v>
      </c>
      <c r="D124" s="235" t="s">
        <v>5059</v>
      </c>
      <c r="E124" s="236" t="s">
        <v>4815</v>
      </c>
      <c r="F124" s="239" t="s">
        <v>5051</v>
      </c>
      <c r="G124" s="242" t="str">
        <f>IF(COUNTIF(H124:AU124,"&lt;&gt;")=0,"",SUMPRODUCT(((Recommendations[ImplStatus]="Implemented")+(Recommendations[ImplStatus]="Compensated"))*ISNUMBER(MATCH(Recommendations[Id],H124:AU124,0)))/COUNTIF(H124:AU124,"&lt;&gt;"))</f>
        <v/>
      </c>
      <c r="H124" s="243"/>
      <c r="I124" s="243"/>
      <c r="J124" s="243"/>
      <c r="K124" s="243"/>
      <c r="L124" s="243"/>
      <c r="M124" s="243"/>
      <c r="N124" s="243"/>
      <c r="O124" s="243"/>
      <c r="P124" s="243"/>
      <c r="Q124" s="24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57"/>
    </row>
    <row r="125" spans="1:47" ht="60" customHeight="1" x14ac:dyDescent="0.35">
      <c r="A125" s="253" t="s">
        <v>5047</v>
      </c>
      <c r="B125" s="231" t="s">
        <v>5048</v>
      </c>
      <c r="C125" s="232" t="s">
        <v>5060</v>
      </c>
      <c r="D125" s="235" t="s">
        <v>5061</v>
      </c>
      <c r="E125" s="236" t="s">
        <v>4815</v>
      </c>
      <c r="F125" s="239" t="s">
        <v>5051</v>
      </c>
      <c r="G125" s="242" t="str">
        <f>IF(COUNTIF(H125:AU125,"&lt;&gt;")=0,"",SUMPRODUCT(((Recommendations[ImplStatus]="Implemented")+(Recommendations[ImplStatus]="Compensated"))*ISNUMBER(MATCH(Recommendations[Id],H125:AU125,0)))/COUNTIF(H125:AU125,"&lt;&gt;"))</f>
        <v/>
      </c>
      <c r="H125" s="243"/>
      <c r="I125" s="243"/>
      <c r="J125" s="243"/>
      <c r="K125" s="243"/>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57"/>
    </row>
    <row r="126" spans="1:47" ht="60" customHeight="1" x14ac:dyDescent="0.35">
      <c r="A126" s="253" t="s">
        <v>5047</v>
      </c>
      <c r="B126" s="231" t="s">
        <v>5048</v>
      </c>
      <c r="C126" s="232" t="s">
        <v>5062</v>
      </c>
      <c r="D126" s="235" t="s">
        <v>5063</v>
      </c>
      <c r="E126" s="236" t="s">
        <v>4815</v>
      </c>
      <c r="F126" s="239" t="s">
        <v>5051</v>
      </c>
      <c r="G126" s="242" t="str">
        <f>IF(COUNTIF(H126:AU126,"&lt;&gt;")=0,"",SUMPRODUCT(((Recommendations[ImplStatus]="Implemented")+(Recommendations[ImplStatus]="Compensated"))*ISNUMBER(MATCH(Recommendations[Id],H126:AU126,0)))/COUNTIF(H126:AU126,"&lt;&gt;"))</f>
        <v/>
      </c>
      <c r="H126" s="243"/>
      <c r="I126" s="243"/>
      <c r="J126" s="243"/>
      <c r="K126" s="243"/>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57"/>
    </row>
    <row r="127" spans="1:47" ht="60" customHeight="1" x14ac:dyDescent="0.35">
      <c r="A127" s="253" t="s">
        <v>5047</v>
      </c>
      <c r="B127" s="231" t="s">
        <v>5048</v>
      </c>
      <c r="C127" s="232" t="s">
        <v>5064</v>
      </c>
      <c r="D127" s="235" t="s">
        <v>5065</v>
      </c>
      <c r="E127" s="236" t="s">
        <v>4815</v>
      </c>
      <c r="F127" s="239" t="s">
        <v>5051</v>
      </c>
      <c r="G127" s="242" t="str">
        <f>IF(COUNTIF(H127:AU127,"&lt;&gt;")=0,"",SUMPRODUCT(((Recommendations[ImplStatus]="Implemented")+(Recommendations[ImplStatus]="Compensated"))*ISNUMBER(MATCH(Recommendations[Id],H127:AU127,0)))/COUNTIF(H127:AU127,"&lt;&gt;"))</f>
        <v/>
      </c>
      <c r="H127" s="243"/>
      <c r="I127" s="243"/>
      <c r="J127" s="243"/>
      <c r="K127" s="243"/>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57"/>
    </row>
    <row r="128" spans="1:47" ht="60" customHeight="1" x14ac:dyDescent="0.35">
      <c r="A128" s="253" t="s">
        <v>5047</v>
      </c>
      <c r="B128" s="231" t="s">
        <v>5048</v>
      </c>
      <c r="C128" s="232" t="s">
        <v>5066</v>
      </c>
      <c r="D128" s="235" t="s">
        <v>5067</v>
      </c>
      <c r="E128" s="236" t="s">
        <v>4815</v>
      </c>
      <c r="F128" s="239" t="s">
        <v>5051</v>
      </c>
      <c r="G128" s="242" t="str">
        <f>IF(COUNTIF(H128:AU128,"&lt;&gt;")=0,"",SUMPRODUCT(((Recommendations[ImplStatus]="Implemented")+(Recommendations[ImplStatus]="Compensated"))*ISNUMBER(MATCH(Recommendations[Id],H128:AU128,0)))/COUNTIF(H128:AU128,"&lt;&gt;"))</f>
        <v/>
      </c>
      <c r="H128" s="243"/>
      <c r="I128" s="243"/>
      <c r="J128" s="243"/>
      <c r="K128" s="243"/>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57"/>
    </row>
    <row r="129" spans="1:47" ht="60" customHeight="1" x14ac:dyDescent="0.35">
      <c r="A129" s="253" t="s">
        <v>5047</v>
      </c>
      <c r="B129" s="231" t="s">
        <v>5048</v>
      </c>
      <c r="C129" s="232" t="s">
        <v>5068</v>
      </c>
      <c r="D129" s="235" t="s">
        <v>5069</v>
      </c>
      <c r="E129" s="236" t="s">
        <v>4815</v>
      </c>
      <c r="F129" s="239" t="s">
        <v>5051</v>
      </c>
      <c r="G129" s="242" t="str">
        <f>IF(COUNTIF(H129:AU129,"&lt;&gt;")=0,"",SUMPRODUCT(((Recommendations[ImplStatus]="Implemented")+(Recommendations[ImplStatus]="Compensated"))*ISNUMBER(MATCH(Recommendations[Id],H129:AU129,0)))/COUNTIF(H129:AU129,"&lt;&gt;"))</f>
        <v/>
      </c>
      <c r="H129" s="243"/>
      <c r="I129" s="243"/>
      <c r="J129" s="243"/>
      <c r="K129" s="243"/>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57"/>
    </row>
    <row r="130" spans="1:47" ht="60" customHeight="1" x14ac:dyDescent="0.35">
      <c r="A130" s="253" t="s">
        <v>5047</v>
      </c>
      <c r="B130" s="231" t="s">
        <v>5048</v>
      </c>
      <c r="C130" s="232" t="s">
        <v>5070</v>
      </c>
      <c r="D130" s="235" t="s">
        <v>5071</v>
      </c>
      <c r="E130" s="236" t="s">
        <v>4815</v>
      </c>
      <c r="F130" s="239" t="s">
        <v>5051</v>
      </c>
      <c r="G130" s="242" t="str">
        <f>IF(COUNTIF(H130:AU130,"&lt;&gt;")=0,"",SUMPRODUCT(((Recommendations[ImplStatus]="Implemented")+(Recommendations[ImplStatus]="Compensated"))*ISNUMBER(MATCH(Recommendations[Id],H130:AU130,0)))/COUNTIF(H130:AU130,"&lt;&gt;"))</f>
        <v/>
      </c>
      <c r="H130" s="243"/>
      <c r="I130" s="243"/>
      <c r="J130" s="243"/>
      <c r="K130" s="243"/>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57"/>
    </row>
    <row r="131" spans="1:47" ht="60" customHeight="1" x14ac:dyDescent="0.35">
      <c r="A131" s="253" t="s">
        <v>5047</v>
      </c>
      <c r="B131" s="231" t="s">
        <v>5048</v>
      </c>
      <c r="C131" s="232" t="s">
        <v>5072</v>
      </c>
      <c r="D131" s="235" t="s">
        <v>5073</v>
      </c>
      <c r="E131" s="236" t="s">
        <v>4815</v>
      </c>
      <c r="F131" s="239" t="s">
        <v>5051</v>
      </c>
      <c r="G131" s="242" t="str">
        <f>IF(COUNTIF(H131:AU131,"&lt;&gt;")=0,"",SUMPRODUCT(((Recommendations[ImplStatus]="Implemented")+(Recommendations[ImplStatus]="Compensated"))*ISNUMBER(MATCH(Recommendations[Id],H131:AU131,0)))/COUNTIF(H131:AU131,"&lt;&gt;"))</f>
        <v/>
      </c>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57"/>
    </row>
    <row r="132" spans="1:47" ht="60" customHeight="1" x14ac:dyDescent="0.35">
      <c r="A132" s="253" t="s">
        <v>5047</v>
      </c>
      <c r="B132" s="231" t="s">
        <v>5048</v>
      </c>
      <c r="C132" s="232" t="s">
        <v>5074</v>
      </c>
      <c r="D132" s="235" t="s">
        <v>5075</v>
      </c>
      <c r="E132" s="236" t="s">
        <v>4815</v>
      </c>
      <c r="F132" s="239" t="s">
        <v>5051</v>
      </c>
      <c r="G132" s="242" t="str">
        <f>IF(COUNTIF(H132:AU132,"&lt;&gt;")=0,"",SUMPRODUCT(((Recommendations[ImplStatus]="Implemented")+(Recommendations[ImplStatus]="Compensated"))*ISNUMBER(MATCH(Recommendations[Id],H132:AU132,0)))/COUNTIF(H132:AU132,"&lt;&gt;"))</f>
        <v/>
      </c>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57"/>
    </row>
    <row r="133" spans="1:47" ht="60" customHeight="1" x14ac:dyDescent="0.35">
      <c r="A133" s="253" t="s">
        <v>5047</v>
      </c>
      <c r="B133" s="231" t="s">
        <v>5048</v>
      </c>
      <c r="C133" s="232" t="s">
        <v>5076</v>
      </c>
      <c r="D133" s="235" t="s">
        <v>5077</v>
      </c>
      <c r="E133" s="236" t="s">
        <v>4844</v>
      </c>
      <c r="F133" s="239" t="s">
        <v>5051</v>
      </c>
      <c r="G133" s="242" t="str">
        <f>IF(COUNTIF(H133:AU133,"&lt;&gt;")=0,"",SUMPRODUCT(((Recommendations[ImplStatus]="Implemented")+(Recommendations[ImplStatus]="Compensated"))*ISNUMBER(MATCH(Recommendations[Id],H133:AU133,0)))/COUNTIF(H133:AU133,"&lt;&gt;"))</f>
        <v/>
      </c>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57"/>
    </row>
    <row r="134" spans="1:47" ht="60" customHeight="1" x14ac:dyDescent="0.35">
      <c r="A134" s="253" t="s">
        <v>5047</v>
      </c>
      <c r="B134" s="231" t="s">
        <v>5048</v>
      </c>
      <c r="C134" s="232" t="s">
        <v>5078</v>
      </c>
      <c r="D134" s="235" t="s">
        <v>5079</v>
      </c>
      <c r="E134" s="236" t="s">
        <v>4844</v>
      </c>
      <c r="F134" s="239" t="s">
        <v>5051</v>
      </c>
      <c r="G134" s="242" t="str">
        <f>IF(COUNTIF(H134:AU134,"&lt;&gt;")=0,"",SUMPRODUCT(((Recommendations[ImplStatus]="Implemented")+(Recommendations[ImplStatus]="Compensated"))*ISNUMBER(MATCH(Recommendations[Id],H134:AU134,0)))/COUNTIF(H134:AU134,"&lt;&gt;"))</f>
        <v/>
      </c>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57"/>
    </row>
    <row r="135" spans="1:47" ht="60" customHeight="1" x14ac:dyDescent="0.35">
      <c r="A135" s="253" t="s">
        <v>5047</v>
      </c>
      <c r="B135" s="231" t="s">
        <v>5048</v>
      </c>
      <c r="C135" s="232" t="s">
        <v>5080</v>
      </c>
      <c r="D135" s="235" t="s">
        <v>5081</v>
      </c>
      <c r="E135" s="236" t="s">
        <v>4959</v>
      </c>
      <c r="F135" s="239" t="s">
        <v>5051</v>
      </c>
      <c r="G135" s="242" t="str">
        <f>IF(COUNTIF(H135:AU135,"&lt;&gt;")=0,"",SUMPRODUCT(((Recommendations[ImplStatus]="Implemented")+(Recommendations[ImplStatus]="Compensated"))*ISNUMBER(MATCH(Recommendations[Id],H135:AU135,0)))/COUNTIF(H135:AU135,"&lt;&gt;"))</f>
        <v/>
      </c>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57"/>
    </row>
    <row r="136" spans="1:47" ht="60" customHeight="1" x14ac:dyDescent="0.35">
      <c r="A136" s="253" t="s">
        <v>5047</v>
      </c>
      <c r="B136" s="231" t="s">
        <v>5048</v>
      </c>
      <c r="C136" s="232" t="s">
        <v>5082</v>
      </c>
      <c r="D136" s="235" t="s">
        <v>5083</v>
      </c>
      <c r="E136" s="236" t="s">
        <v>4844</v>
      </c>
      <c r="F136" s="239" t="s">
        <v>5051</v>
      </c>
      <c r="G136" s="242" t="str">
        <f>IF(COUNTIF(H136:AU136,"&lt;&gt;")=0,"",SUMPRODUCT(((Recommendations[ImplStatus]="Implemented")+(Recommendations[ImplStatus]="Compensated"))*ISNUMBER(MATCH(Recommendations[Id],H136:AU136,0)))/COUNTIF(H136:AU136,"&lt;&gt;"))</f>
        <v/>
      </c>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57"/>
    </row>
    <row r="137" spans="1:47" ht="60" customHeight="1" x14ac:dyDescent="0.35">
      <c r="A137" s="253" t="s">
        <v>5047</v>
      </c>
      <c r="B137" s="231" t="s">
        <v>5048</v>
      </c>
      <c r="C137" s="232" t="s">
        <v>5084</v>
      </c>
      <c r="D137" s="235" t="s">
        <v>5085</v>
      </c>
      <c r="E137" s="236" t="s">
        <v>4844</v>
      </c>
      <c r="F137" s="239" t="s">
        <v>5051</v>
      </c>
      <c r="G137" s="242" t="str">
        <f>IF(COUNTIF(H137:AU137,"&lt;&gt;")=0,"",SUMPRODUCT(((Recommendations[ImplStatus]="Implemented")+(Recommendations[ImplStatus]="Compensated"))*ISNUMBER(MATCH(Recommendations[Id],H137:AU137,0)))/COUNTIF(H137:AU137,"&lt;&gt;"))</f>
        <v/>
      </c>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57"/>
    </row>
    <row r="138" spans="1:47" ht="60" customHeight="1" x14ac:dyDescent="0.35">
      <c r="A138" s="253" t="s">
        <v>5047</v>
      </c>
      <c r="B138" s="231" t="s">
        <v>5048</v>
      </c>
      <c r="C138" s="232" t="s">
        <v>5086</v>
      </c>
      <c r="D138" s="235" t="s">
        <v>5087</v>
      </c>
      <c r="E138" s="236" t="s">
        <v>4959</v>
      </c>
      <c r="F138" s="239" t="s">
        <v>5051</v>
      </c>
      <c r="G138" s="242" t="str">
        <f>IF(COUNTIF(H138:AU138,"&lt;&gt;")=0,"",SUMPRODUCT(((Recommendations[ImplStatus]="Implemented")+(Recommendations[ImplStatus]="Compensated"))*ISNUMBER(MATCH(Recommendations[Id],H138:AU138,0)))/COUNTIF(H138:AU138,"&lt;&gt;"))</f>
        <v/>
      </c>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57"/>
    </row>
    <row r="139" spans="1:47" ht="60" customHeight="1" x14ac:dyDescent="0.35">
      <c r="A139" s="253" t="s">
        <v>5047</v>
      </c>
      <c r="B139" s="231" t="s">
        <v>5048</v>
      </c>
      <c r="C139" s="232" t="s">
        <v>5088</v>
      </c>
      <c r="D139" s="235" t="s">
        <v>5089</v>
      </c>
      <c r="E139" s="236" t="s">
        <v>4959</v>
      </c>
      <c r="F139" s="239" t="s">
        <v>5051</v>
      </c>
      <c r="G139" s="242" t="str">
        <f>IF(COUNTIF(H139:AU139,"&lt;&gt;")=0,"",SUMPRODUCT(((Recommendations[ImplStatus]="Implemented")+(Recommendations[ImplStatus]="Compensated"))*ISNUMBER(MATCH(Recommendations[Id],H139:AU139,0)))/COUNTIF(H139:AU139,"&lt;&gt;"))</f>
        <v/>
      </c>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57"/>
    </row>
    <row r="140" spans="1:47" ht="60" customHeight="1" x14ac:dyDescent="0.35">
      <c r="A140" s="253" t="s">
        <v>5047</v>
      </c>
      <c r="B140" s="231" t="s">
        <v>5048</v>
      </c>
      <c r="C140" s="232" t="s">
        <v>5090</v>
      </c>
      <c r="D140" s="235" t="s">
        <v>5091</v>
      </c>
      <c r="E140" s="236" t="s">
        <v>4815</v>
      </c>
      <c r="F140" s="239" t="s">
        <v>5051</v>
      </c>
      <c r="G140" s="242" t="str">
        <f>IF(COUNTIF(H140:AU140,"&lt;&gt;")=0,"",SUMPRODUCT(((Recommendations[ImplStatus]="Implemented")+(Recommendations[ImplStatus]="Compensated"))*ISNUMBER(MATCH(Recommendations[Id],H140:AU140,0)))/COUNTIF(H140:AU140,"&lt;&gt;"))</f>
        <v/>
      </c>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57"/>
    </row>
    <row r="141" spans="1:47" ht="60" customHeight="1" x14ac:dyDescent="0.35">
      <c r="A141" s="253" t="s">
        <v>5047</v>
      </c>
      <c r="B141" s="231" t="s">
        <v>5048</v>
      </c>
      <c r="C141" s="232" t="s">
        <v>5092</v>
      </c>
      <c r="D141" s="235" t="s">
        <v>5093</v>
      </c>
      <c r="E141" s="236" t="s">
        <v>5094</v>
      </c>
      <c r="F141" s="239" t="s">
        <v>5095</v>
      </c>
      <c r="G141" s="242" t="str">
        <f>IF(COUNTIF(H141:AU141,"&lt;&gt;")=0,"",SUMPRODUCT(((Recommendations[ImplStatus]="Implemented")+(Recommendations[ImplStatus]="Compensated"))*ISNUMBER(MATCH(Recommendations[Id],H141:AU141,0)))/COUNTIF(H141:AU141,"&lt;&gt;"))</f>
        <v/>
      </c>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57"/>
    </row>
    <row r="142" spans="1:47" ht="60" customHeight="1" x14ac:dyDescent="0.35">
      <c r="A142" s="253" t="s">
        <v>5047</v>
      </c>
      <c r="B142" s="231" t="s">
        <v>5048</v>
      </c>
      <c r="C142" s="232" t="s">
        <v>5096</v>
      </c>
      <c r="D142" s="235" t="s">
        <v>5097</v>
      </c>
      <c r="E142" s="236" t="s">
        <v>5094</v>
      </c>
      <c r="F142" s="239" t="s">
        <v>5095</v>
      </c>
      <c r="G142" s="242" t="str">
        <f>IF(COUNTIF(H142:AU142,"&lt;&gt;")=0,"",SUMPRODUCT(((Recommendations[ImplStatus]="Implemented")+(Recommendations[ImplStatus]="Compensated"))*ISNUMBER(MATCH(Recommendations[Id],H142:AU142,0)))/COUNTIF(H142:AU142,"&lt;&gt;"))</f>
        <v/>
      </c>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57"/>
    </row>
    <row r="143" spans="1:47" ht="60" customHeight="1" x14ac:dyDescent="0.35">
      <c r="A143" s="253" t="s">
        <v>5047</v>
      </c>
      <c r="B143" s="231" t="s">
        <v>5048</v>
      </c>
      <c r="C143" s="232" t="s">
        <v>5098</v>
      </c>
      <c r="D143" s="235" t="s">
        <v>5099</v>
      </c>
      <c r="E143" s="236" t="s">
        <v>5094</v>
      </c>
      <c r="F143" s="239" t="s">
        <v>5095</v>
      </c>
      <c r="G143" s="242" t="str">
        <f>IF(COUNTIF(H143:AU143,"&lt;&gt;")=0,"",SUMPRODUCT(((Recommendations[ImplStatus]="Implemented")+(Recommendations[ImplStatus]="Compensated"))*ISNUMBER(MATCH(Recommendations[Id],H143:AU143,0)))/COUNTIF(H143:AU143,"&lt;&gt;"))</f>
        <v/>
      </c>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57"/>
    </row>
    <row r="144" spans="1:47" ht="60" customHeight="1" x14ac:dyDescent="0.35">
      <c r="A144" s="253" t="s">
        <v>5047</v>
      </c>
      <c r="B144" s="231" t="s">
        <v>5048</v>
      </c>
      <c r="C144" s="232" t="s">
        <v>5100</v>
      </c>
      <c r="D144" s="235" t="s">
        <v>5101</v>
      </c>
      <c r="E144" s="236" t="s">
        <v>4911</v>
      </c>
      <c r="F144" s="239" t="s">
        <v>5095</v>
      </c>
      <c r="G144" s="242" t="str">
        <f>IF(COUNTIF(H144:AU144,"&lt;&gt;")=0,"",SUMPRODUCT(((Recommendations[ImplStatus]="Implemented")+(Recommendations[ImplStatus]="Compensated"))*ISNUMBER(MATCH(Recommendations[Id],H144:AU144,0)))/COUNTIF(H144:AU144,"&lt;&gt;"))</f>
        <v/>
      </c>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57"/>
    </row>
    <row r="145" spans="1:47" ht="60" customHeight="1" x14ac:dyDescent="0.35">
      <c r="A145" s="253" t="s">
        <v>5047</v>
      </c>
      <c r="B145" s="231" t="s">
        <v>5048</v>
      </c>
      <c r="C145" s="232" t="s">
        <v>5102</v>
      </c>
      <c r="D145" s="235" t="s">
        <v>5103</v>
      </c>
      <c r="E145" s="236" t="s">
        <v>4911</v>
      </c>
      <c r="F145" s="239" t="s">
        <v>5095</v>
      </c>
      <c r="G145" s="242" t="str">
        <f>IF(COUNTIF(H145:AU145,"&lt;&gt;")=0,"",SUMPRODUCT(((Recommendations[ImplStatus]="Implemented")+(Recommendations[ImplStatus]="Compensated"))*ISNUMBER(MATCH(Recommendations[Id],H145:AU145,0)))/COUNTIF(H145:AU145,"&lt;&gt;"))</f>
        <v/>
      </c>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57"/>
    </row>
    <row r="146" spans="1:47" ht="60" customHeight="1" x14ac:dyDescent="0.35">
      <c r="A146" s="253" t="s">
        <v>5047</v>
      </c>
      <c r="B146" s="231" t="s">
        <v>5048</v>
      </c>
      <c r="C146" s="232" t="s">
        <v>5104</v>
      </c>
      <c r="D146" s="235" t="s">
        <v>5105</v>
      </c>
      <c r="E146" s="236" t="s">
        <v>4911</v>
      </c>
      <c r="F146" s="239" t="s">
        <v>5095</v>
      </c>
      <c r="G146" s="242" t="str">
        <f>IF(COUNTIF(H146:AU146,"&lt;&gt;")=0,"",SUMPRODUCT(((Recommendations[ImplStatus]="Implemented")+(Recommendations[ImplStatus]="Compensated"))*ISNUMBER(MATCH(Recommendations[Id],H146:AU146,0)))/COUNTIF(H146:AU146,"&lt;&gt;"))</f>
        <v/>
      </c>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57"/>
    </row>
    <row r="147" spans="1:47" ht="60" customHeight="1" outlineLevel="2" x14ac:dyDescent="0.35">
      <c r="A147" s="252" t="s">
        <v>5047</v>
      </c>
      <c r="B147" s="230" t="s">
        <v>5106</v>
      </c>
      <c r="C147" s="230"/>
      <c r="D147" s="234"/>
      <c r="E147" s="230"/>
      <c r="F147" s="238"/>
      <c r="G147" s="241" t="str">
        <f>IF(COUNTIF(H147:AU147,"&lt;&gt;")=0,"",SUMPRODUCT(((Recommendations[ImplStatus]="Implemented")+(Recommendations[ImplStatus]="Compensated"))*ISNUMBER(MATCH(Recommendations[Id],H147:AU147,0)))/COUNTIF(H147:AU147,"&lt;&gt;"))</f>
        <v/>
      </c>
      <c r="H147" s="238"/>
      <c r="I147" s="238"/>
      <c r="J147" s="238"/>
      <c r="K147" s="238"/>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56"/>
    </row>
    <row r="148" spans="1:47" ht="60" customHeight="1" x14ac:dyDescent="0.35">
      <c r="A148" s="253" t="s">
        <v>5047</v>
      </c>
      <c r="B148" s="231" t="s">
        <v>5106</v>
      </c>
      <c r="C148" s="232" t="s">
        <v>5107</v>
      </c>
      <c r="D148" s="235" t="s">
        <v>5108</v>
      </c>
      <c r="E148" s="236" t="s">
        <v>4844</v>
      </c>
      <c r="F148" s="239" t="s">
        <v>5109</v>
      </c>
      <c r="G148" s="242" t="str">
        <f>IF(COUNTIF(H148:AU148,"&lt;&gt;")=0,"",SUMPRODUCT(((Recommendations[ImplStatus]="Implemented")+(Recommendations[ImplStatus]="Compensated"))*ISNUMBER(MATCH(Recommendations[Id],H148:AU148,0)))/COUNTIF(H148:AU148,"&lt;&gt;"))</f>
        <v/>
      </c>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57"/>
    </row>
    <row r="149" spans="1:47" ht="60" customHeight="1" x14ac:dyDescent="0.35">
      <c r="A149" s="253" t="s">
        <v>5047</v>
      </c>
      <c r="B149" s="231" t="s">
        <v>5106</v>
      </c>
      <c r="C149" s="232" t="s">
        <v>5110</v>
      </c>
      <c r="D149" s="235" t="s">
        <v>5111</v>
      </c>
      <c r="E149" s="236" t="s">
        <v>4844</v>
      </c>
      <c r="F149" s="239" t="s">
        <v>5109</v>
      </c>
      <c r="G149" s="242" t="str">
        <f>IF(COUNTIF(H149:AU149,"&lt;&gt;")=0,"",SUMPRODUCT(((Recommendations[ImplStatus]="Implemented")+(Recommendations[ImplStatus]="Compensated"))*ISNUMBER(MATCH(Recommendations[Id],H149:AU149,0)))/COUNTIF(H149:AU149,"&lt;&gt;"))</f>
        <v/>
      </c>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57"/>
    </row>
    <row r="150" spans="1:47" ht="60" customHeight="1" x14ac:dyDescent="0.35">
      <c r="A150" s="253" t="s">
        <v>5047</v>
      </c>
      <c r="B150" s="231" t="s">
        <v>5106</v>
      </c>
      <c r="C150" s="232" t="s">
        <v>5112</v>
      </c>
      <c r="D150" s="235" t="s">
        <v>5113</v>
      </c>
      <c r="E150" s="236" t="s">
        <v>4844</v>
      </c>
      <c r="F150" s="239" t="s">
        <v>5109</v>
      </c>
      <c r="G150" s="242" t="str">
        <f>IF(COUNTIF(H150:AU150,"&lt;&gt;")=0,"",SUMPRODUCT(((Recommendations[ImplStatus]="Implemented")+(Recommendations[ImplStatus]="Compensated"))*ISNUMBER(MATCH(Recommendations[Id],H150:AU150,0)))/COUNTIF(H150:AU150,"&lt;&gt;"))</f>
        <v/>
      </c>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57"/>
    </row>
    <row r="151" spans="1:47" ht="60" customHeight="1" x14ac:dyDescent="0.35">
      <c r="A151" s="253" t="s">
        <v>5047</v>
      </c>
      <c r="B151" s="231" t="s">
        <v>5106</v>
      </c>
      <c r="C151" s="232" t="s">
        <v>5114</v>
      </c>
      <c r="D151" s="235" t="s">
        <v>5115</v>
      </c>
      <c r="E151" s="236" t="s">
        <v>4844</v>
      </c>
      <c r="F151" s="239" t="s">
        <v>5109</v>
      </c>
      <c r="G151" s="242" t="str">
        <f>IF(COUNTIF(H151:AU151,"&lt;&gt;")=0,"",SUMPRODUCT(((Recommendations[ImplStatus]="Implemented")+(Recommendations[ImplStatus]="Compensated"))*ISNUMBER(MATCH(Recommendations[Id],H151:AU151,0)))/COUNTIF(H151:AU151,"&lt;&gt;"))</f>
        <v/>
      </c>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57"/>
    </row>
    <row r="152" spans="1:47" ht="60" customHeight="1" x14ac:dyDescent="0.35">
      <c r="A152" s="253" t="s">
        <v>5047</v>
      </c>
      <c r="B152" s="231" t="s">
        <v>5106</v>
      </c>
      <c r="C152" s="232" t="s">
        <v>5116</v>
      </c>
      <c r="D152" s="235" t="s">
        <v>5117</v>
      </c>
      <c r="E152" s="236" t="s">
        <v>4844</v>
      </c>
      <c r="F152" s="239" t="s">
        <v>5109</v>
      </c>
      <c r="G152" s="242" t="str">
        <f>IF(COUNTIF(H152:AU152,"&lt;&gt;")=0,"",SUMPRODUCT(((Recommendations[ImplStatus]="Implemented")+(Recommendations[ImplStatus]="Compensated"))*ISNUMBER(MATCH(Recommendations[Id],H152:AU152,0)))/COUNTIF(H152:AU152,"&lt;&gt;"))</f>
        <v/>
      </c>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57"/>
    </row>
    <row r="153" spans="1:47" ht="60" customHeight="1" x14ac:dyDescent="0.35">
      <c r="A153" s="253" t="s">
        <v>5047</v>
      </c>
      <c r="B153" s="231" t="s">
        <v>5106</v>
      </c>
      <c r="C153" s="232" t="s">
        <v>5118</v>
      </c>
      <c r="D153" s="235" t="s">
        <v>5119</v>
      </c>
      <c r="E153" s="236" t="s">
        <v>4844</v>
      </c>
      <c r="F153" s="239" t="s">
        <v>5109</v>
      </c>
      <c r="G153" s="242" t="str">
        <f>IF(COUNTIF(H153:AU153,"&lt;&gt;")=0,"",SUMPRODUCT(((Recommendations[ImplStatus]="Implemented")+(Recommendations[ImplStatus]="Compensated"))*ISNUMBER(MATCH(Recommendations[Id],H153:AU153,0)))/COUNTIF(H153:AU153,"&lt;&gt;"))</f>
        <v/>
      </c>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57"/>
    </row>
    <row r="154" spans="1:47" ht="60" customHeight="1" x14ac:dyDescent="0.35">
      <c r="A154" s="253" t="s">
        <v>5047</v>
      </c>
      <c r="B154" s="231" t="s">
        <v>5106</v>
      </c>
      <c r="C154" s="232" t="s">
        <v>5120</v>
      </c>
      <c r="D154" s="235" t="s">
        <v>5121</v>
      </c>
      <c r="E154" s="236" t="s">
        <v>4844</v>
      </c>
      <c r="F154" s="239" t="s">
        <v>5109</v>
      </c>
      <c r="G154" s="242" t="str">
        <f>IF(COUNTIF(H154:AU154,"&lt;&gt;")=0,"",SUMPRODUCT(((Recommendations[ImplStatus]="Implemented")+(Recommendations[ImplStatus]="Compensated"))*ISNUMBER(MATCH(Recommendations[Id],H154:AU154,0)))/COUNTIF(H154:AU154,"&lt;&gt;"))</f>
        <v/>
      </c>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57"/>
    </row>
    <row r="155" spans="1:47" ht="60" customHeight="1" x14ac:dyDescent="0.35">
      <c r="A155" s="253" t="s">
        <v>5047</v>
      </c>
      <c r="B155" s="231" t="s">
        <v>5106</v>
      </c>
      <c r="C155" s="232" t="s">
        <v>5122</v>
      </c>
      <c r="D155" s="235" t="s">
        <v>5123</v>
      </c>
      <c r="E155" s="236" t="s">
        <v>4844</v>
      </c>
      <c r="F155" s="239" t="s">
        <v>5109</v>
      </c>
      <c r="G155" s="242" t="str">
        <f>IF(COUNTIF(H155:AU155,"&lt;&gt;")=0,"",SUMPRODUCT(((Recommendations[ImplStatus]="Implemented")+(Recommendations[ImplStatus]="Compensated"))*ISNUMBER(MATCH(Recommendations[Id],H155:AU155,0)))/COUNTIF(H155:AU155,"&lt;&gt;"))</f>
        <v/>
      </c>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57"/>
    </row>
    <row r="156" spans="1:47" ht="60" customHeight="1" x14ac:dyDescent="0.35">
      <c r="A156" s="253" t="s">
        <v>5047</v>
      </c>
      <c r="B156" s="231" t="s">
        <v>5106</v>
      </c>
      <c r="C156" s="232" t="s">
        <v>5124</v>
      </c>
      <c r="D156" s="235" t="s">
        <v>5125</v>
      </c>
      <c r="E156" s="236" t="s">
        <v>4844</v>
      </c>
      <c r="F156" s="239" t="s">
        <v>5109</v>
      </c>
      <c r="G156" s="242" t="str">
        <f>IF(COUNTIF(H156:AU156,"&lt;&gt;")=0,"",SUMPRODUCT(((Recommendations[ImplStatus]="Implemented")+(Recommendations[ImplStatus]="Compensated"))*ISNUMBER(MATCH(Recommendations[Id],H156:AU156,0)))/COUNTIF(H156:AU156,"&lt;&gt;"))</f>
        <v/>
      </c>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57"/>
    </row>
    <row r="157" spans="1:47" ht="60" customHeight="1" x14ac:dyDescent="0.35">
      <c r="A157" s="253" t="s">
        <v>5047</v>
      </c>
      <c r="B157" s="231" t="s">
        <v>5106</v>
      </c>
      <c r="C157" s="232" t="s">
        <v>5126</v>
      </c>
      <c r="D157" s="235" t="s">
        <v>5127</v>
      </c>
      <c r="E157" s="236" t="s">
        <v>4844</v>
      </c>
      <c r="F157" s="239" t="s">
        <v>5109</v>
      </c>
      <c r="G157" s="242" t="str">
        <f>IF(COUNTIF(H157:AU157,"&lt;&gt;")=0,"",SUMPRODUCT(((Recommendations[ImplStatus]="Implemented")+(Recommendations[ImplStatus]="Compensated"))*ISNUMBER(MATCH(Recommendations[Id],H157:AU157,0)))/COUNTIF(H157:AU157,"&lt;&gt;"))</f>
        <v/>
      </c>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57"/>
    </row>
    <row r="158" spans="1:47" ht="60" customHeight="1" x14ac:dyDescent="0.35">
      <c r="A158" s="253" t="s">
        <v>5047</v>
      </c>
      <c r="B158" s="231" t="s">
        <v>5106</v>
      </c>
      <c r="C158" s="232" t="s">
        <v>5128</v>
      </c>
      <c r="D158" s="235" t="s">
        <v>5129</v>
      </c>
      <c r="E158" s="236" t="s">
        <v>4844</v>
      </c>
      <c r="F158" s="239" t="s">
        <v>5109</v>
      </c>
      <c r="G158" s="242" t="str">
        <f>IF(COUNTIF(H158:AU158,"&lt;&gt;")=0,"",SUMPRODUCT(((Recommendations[ImplStatus]="Implemented")+(Recommendations[ImplStatus]="Compensated"))*ISNUMBER(MATCH(Recommendations[Id],H158:AU158,0)))/COUNTIF(H158:AU158,"&lt;&gt;"))</f>
        <v/>
      </c>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57"/>
    </row>
    <row r="159" spans="1:47" ht="60" customHeight="1" x14ac:dyDescent="0.35">
      <c r="A159" s="253" t="s">
        <v>5047</v>
      </c>
      <c r="B159" s="231" t="s">
        <v>5106</v>
      </c>
      <c r="C159" s="232" t="s">
        <v>5130</v>
      </c>
      <c r="D159" s="235" t="s">
        <v>5131</v>
      </c>
      <c r="E159" s="236" t="s">
        <v>4844</v>
      </c>
      <c r="F159" s="239" t="s">
        <v>5109</v>
      </c>
      <c r="G159" s="242" t="str">
        <f>IF(COUNTIF(H159:AU159,"&lt;&gt;")=0,"",SUMPRODUCT(((Recommendations[ImplStatus]="Implemented")+(Recommendations[ImplStatus]="Compensated"))*ISNUMBER(MATCH(Recommendations[Id],H159:AU159,0)))/COUNTIF(H159:AU159,"&lt;&gt;"))</f>
        <v/>
      </c>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57"/>
    </row>
    <row r="160" spans="1:47" ht="60" customHeight="1" x14ac:dyDescent="0.35">
      <c r="A160" s="253" t="s">
        <v>5047</v>
      </c>
      <c r="B160" s="231" t="s">
        <v>5106</v>
      </c>
      <c r="C160" s="232" t="s">
        <v>5132</v>
      </c>
      <c r="D160" s="235" t="s">
        <v>5133</v>
      </c>
      <c r="E160" s="236" t="s">
        <v>4844</v>
      </c>
      <c r="F160" s="239" t="s">
        <v>5134</v>
      </c>
      <c r="G160" s="242" t="str">
        <f>IF(COUNTIF(H160:AU160,"&lt;&gt;")=0,"",SUMPRODUCT(((Recommendations[ImplStatus]="Implemented")+(Recommendations[ImplStatus]="Compensated"))*ISNUMBER(MATCH(Recommendations[Id],H160:AU160,0)))/COUNTIF(H160:AU160,"&lt;&gt;"))</f>
        <v/>
      </c>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57"/>
    </row>
    <row r="161" spans="1:47" ht="60" customHeight="1" x14ac:dyDescent="0.35">
      <c r="A161" s="253" t="s">
        <v>5047</v>
      </c>
      <c r="B161" s="231" t="s">
        <v>5106</v>
      </c>
      <c r="C161" s="232" t="s">
        <v>5135</v>
      </c>
      <c r="D161" s="235" t="s">
        <v>5136</v>
      </c>
      <c r="E161" s="236" t="s">
        <v>4844</v>
      </c>
      <c r="F161" s="239" t="s">
        <v>5134</v>
      </c>
      <c r="G161" s="242" t="str">
        <f>IF(COUNTIF(H161:AU161,"&lt;&gt;")=0,"",SUMPRODUCT(((Recommendations[ImplStatus]="Implemented")+(Recommendations[ImplStatus]="Compensated"))*ISNUMBER(MATCH(Recommendations[Id],H161:AU161,0)))/COUNTIF(H161:AU161,"&lt;&gt;"))</f>
        <v/>
      </c>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57"/>
    </row>
    <row r="162" spans="1:47" ht="60" customHeight="1" x14ac:dyDescent="0.35">
      <c r="A162" s="253" t="s">
        <v>5047</v>
      </c>
      <c r="B162" s="231" t="s">
        <v>5106</v>
      </c>
      <c r="C162" s="232" t="s">
        <v>5137</v>
      </c>
      <c r="D162" s="235" t="s">
        <v>5138</v>
      </c>
      <c r="E162" s="236" t="s">
        <v>4844</v>
      </c>
      <c r="F162" s="239" t="s">
        <v>5134</v>
      </c>
      <c r="G162" s="242" t="str">
        <f>IF(COUNTIF(H162:AU162,"&lt;&gt;")=0,"",SUMPRODUCT(((Recommendations[ImplStatus]="Implemented")+(Recommendations[ImplStatus]="Compensated"))*ISNUMBER(MATCH(Recommendations[Id],H162:AU162,0)))/COUNTIF(H162:AU162,"&lt;&gt;"))</f>
        <v/>
      </c>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57"/>
    </row>
    <row r="163" spans="1:47" ht="60" customHeight="1" x14ac:dyDescent="0.35">
      <c r="A163" s="253" t="s">
        <v>5047</v>
      </c>
      <c r="B163" s="231" t="s">
        <v>5106</v>
      </c>
      <c r="C163" s="232" t="s">
        <v>5139</v>
      </c>
      <c r="D163" s="235" t="s">
        <v>5140</v>
      </c>
      <c r="E163" s="236" t="s">
        <v>4844</v>
      </c>
      <c r="F163" s="239" t="s">
        <v>5134</v>
      </c>
      <c r="G163" s="242" t="str">
        <f>IF(COUNTIF(H163:AU163,"&lt;&gt;")=0,"",SUMPRODUCT(((Recommendations[ImplStatus]="Implemented")+(Recommendations[ImplStatus]="Compensated"))*ISNUMBER(MATCH(Recommendations[Id],H163:AU163,0)))/COUNTIF(H163:AU163,"&lt;&gt;"))</f>
        <v/>
      </c>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57"/>
    </row>
    <row r="164" spans="1:47" ht="60" customHeight="1" x14ac:dyDescent="0.35">
      <c r="A164" s="253" t="s">
        <v>5047</v>
      </c>
      <c r="B164" s="231" t="s">
        <v>5106</v>
      </c>
      <c r="C164" s="232" t="s">
        <v>5141</v>
      </c>
      <c r="D164" s="235" t="s">
        <v>5142</v>
      </c>
      <c r="E164" s="236" t="s">
        <v>4844</v>
      </c>
      <c r="F164" s="239" t="s">
        <v>5134</v>
      </c>
      <c r="G164" s="242" t="str">
        <f>IF(COUNTIF(H164:AU164,"&lt;&gt;")=0,"",SUMPRODUCT(((Recommendations[ImplStatus]="Implemented")+(Recommendations[ImplStatus]="Compensated"))*ISNUMBER(MATCH(Recommendations[Id],H164:AU164,0)))/COUNTIF(H164:AU164,"&lt;&gt;"))</f>
        <v/>
      </c>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57"/>
    </row>
    <row r="165" spans="1:47" ht="60" customHeight="1" outlineLevel="2" x14ac:dyDescent="0.35">
      <c r="A165" s="252" t="s">
        <v>5047</v>
      </c>
      <c r="B165" s="230" t="s">
        <v>5143</v>
      </c>
      <c r="C165" s="230"/>
      <c r="D165" s="234"/>
      <c r="E165" s="230"/>
      <c r="F165" s="238"/>
      <c r="G165" s="241" t="str">
        <f>IF(COUNTIF(H165:AU165,"&lt;&gt;")=0,"",SUMPRODUCT(((Recommendations[ImplStatus]="Implemented")+(Recommendations[ImplStatus]="Compensated"))*ISNUMBER(MATCH(Recommendations[Id],H165:AU165,0)))/COUNTIF(H165:AU165,"&lt;&gt;"))</f>
        <v/>
      </c>
      <c r="H165" s="238"/>
      <c r="I165" s="238"/>
      <c r="J165" s="238"/>
      <c r="K165" s="238"/>
      <c r="L165" s="238"/>
      <c r="M165" s="238"/>
      <c r="N165" s="238"/>
      <c r="O165" s="238"/>
      <c r="P165" s="238"/>
      <c r="Q165" s="238"/>
      <c r="R165" s="238"/>
      <c r="S165" s="238"/>
      <c r="T165" s="238"/>
      <c r="U165" s="238"/>
      <c r="V165" s="238"/>
      <c r="W165" s="238"/>
      <c r="X165" s="238"/>
      <c r="Y165" s="238"/>
      <c r="Z165" s="238"/>
      <c r="AA165" s="238"/>
      <c r="AB165" s="238"/>
      <c r="AC165" s="238"/>
      <c r="AD165" s="238"/>
      <c r="AE165" s="238"/>
      <c r="AF165" s="238"/>
      <c r="AG165" s="238"/>
      <c r="AH165" s="238"/>
      <c r="AI165" s="238"/>
      <c r="AJ165" s="238"/>
      <c r="AK165" s="238"/>
      <c r="AL165" s="238"/>
      <c r="AM165" s="238"/>
      <c r="AN165" s="238"/>
      <c r="AO165" s="238"/>
      <c r="AP165" s="238"/>
      <c r="AQ165" s="238"/>
      <c r="AR165" s="238"/>
      <c r="AS165" s="238"/>
      <c r="AT165" s="238"/>
      <c r="AU165" s="256"/>
    </row>
    <row r="166" spans="1:47" ht="60" customHeight="1" x14ac:dyDescent="0.35">
      <c r="A166" s="253" t="s">
        <v>5047</v>
      </c>
      <c r="B166" s="231" t="s">
        <v>5143</v>
      </c>
      <c r="C166" s="232" t="s">
        <v>5144</v>
      </c>
      <c r="D166" s="235" t="s">
        <v>5145</v>
      </c>
      <c r="E166" s="236" t="s">
        <v>4815</v>
      </c>
      <c r="F166" s="239" t="s">
        <v>5146</v>
      </c>
      <c r="G166" s="242" t="str">
        <f>IF(COUNTIF(H166:AU166,"&lt;&gt;")=0,"",SUMPRODUCT(((Recommendations[ImplStatus]="Implemented")+(Recommendations[ImplStatus]="Compensated"))*ISNUMBER(MATCH(Recommendations[Id],H166:AU166,0)))/COUNTIF(H166:AU166,"&lt;&gt;"))</f>
        <v/>
      </c>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57"/>
    </row>
    <row r="167" spans="1:47" ht="60" customHeight="1" x14ac:dyDescent="0.35">
      <c r="A167" s="253" t="s">
        <v>5047</v>
      </c>
      <c r="B167" s="231" t="s">
        <v>5143</v>
      </c>
      <c r="C167" s="232" t="s">
        <v>5147</v>
      </c>
      <c r="D167" s="235" t="s">
        <v>5148</v>
      </c>
      <c r="E167" s="236" t="s">
        <v>4959</v>
      </c>
      <c r="F167" s="239" t="s">
        <v>5146</v>
      </c>
      <c r="G167" s="242" t="str">
        <f>IF(COUNTIF(H167:AU167,"&lt;&gt;")=0,"",SUMPRODUCT(((Recommendations[ImplStatus]="Implemented")+(Recommendations[ImplStatus]="Compensated"))*ISNUMBER(MATCH(Recommendations[Id],H167:AU167,0)))/COUNTIF(H167:AU167,"&lt;&gt;"))</f>
        <v/>
      </c>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57"/>
    </row>
    <row r="168" spans="1:47" ht="60" customHeight="1" x14ac:dyDescent="0.35">
      <c r="A168" s="253" t="s">
        <v>5047</v>
      </c>
      <c r="B168" s="231" t="s">
        <v>5143</v>
      </c>
      <c r="C168" s="232" t="s">
        <v>5149</v>
      </c>
      <c r="D168" s="235" t="s">
        <v>5150</v>
      </c>
      <c r="E168" s="236" t="s">
        <v>4911</v>
      </c>
      <c r="F168" s="239" t="s">
        <v>5146</v>
      </c>
      <c r="G168" s="242" t="str">
        <f>IF(COUNTIF(H168:AU168,"&lt;&gt;")=0,"",SUMPRODUCT(((Recommendations[ImplStatus]="Implemented")+(Recommendations[ImplStatus]="Compensated"))*ISNUMBER(MATCH(Recommendations[Id],H168:AU168,0)))/COUNTIF(H168:AU168,"&lt;&gt;"))</f>
        <v/>
      </c>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57"/>
    </row>
    <row r="169" spans="1:47" ht="60" customHeight="1" x14ac:dyDescent="0.35">
      <c r="A169" s="253" t="s">
        <v>5047</v>
      </c>
      <c r="B169" s="231" t="s">
        <v>5143</v>
      </c>
      <c r="C169" s="232" t="s">
        <v>5151</v>
      </c>
      <c r="D169" s="235" t="s">
        <v>5152</v>
      </c>
      <c r="E169" s="236" t="s">
        <v>4911</v>
      </c>
      <c r="F169" s="239" t="s">
        <v>5146</v>
      </c>
      <c r="G169" s="242" t="str">
        <f>IF(COUNTIF(H169:AU169,"&lt;&gt;")=0,"",SUMPRODUCT(((Recommendations[ImplStatus]="Implemented")+(Recommendations[ImplStatus]="Compensated"))*ISNUMBER(MATCH(Recommendations[Id],H169:AU169,0)))/COUNTIF(H169:AU169,"&lt;&gt;"))</f>
        <v/>
      </c>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57"/>
    </row>
    <row r="170" spans="1:47" ht="60" customHeight="1" x14ac:dyDescent="0.35">
      <c r="A170" s="253" t="s">
        <v>5047</v>
      </c>
      <c r="B170" s="231" t="s">
        <v>5143</v>
      </c>
      <c r="C170" s="232" t="s">
        <v>5153</v>
      </c>
      <c r="D170" s="235" t="s">
        <v>5154</v>
      </c>
      <c r="E170" s="236" t="s">
        <v>4959</v>
      </c>
      <c r="F170" s="239" t="s">
        <v>5146</v>
      </c>
      <c r="G170" s="242" t="str">
        <f>IF(COUNTIF(H170:AU170,"&lt;&gt;")=0,"",SUMPRODUCT(((Recommendations[ImplStatus]="Implemented")+(Recommendations[ImplStatus]="Compensated"))*ISNUMBER(MATCH(Recommendations[Id],H170:AU170,0)))/COUNTIF(H170:AU170,"&lt;&gt;"))</f>
        <v/>
      </c>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57"/>
    </row>
    <row r="171" spans="1:47" ht="60" customHeight="1" x14ac:dyDescent="0.35">
      <c r="A171" s="253" t="s">
        <v>5047</v>
      </c>
      <c r="B171" s="231" t="s">
        <v>5143</v>
      </c>
      <c r="C171" s="232" t="s">
        <v>5155</v>
      </c>
      <c r="D171" s="235" t="s">
        <v>5156</v>
      </c>
      <c r="E171" s="236" t="s">
        <v>4844</v>
      </c>
      <c r="F171" s="239" t="s">
        <v>5146</v>
      </c>
      <c r="G171" s="242" t="str">
        <f>IF(COUNTIF(H171:AU171,"&lt;&gt;")=0,"",SUMPRODUCT(((Recommendations[ImplStatus]="Implemented")+(Recommendations[ImplStatus]="Compensated"))*ISNUMBER(MATCH(Recommendations[Id],H171:AU171,0)))/COUNTIF(H171:AU171,"&lt;&gt;"))</f>
        <v/>
      </c>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57"/>
    </row>
    <row r="172" spans="1:47" ht="60" customHeight="1" x14ac:dyDescent="0.35">
      <c r="A172" s="253" t="s">
        <v>5047</v>
      </c>
      <c r="B172" s="231" t="s">
        <v>5143</v>
      </c>
      <c r="C172" s="232" t="s">
        <v>5157</v>
      </c>
      <c r="D172" s="235" t="s">
        <v>5158</v>
      </c>
      <c r="E172" s="236" t="s">
        <v>4911</v>
      </c>
      <c r="F172" s="239" t="s">
        <v>5146</v>
      </c>
      <c r="G172" s="242" t="str">
        <f>IF(COUNTIF(H172:AU172,"&lt;&gt;")=0,"",SUMPRODUCT(((Recommendations[ImplStatus]="Implemented")+(Recommendations[ImplStatus]="Compensated"))*ISNUMBER(MATCH(Recommendations[Id],H172:AU172,0)))/COUNTIF(H172:AU172,"&lt;&gt;"))</f>
        <v/>
      </c>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57"/>
    </row>
    <row r="173" spans="1:47" ht="60" customHeight="1" x14ac:dyDescent="0.35">
      <c r="A173" s="253" t="s">
        <v>5047</v>
      </c>
      <c r="B173" s="231" t="s">
        <v>5143</v>
      </c>
      <c r="C173" s="232" t="s">
        <v>5159</v>
      </c>
      <c r="D173" s="235" t="s">
        <v>5160</v>
      </c>
      <c r="E173" s="236" t="s">
        <v>4844</v>
      </c>
      <c r="F173" s="239" t="s">
        <v>5146</v>
      </c>
      <c r="G173" s="242" t="str">
        <f>IF(COUNTIF(H173:AU173,"&lt;&gt;")=0,"",SUMPRODUCT(((Recommendations[ImplStatus]="Implemented")+(Recommendations[ImplStatus]="Compensated"))*ISNUMBER(MATCH(Recommendations[Id],H173:AU173,0)))/COUNTIF(H173:AU173,"&lt;&gt;"))</f>
        <v/>
      </c>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57"/>
    </row>
    <row r="174" spans="1:47" ht="60" customHeight="1" x14ac:dyDescent="0.35">
      <c r="A174" s="253" t="s">
        <v>5047</v>
      </c>
      <c r="B174" s="231" t="s">
        <v>5143</v>
      </c>
      <c r="C174" s="232" t="s">
        <v>5161</v>
      </c>
      <c r="D174" s="235" t="s">
        <v>5162</v>
      </c>
      <c r="E174" s="236" t="s">
        <v>4911</v>
      </c>
      <c r="F174" s="239" t="s">
        <v>5146</v>
      </c>
      <c r="G174" s="242" t="str">
        <f>IF(COUNTIF(H174:AU174,"&lt;&gt;")=0,"",SUMPRODUCT(((Recommendations[ImplStatus]="Implemented")+(Recommendations[ImplStatus]="Compensated"))*ISNUMBER(MATCH(Recommendations[Id],H174:AU174,0)))/COUNTIF(H174:AU174,"&lt;&gt;"))</f>
        <v/>
      </c>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57"/>
    </row>
    <row r="175" spans="1:47" ht="60" customHeight="1" x14ac:dyDescent="0.35">
      <c r="A175" s="253" t="s">
        <v>5047</v>
      </c>
      <c r="B175" s="231" t="s">
        <v>5143</v>
      </c>
      <c r="C175" s="232" t="s">
        <v>5163</v>
      </c>
      <c r="D175" s="235" t="s">
        <v>5164</v>
      </c>
      <c r="E175" s="236" t="s">
        <v>4844</v>
      </c>
      <c r="F175" s="239" t="s">
        <v>5146</v>
      </c>
      <c r="G175" s="242" t="str">
        <f>IF(COUNTIF(H175:AU175,"&lt;&gt;")=0,"",SUMPRODUCT(((Recommendations[ImplStatus]="Implemented")+(Recommendations[ImplStatus]="Compensated"))*ISNUMBER(MATCH(Recommendations[Id],H175:AU175,0)))/COUNTIF(H175:AU175,"&lt;&gt;"))</f>
        <v/>
      </c>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57"/>
    </row>
    <row r="176" spans="1:47" ht="60" customHeight="1" x14ac:dyDescent="0.35">
      <c r="A176" s="253" t="s">
        <v>5047</v>
      </c>
      <c r="B176" s="231" t="s">
        <v>5143</v>
      </c>
      <c r="C176" s="232" t="s">
        <v>5165</v>
      </c>
      <c r="D176" s="235" t="s">
        <v>5166</v>
      </c>
      <c r="E176" s="236" t="s">
        <v>4815</v>
      </c>
      <c r="F176" s="239" t="s">
        <v>5146</v>
      </c>
      <c r="G176" s="242" t="str">
        <f>IF(COUNTIF(H176:AU176,"&lt;&gt;")=0,"",SUMPRODUCT(((Recommendations[ImplStatus]="Implemented")+(Recommendations[ImplStatus]="Compensated"))*ISNUMBER(MATCH(Recommendations[Id],H176:AU176,0)))/COUNTIF(H176:AU176,"&lt;&gt;"))</f>
        <v/>
      </c>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57"/>
    </row>
    <row r="177" spans="1:47" ht="60" customHeight="1" x14ac:dyDescent="0.35">
      <c r="A177" s="253" t="s">
        <v>5047</v>
      </c>
      <c r="B177" s="231" t="s">
        <v>5143</v>
      </c>
      <c r="C177" s="232" t="s">
        <v>5167</v>
      </c>
      <c r="D177" s="235" t="s">
        <v>5168</v>
      </c>
      <c r="E177" s="236" t="s">
        <v>4815</v>
      </c>
      <c r="F177" s="239" t="s">
        <v>5146</v>
      </c>
      <c r="G177" s="242" t="str">
        <f>IF(COUNTIF(H177:AU177,"&lt;&gt;")=0,"",SUMPRODUCT(((Recommendations[ImplStatus]="Implemented")+(Recommendations[ImplStatus]="Compensated"))*ISNUMBER(MATCH(Recommendations[Id],H177:AU177,0)))/COUNTIF(H177:AU177,"&lt;&gt;"))</f>
        <v/>
      </c>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57"/>
    </row>
    <row r="178" spans="1:47" ht="60" customHeight="1" x14ac:dyDescent="0.35">
      <c r="A178" s="253" t="s">
        <v>5047</v>
      </c>
      <c r="B178" s="231" t="s">
        <v>5143</v>
      </c>
      <c r="C178" s="232" t="s">
        <v>5169</v>
      </c>
      <c r="D178" s="235" t="s">
        <v>5170</v>
      </c>
      <c r="E178" s="236" t="s">
        <v>4844</v>
      </c>
      <c r="F178" s="239" t="s">
        <v>5146</v>
      </c>
      <c r="G178" s="242" t="str">
        <f>IF(COUNTIF(H178:AU178,"&lt;&gt;")=0,"",SUMPRODUCT(((Recommendations[ImplStatus]="Implemented")+(Recommendations[ImplStatus]="Compensated"))*ISNUMBER(MATCH(Recommendations[Id],H178:AU178,0)))/COUNTIF(H178:AU178,"&lt;&gt;"))</f>
        <v/>
      </c>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57"/>
    </row>
    <row r="179" spans="1:47" ht="60" customHeight="1" x14ac:dyDescent="0.35">
      <c r="A179" s="253" t="s">
        <v>5047</v>
      </c>
      <c r="B179" s="231" t="s">
        <v>5143</v>
      </c>
      <c r="C179" s="232" t="s">
        <v>5171</v>
      </c>
      <c r="D179" s="235" t="s">
        <v>5172</v>
      </c>
      <c r="E179" s="236" t="s">
        <v>4959</v>
      </c>
      <c r="F179" s="239" t="s">
        <v>5146</v>
      </c>
      <c r="G179" s="242" t="str">
        <f>IF(COUNTIF(H179:AU179,"&lt;&gt;")=0,"",SUMPRODUCT(((Recommendations[ImplStatus]="Implemented")+(Recommendations[ImplStatus]="Compensated"))*ISNUMBER(MATCH(Recommendations[Id],H179:AU179,0)))/COUNTIF(H179:AU179,"&lt;&gt;"))</f>
        <v/>
      </c>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57"/>
    </row>
    <row r="180" spans="1:47" ht="60" customHeight="1" x14ac:dyDescent="0.35">
      <c r="A180" s="253" t="s">
        <v>5047</v>
      </c>
      <c r="B180" s="231" t="s">
        <v>5143</v>
      </c>
      <c r="C180" s="232" t="s">
        <v>5173</v>
      </c>
      <c r="D180" s="235" t="s">
        <v>5174</v>
      </c>
      <c r="E180" s="236" t="s">
        <v>4959</v>
      </c>
      <c r="F180" s="239" t="s">
        <v>5146</v>
      </c>
      <c r="G180" s="242" t="str">
        <f>IF(COUNTIF(H180:AU180,"&lt;&gt;")=0,"",SUMPRODUCT(((Recommendations[ImplStatus]="Implemented")+(Recommendations[ImplStatus]="Compensated"))*ISNUMBER(MATCH(Recommendations[Id],H180:AU180,0)))/COUNTIF(H180:AU180,"&lt;&gt;"))</f>
        <v/>
      </c>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57"/>
    </row>
    <row r="181" spans="1:47" ht="60" customHeight="1" outlineLevel="2" x14ac:dyDescent="0.35">
      <c r="A181" s="252" t="s">
        <v>5047</v>
      </c>
      <c r="B181" s="230" t="s">
        <v>5175</v>
      </c>
      <c r="C181" s="230"/>
      <c r="D181" s="234"/>
      <c r="E181" s="230"/>
      <c r="F181" s="238"/>
      <c r="G181" s="241" t="str">
        <f>IF(COUNTIF(H181:AU181,"&lt;&gt;")=0,"",SUMPRODUCT(((Recommendations[ImplStatus]="Implemented")+(Recommendations[ImplStatus]="Compensated"))*ISNUMBER(MATCH(Recommendations[Id],H181:AU181,0)))/COUNTIF(H181:AU181,"&lt;&gt;"))</f>
        <v/>
      </c>
      <c r="H181" s="238"/>
      <c r="I181" s="238"/>
      <c r="J181" s="238"/>
      <c r="K181" s="238"/>
      <c r="L181" s="238"/>
      <c r="M181" s="238"/>
      <c r="N181" s="238"/>
      <c r="O181" s="238"/>
      <c r="P181" s="238"/>
      <c r="Q181" s="238"/>
      <c r="R181" s="238"/>
      <c r="S181" s="238"/>
      <c r="T181" s="238"/>
      <c r="U181" s="238"/>
      <c r="V181" s="238"/>
      <c r="W181" s="238"/>
      <c r="X181" s="238"/>
      <c r="Y181" s="238"/>
      <c r="Z181" s="238"/>
      <c r="AA181" s="238"/>
      <c r="AB181" s="238"/>
      <c r="AC181" s="238"/>
      <c r="AD181" s="238"/>
      <c r="AE181" s="238"/>
      <c r="AF181" s="238"/>
      <c r="AG181" s="238"/>
      <c r="AH181" s="238"/>
      <c r="AI181" s="238"/>
      <c r="AJ181" s="238"/>
      <c r="AK181" s="238"/>
      <c r="AL181" s="238"/>
      <c r="AM181" s="238"/>
      <c r="AN181" s="238"/>
      <c r="AO181" s="238"/>
      <c r="AP181" s="238"/>
      <c r="AQ181" s="238"/>
      <c r="AR181" s="238"/>
      <c r="AS181" s="238"/>
      <c r="AT181" s="238"/>
      <c r="AU181" s="256"/>
    </row>
    <row r="182" spans="1:47" ht="60" customHeight="1" x14ac:dyDescent="0.35">
      <c r="A182" s="253" t="s">
        <v>5047</v>
      </c>
      <c r="B182" s="231" t="s">
        <v>5175</v>
      </c>
      <c r="C182" s="232" t="s">
        <v>5176</v>
      </c>
      <c r="D182" s="235" t="s">
        <v>5177</v>
      </c>
      <c r="E182" s="236" t="s">
        <v>4815</v>
      </c>
      <c r="F182" s="239" t="s">
        <v>5178</v>
      </c>
      <c r="G182" s="242" t="str">
        <f>IF(COUNTIF(H182:AU182,"&lt;&gt;")=0,"",SUMPRODUCT(((Recommendations[ImplStatus]="Implemented")+(Recommendations[ImplStatus]="Compensated"))*ISNUMBER(MATCH(Recommendations[Id],H182:AU182,0)))/COUNTIF(H182:AU182,"&lt;&gt;"))</f>
        <v/>
      </c>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57"/>
    </row>
    <row r="183" spans="1:47" ht="60" customHeight="1" x14ac:dyDescent="0.35">
      <c r="A183" s="253" t="s">
        <v>5047</v>
      </c>
      <c r="B183" s="231" t="s">
        <v>5175</v>
      </c>
      <c r="C183" s="232" t="s">
        <v>5179</v>
      </c>
      <c r="D183" s="235" t="s">
        <v>5180</v>
      </c>
      <c r="E183" s="236" t="s">
        <v>4815</v>
      </c>
      <c r="F183" s="239" t="s">
        <v>5178</v>
      </c>
      <c r="G183" s="242" t="str">
        <f>IF(COUNTIF(H183:AU183,"&lt;&gt;")=0,"",SUMPRODUCT(((Recommendations[ImplStatus]="Implemented")+(Recommendations[ImplStatus]="Compensated"))*ISNUMBER(MATCH(Recommendations[Id],H183:AU183,0)))/COUNTIF(H183:AU183,"&lt;&gt;"))</f>
        <v/>
      </c>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57"/>
    </row>
    <row r="184" spans="1:47" ht="60" customHeight="1" x14ac:dyDescent="0.35">
      <c r="A184" s="253" t="s">
        <v>5047</v>
      </c>
      <c r="B184" s="231" t="s">
        <v>5175</v>
      </c>
      <c r="C184" s="232" t="s">
        <v>5181</v>
      </c>
      <c r="D184" s="235" t="s">
        <v>5182</v>
      </c>
      <c r="E184" s="236" t="s">
        <v>4815</v>
      </c>
      <c r="F184" s="239" t="s">
        <v>5178</v>
      </c>
      <c r="G184" s="242" t="str">
        <f>IF(COUNTIF(H184:AU184,"&lt;&gt;")=0,"",SUMPRODUCT(((Recommendations[ImplStatus]="Implemented")+(Recommendations[ImplStatus]="Compensated"))*ISNUMBER(MATCH(Recommendations[Id],H184:AU184,0)))/COUNTIF(H184:AU184,"&lt;&gt;"))</f>
        <v/>
      </c>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57"/>
    </row>
    <row r="185" spans="1:47" ht="60" customHeight="1" x14ac:dyDescent="0.35">
      <c r="A185" s="253" t="s">
        <v>5047</v>
      </c>
      <c r="B185" s="231" t="s">
        <v>5175</v>
      </c>
      <c r="C185" s="232" t="s">
        <v>5183</v>
      </c>
      <c r="D185" s="235" t="s">
        <v>5184</v>
      </c>
      <c r="E185" s="236" t="s">
        <v>4815</v>
      </c>
      <c r="F185" s="239" t="s">
        <v>5178</v>
      </c>
      <c r="G185" s="242" t="str">
        <f>IF(COUNTIF(H185:AU185,"&lt;&gt;")=0,"",SUMPRODUCT(((Recommendations[ImplStatus]="Implemented")+(Recommendations[ImplStatus]="Compensated"))*ISNUMBER(MATCH(Recommendations[Id],H185:AU185,0)))/COUNTIF(H185:AU185,"&lt;&gt;"))</f>
        <v/>
      </c>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57"/>
    </row>
    <row r="186" spans="1:47" ht="60" customHeight="1" x14ac:dyDescent="0.35">
      <c r="A186" s="253" t="s">
        <v>5047</v>
      </c>
      <c r="B186" s="231" t="s">
        <v>5175</v>
      </c>
      <c r="C186" s="232" t="s">
        <v>5185</v>
      </c>
      <c r="D186" s="235" t="s">
        <v>5186</v>
      </c>
      <c r="E186" s="236" t="s">
        <v>4815</v>
      </c>
      <c r="F186" s="239" t="s">
        <v>5178</v>
      </c>
      <c r="G186" s="242" t="str">
        <f>IF(COUNTIF(H186:AU186,"&lt;&gt;")=0,"",SUMPRODUCT(((Recommendations[ImplStatus]="Implemented")+(Recommendations[ImplStatus]="Compensated"))*ISNUMBER(MATCH(Recommendations[Id],H186:AU186,0)))/COUNTIF(H186:AU186,"&lt;&gt;"))</f>
        <v/>
      </c>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57"/>
    </row>
    <row r="187" spans="1:47" ht="60" customHeight="1" x14ac:dyDescent="0.35">
      <c r="A187" s="253" t="s">
        <v>5047</v>
      </c>
      <c r="B187" s="231" t="s">
        <v>5175</v>
      </c>
      <c r="C187" s="232" t="s">
        <v>5187</v>
      </c>
      <c r="D187" s="235" t="s">
        <v>5188</v>
      </c>
      <c r="E187" s="236" t="s">
        <v>4844</v>
      </c>
      <c r="F187" s="239" t="s">
        <v>5178</v>
      </c>
      <c r="G187" s="242" t="str">
        <f>IF(COUNTIF(H187:AU187,"&lt;&gt;")=0,"",SUMPRODUCT(((Recommendations[ImplStatus]="Implemented")+(Recommendations[ImplStatus]="Compensated"))*ISNUMBER(MATCH(Recommendations[Id],H187:AU187,0)))/COUNTIF(H187:AU187,"&lt;&gt;"))</f>
        <v/>
      </c>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57"/>
    </row>
    <row r="188" spans="1:47" ht="60" customHeight="1" x14ac:dyDescent="0.35">
      <c r="A188" s="253" t="s">
        <v>5047</v>
      </c>
      <c r="B188" s="231" t="s">
        <v>5175</v>
      </c>
      <c r="C188" s="232" t="s">
        <v>5189</v>
      </c>
      <c r="D188" s="235" t="s">
        <v>5190</v>
      </c>
      <c r="E188" s="236" t="s">
        <v>4844</v>
      </c>
      <c r="F188" s="239" t="s">
        <v>5178</v>
      </c>
      <c r="G188" s="242" t="str">
        <f>IF(COUNTIF(H188:AU188,"&lt;&gt;")=0,"",SUMPRODUCT(((Recommendations[ImplStatus]="Implemented")+(Recommendations[ImplStatus]="Compensated"))*ISNUMBER(MATCH(Recommendations[Id],H188:AU188,0)))/COUNTIF(H188:AU188,"&lt;&gt;"))</f>
        <v/>
      </c>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57"/>
    </row>
    <row r="189" spans="1:47" ht="60" customHeight="1" x14ac:dyDescent="0.35">
      <c r="A189" s="253" t="s">
        <v>5047</v>
      </c>
      <c r="B189" s="231" t="s">
        <v>5175</v>
      </c>
      <c r="C189" s="232" t="s">
        <v>5191</v>
      </c>
      <c r="D189" s="235" t="s">
        <v>5192</v>
      </c>
      <c r="E189" s="236" t="s">
        <v>4844</v>
      </c>
      <c r="F189" s="239" t="s">
        <v>5178</v>
      </c>
      <c r="G189" s="242" t="str">
        <f>IF(COUNTIF(H189:AU189,"&lt;&gt;")=0,"",SUMPRODUCT(((Recommendations[ImplStatus]="Implemented")+(Recommendations[ImplStatus]="Compensated"))*ISNUMBER(MATCH(Recommendations[Id],H189:AU189,0)))/COUNTIF(H189:AU189,"&lt;&gt;"))</f>
        <v/>
      </c>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57"/>
    </row>
    <row r="190" spans="1:47" ht="60" customHeight="1" x14ac:dyDescent="0.35">
      <c r="A190" s="253" t="s">
        <v>5047</v>
      </c>
      <c r="B190" s="231" t="s">
        <v>5175</v>
      </c>
      <c r="C190" s="232" t="s">
        <v>5193</v>
      </c>
      <c r="D190" s="235" t="s">
        <v>5194</v>
      </c>
      <c r="E190" s="236" t="s">
        <v>4844</v>
      </c>
      <c r="F190" s="239" t="s">
        <v>5178</v>
      </c>
      <c r="G190" s="242" t="str">
        <f>IF(COUNTIF(H190:AU190,"&lt;&gt;")=0,"",SUMPRODUCT(((Recommendations[ImplStatus]="Implemented")+(Recommendations[ImplStatus]="Compensated"))*ISNUMBER(MATCH(Recommendations[Id],H190:AU190,0)))/COUNTIF(H190:AU190,"&lt;&gt;"))</f>
        <v/>
      </c>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57"/>
    </row>
    <row r="191" spans="1:47" ht="60" customHeight="1" x14ac:dyDescent="0.35">
      <c r="A191" s="253" t="s">
        <v>5047</v>
      </c>
      <c r="B191" s="231" t="s">
        <v>5175</v>
      </c>
      <c r="C191" s="232" t="s">
        <v>5195</v>
      </c>
      <c r="D191" s="235" t="s">
        <v>5196</v>
      </c>
      <c r="E191" s="236" t="s">
        <v>4815</v>
      </c>
      <c r="F191" s="239" t="s">
        <v>5178</v>
      </c>
      <c r="G191" s="242" t="str">
        <f>IF(COUNTIF(H191:AU191,"&lt;&gt;")=0,"",SUMPRODUCT(((Recommendations[ImplStatus]="Implemented")+(Recommendations[ImplStatus]="Compensated"))*ISNUMBER(MATCH(Recommendations[Id],H191:AU191,0)))/COUNTIF(H191:AU191,"&lt;&gt;"))</f>
        <v/>
      </c>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57"/>
    </row>
    <row r="192" spans="1:47" ht="60" customHeight="1" x14ac:dyDescent="0.35">
      <c r="A192" s="253" t="s">
        <v>5047</v>
      </c>
      <c r="B192" s="231" t="s">
        <v>5175</v>
      </c>
      <c r="C192" s="232" t="s">
        <v>5197</v>
      </c>
      <c r="D192" s="235" t="s">
        <v>5198</v>
      </c>
      <c r="E192" s="236" t="s">
        <v>4815</v>
      </c>
      <c r="F192" s="239" t="s">
        <v>5178</v>
      </c>
      <c r="G192" s="242" t="str">
        <f>IF(COUNTIF(H192:AU192,"&lt;&gt;")=0,"",SUMPRODUCT(((Recommendations[ImplStatus]="Implemented")+(Recommendations[ImplStatus]="Compensated"))*ISNUMBER(MATCH(Recommendations[Id],H192:AU192,0)))/COUNTIF(H192:AU192,"&lt;&gt;"))</f>
        <v/>
      </c>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57"/>
    </row>
    <row r="193" spans="1:47" ht="60" customHeight="1" x14ac:dyDescent="0.35">
      <c r="A193" s="253" t="s">
        <v>5047</v>
      </c>
      <c r="B193" s="231" t="s">
        <v>5175</v>
      </c>
      <c r="C193" s="232" t="s">
        <v>5199</v>
      </c>
      <c r="D193" s="235" t="s">
        <v>5200</v>
      </c>
      <c r="E193" s="236" t="s">
        <v>4815</v>
      </c>
      <c r="F193" s="239" t="s">
        <v>5178</v>
      </c>
      <c r="G193" s="242" t="str">
        <f>IF(COUNTIF(H193:AU193,"&lt;&gt;")=0,"",SUMPRODUCT(((Recommendations[ImplStatus]="Implemented")+(Recommendations[ImplStatus]="Compensated"))*ISNUMBER(MATCH(Recommendations[Id],H193:AU193,0)))/COUNTIF(H193:AU193,"&lt;&gt;"))</f>
        <v/>
      </c>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57"/>
    </row>
    <row r="194" spans="1:47" ht="60" customHeight="1" x14ac:dyDescent="0.35">
      <c r="A194" s="253" t="s">
        <v>5047</v>
      </c>
      <c r="B194" s="231" t="s">
        <v>5175</v>
      </c>
      <c r="C194" s="232" t="s">
        <v>5201</v>
      </c>
      <c r="D194" s="235" t="s">
        <v>5202</v>
      </c>
      <c r="E194" s="236" t="s">
        <v>4815</v>
      </c>
      <c r="F194" s="239" t="s">
        <v>5178</v>
      </c>
      <c r="G194" s="242" t="str">
        <f>IF(COUNTIF(H194:AU194,"&lt;&gt;")=0,"",SUMPRODUCT(((Recommendations[ImplStatus]="Implemented")+(Recommendations[ImplStatus]="Compensated"))*ISNUMBER(MATCH(Recommendations[Id],H194:AU194,0)))/COUNTIF(H194:AU194,"&lt;&gt;"))</f>
        <v/>
      </c>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57"/>
    </row>
    <row r="195" spans="1:47" ht="60" customHeight="1" x14ac:dyDescent="0.35">
      <c r="A195" s="253" t="s">
        <v>5047</v>
      </c>
      <c r="B195" s="231" t="s">
        <v>5175</v>
      </c>
      <c r="C195" s="232" t="s">
        <v>5203</v>
      </c>
      <c r="D195" s="235" t="s">
        <v>5204</v>
      </c>
      <c r="E195" s="236" t="s">
        <v>4815</v>
      </c>
      <c r="F195" s="239" t="s">
        <v>5178</v>
      </c>
      <c r="G195" s="242" t="str">
        <f>IF(COUNTIF(H195:AU195,"&lt;&gt;")=0,"",SUMPRODUCT(((Recommendations[ImplStatus]="Implemented")+(Recommendations[ImplStatus]="Compensated"))*ISNUMBER(MATCH(Recommendations[Id],H195:AU195,0)))/COUNTIF(H195:AU195,"&lt;&gt;"))</f>
        <v/>
      </c>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57"/>
    </row>
    <row r="196" spans="1:47" ht="60" customHeight="1" x14ac:dyDescent="0.35">
      <c r="A196" s="253" t="s">
        <v>5047</v>
      </c>
      <c r="B196" s="231" t="s">
        <v>5175</v>
      </c>
      <c r="C196" s="232" t="s">
        <v>5205</v>
      </c>
      <c r="D196" s="235" t="s">
        <v>5206</v>
      </c>
      <c r="E196" s="236" t="s">
        <v>4815</v>
      </c>
      <c r="F196" s="239" t="s">
        <v>5207</v>
      </c>
      <c r="G196" s="242" t="str">
        <f>IF(COUNTIF(H196:AU196,"&lt;&gt;")=0,"",SUMPRODUCT(((Recommendations[ImplStatus]="Implemented")+(Recommendations[ImplStatus]="Compensated"))*ISNUMBER(MATCH(Recommendations[Id],H196:AU196,0)))/COUNTIF(H196:AU196,"&lt;&gt;"))</f>
        <v/>
      </c>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57"/>
    </row>
    <row r="197" spans="1:47" ht="60" customHeight="1" x14ac:dyDescent="0.35">
      <c r="A197" s="253" t="s">
        <v>5047</v>
      </c>
      <c r="B197" s="231" t="s">
        <v>5175</v>
      </c>
      <c r="C197" s="232" t="s">
        <v>5208</v>
      </c>
      <c r="D197" s="235" t="s">
        <v>5209</v>
      </c>
      <c r="E197" s="236" t="s">
        <v>4815</v>
      </c>
      <c r="F197" s="239" t="s">
        <v>5207</v>
      </c>
      <c r="G197" s="242" t="str">
        <f>IF(COUNTIF(H197:AU197,"&lt;&gt;")=0,"",SUMPRODUCT(((Recommendations[ImplStatus]="Implemented")+(Recommendations[ImplStatus]="Compensated"))*ISNUMBER(MATCH(Recommendations[Id],H197:AU197,0)))/COUNTIF(H197:AU197,"&lt;&gt;"))</f>
        <v/>
      </c>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57"/>
    </row>
    <row r="198" spans="1:47" ht="60" customHeight="1" x14ac:dyDescent="0.35">
      <c r="A198" s="253" t="s">
        <v>5047</v>
      </c>
      <c r="B198" s="231" t="s">
        <v>5175</v>
      </c>
      <c r="C198" s="232" t="s">
        <v>5210</v>
      </c>
      <c r="D198" s="235" t="s">
        <v>5211</v>
      </c>
      <c r="E198" s="236" t="s">
        <v>4815</v>
      </c>
      <c r="F198" s="239" t="s">
        <v>5207</v>
      </c>
      <c r="G198" s="242" t="str">
        <f>IF(COUNTIF(H198:AU198,"&lt;&gt;")=0,"",SUMPRODUCT(((Recommendations[ImplStatus]="Implemented")+(Recommendations[ImplStatus]="Compensated"))*ISNUMBER(MATCH(Recommendations[Id],H198:AU198,0)))/COUNTIF(H198:AU198,"&lt;&gt;"))</f>
        <v/>
      </c>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57"/>
    </row>
    <row r="199" spans="1:47" ht="60" customHeight="1" x14ac:dyDescent="0.35">
      <c r="A199" s="253" t="s">
        <v>5047</v>
      </c>
      <c r="B199" s="231" t="s">
        <v>5175</v>
      </c>
      <c r="C199" s="232" t="s">
        <v>5212</v>
      </c>
      <c r="D199" s="235" t="s">
        <v>5213</v>
      </c>
      <c r="E199" s="236" t="s">
        <v>4815</v>
      </c>
      <c r="F199" s="239" t="s">
        <v>5207</v>
      </c>
      <c r="G199" s="242" t="str">
        <f>IF(COUNTIF(H199:AU199,"&lt;&gt;")=0,"",SUMPRODUCT(((Recommendations[ImplStatus]="Implemented")+(Recommendations[ImplStatus]="Compensated"))*ISNUMBER(MATCH(Recommendations[Id],H199:AU199,0)))/COUNTIF(H199:AU199,"&lt;&gt;"))</f>
        <v/>
      </c>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57"/>
    </row>
    <row r="200" spans="1:47" ht="60" customHeight="1" outlineLevel="1" x14ac:dyDescent="0.35">
      <c r="A200" s="251" t="s">
        <v>5214</v>
      </c>
      <c r="B200" s="229"/>
      <c r="C200" s="229"/>
      <c r="D200" s="233"/>
      <c r="E200" s="229"/>
      <c r="F200" s="237"/>
      <c r="G200" s="240" t="str">
        <f>IF(COUNTIF(H200:AU200,"&lt;&gt;")=0,"",SUMPRODUCT(((Recommendations[ImplStatus]="Implemented")+(Recommendations[ImplStatus]="Compensated"))*ISNUMBER(MATCH(Recommendations[Id],H200:AU200,0)))/COUNTIF(H200:AU200,"&lt;&gt;"))</f>
        <v/>
      </c>
      <c r="H200" s="237"/>
      <c r="I200" s="237"/>
      <c r="J200" s="237"/>
      <c r="K200" s="237"/>
      <c r="L200" s="237"/>
      <c r="M200" s="237"/>
      <c r="N200" s="237"/>
      <c r="O200" s="237"/>
      <c r="P200" s="237"/>
      <c r="Q200" s="237"/>
      <c r="R200" s="237"/>
      <c r="S200" s="237"/>
      <c r="T200" s="237"/>
      <c r="U200" s="237"/>
      <c r="V200" s="237"/>
      <c r="W200" s="237"/>
      <c r="X200" s="237"/>
      <c r="Y200" s="237"/>
      <c r="Z200" s="237"/>
      <c r="AA200" s="237"/>
      <c r="AB200" s="237"/>
      <c r="AC200" s="237"/>
      <c r="AD200" s="237"/>
      <c r="AE200" s="237"/>
      <c r="AF200" s="237"/>
      <c r="AG200" s="237"/>
      <c r="AH200" s="237"/>
      <c r="AI200" s="237"/>
      <c r="AJ200" s="237"/>
      <c r="AK200" s="237"/>
      <c r="AL200" s="237"/>
      <c r="AM200" s="237"/>
      <c r="AN200" s="237"/>
      <c r="AO200" s="237"/>
      <c r="AP200" s="237"/>
      <c r="AQ200" s="237"/>
      <c r="AR200" s="237"/>
      <c r="AS200" s="237"/>
      <c r="AT200" s="237"/>
      <c r="AU200" s="255"/>
    </row>
    <row r="201" spans="1:47" ht="60" customHeight="1" outlineLevel="2" x14ac:dyDescent="0.35">
      <c r="A201" s="252" t="s">
        <v>5214</v>
      </c>
      <c r="B201" s="230" t="s">
        <v>5215</v>
      </c>
      <c r="C201" s="230"/>
      <c r="D201" s="234"/>
      <c r="E201" s="230"/>
      <c r="F201" s="238"/>
      <c r="G201" s="241" t="str">
        <f>IF(COUNTIF(H201:AU201,"&lt;&gt;")=0,"",SUMPRODUCT(((Recommendations[ImplStatus]="Implemented")+(Recommendations[ImplStatus]="Compensated"))*ISNUMBER(MATCH(Recommendations[Id],H201:AU201,0)))/COUNTIF(H201:AU201,"&lt;&gt;"))</f>
        <v/>
      </c>
      <c r="H201" s="238"/>
      <c r="I201" s="238"/>
      <c r="J201" s="238"/>
      <c r="K201" s="238"/>
      <c r="L201" s="238"/>
      <c r="M201" s="238"/>
      <c r="N201" s="238"/>
      <c r="O201" s="238"/>
      <c r="P201" s="238"/>
      <c r="Q201" s="238"/>
      <c r="R201" s="238"/>
      <c r="S201" s="238"/>
      <c r="T201" s="238"/>
      <c r="U201" s="238"/>
      <c r="V201" s="238"/>
      <c r="W201" s="238"/>
      <c r="X201" s="238"/>
      <c r="Y201" s="238"/>
      <c r="Z201" s="238"/>
      <c r="AA201" s="238"/>
      <c r="AB201" s="238"/>
      <c r="AC201" s="238"/>
      <c r="AD201" s="238"/>
      <c r="AE201" s="238"/>
      <c r="AF201" s="238"/>
      <c r="AG201" s="238"/>
      <c r="AH201" s="238"/>
      <c r="AI201" s="238"/>
      <c r="AJ201" s="238"/>
      <c r="AK201" s="238"/>
      <c r="AL201" s="238"/>
      <c r="AM201" s="238"/>
      <c r="AN201" s="238"/>
      <c r="AO201" s="238"/>
      <c r="AP201" s="238"/>
      <c r="AQ201" s="238"/>
      <c r="AR201" s="238"/>
      <c r="AS201" s="238"/>
      <c r="AT201" s="238"/>
      <c r="AU201" s="256"/>
    </row>
    <row r="202" spans="1:47" ht="60" customHeight="1" x14ac:dyDescent="0.35">
      <c r="A202" s="253" t="s">
        <v>5214</v>
      </c>
      <c r="B202" s="231" t="s">
        <v>5215</v>
      </c>
      <c r="C202" s="232" t="s">
        <v>5216</v>
      </c>
      <c r="D202" s="235" t="s">
        <v>5217</v>
      </c>
      <c r="E202" s="236" t="s">
        <v>5094</v>
      </c>
      <c r="F202" s="239" t="s">
        <v>5218</v>
      </c>
      <c r="G202" s="242">
        <f>IF(COUNTIF(H202:AU202,"&lt;&gt;")=0,"",SUMPRODUCT(((Recommendations[ImplStatus]="Implemented")+(Recommendations[ImplStatus]="Compensated"))*ISNUMBER(MATCH(Recommendations[Id],H202:AU202,0)))/COUNTIF(H202:AU202,"&lt;&gt;"))</f>
        <v>0</v>
      </c>
      <c r="H202" s="243" t="s">
        <v>717</v>
      </c>
      <c r="I202" s="243" t="s">
        <v>1455</v>
      </c>
      <c r="J202" s="243" t="s">
        <v>1476</v>
      </c>
      <c r="K202" s="243" t="s">
        <v>1482</v>
      </c>
      <c r="L202" s="243" t="s">
        <v>1511</v>
      </c>
      <c r="M202" s="243" t="s">
        <v>1534</v>
      </c>
      <c r="N202" s="243" t="s">
        <v>1544</v>
      </c>
      <c r="O202" s="243" t="s">
        <v>1549</v>
      </c>
      <c r="P202" s="243" t="s">
        <v>1554</v>
      </c>
      <c r="Q202" s="243" t="s">
        <v>1559</v>
      </c>
      <c r="R202" s="243" t="s">
        <v>1564</v>
      </c>
      <c r="S202" s="243" t="s">
        <v>1569</v>
      </c>
      <c r="T202" s="243" t="s">
        <v>1581</v>
      </c>
      <c r="U202" s="243" t="s">
        <v>1586</v>
      </c>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57"/>
    </row>
    <row r="203" spans="1:47" ht="60" customHeight="1" x14ac:dyDescent="0.35">
      <c r="A203" s="253" t="s">
        <v>5214</v>
      </c>
      <c r="B203" s="231" t="s">
        <v>5215</v>
      </c>
      <c r="C203" s="232" t="s">
        <v>5219</v>
      </c>
      <c r="D203" s="235" t="s">
        <v>5220</v>
      </c>
      <c r="E203" s="236" t="s">
        <v>5094</v>
      </c>
      <c r="F203" s="239" t="s">
        <v>5218</v>
      </c>
      <c r="G203" s="242" t="str">
        <f>IF(COUNTIF(H203:AU203,"&lt;&gt;")=0,"",SUMPRODUCT(((Recommendations[ImplStatus]="Implemented")+(Recommendations[ImplStatus]="Compensated"))*ISNUMBER(MATCH(Recommendations[Id],H203:AU203,0)))/COUNTIF(H203:AU203,"&lt;&gt;"))</f>
        <v/>
      </c>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57"/>
    </row>
    <row r="204" spans="1:47" ht="60" customHeight="1" x14ac:dyDescent="0.35">
      <c r="A204" s="253" t="s">
        <v>5214</v>
      </c>
      <c r="B204" s="231" t="s">
        <v>5215</v>
      </c>
      <c r="C204" s="232" t="s">
        <v>5221</v>
      </c>
      <c r="D204" s="235" t="s">
        <v>5222</v>
      </c>
      <c r="E204" s="236" t="s">
        <v>5094</v>
      </c>
      <c r="F204" s="239" t="s">
        <v>5218</v>
      </c>
      <c r="G204" s="242" t="str">
        <f>IF(COUNTIF(H204:AU204,"&lt;&gt;")=0,"",SUMPRODUCT(((Recommendations[ImplStatus]="Implemented")+(Recommendations[ImplStatus]="Compensated"))*ISNUMBER(MATCH(Recommendations[Id],H204:AU204,0)))/COUNTIF(H204:AU204,"&lt;&gt;"))</f>
        <v/>
      </c>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57"/>
    </row>
    <row r="205" spans="1:47" ht="60" customHeight="1" x14ac:dyDescent="0.35">
      <c r="A205" s="253" t="s">
        <v>5214</v>
      </c>
      <c r="B205" s="231" t="s">
        <v>5215</v>
      </c>
      <c r="C205" s="232" t="s">
        <v>5223</v>
      </c>
      <c r="D205" s="235" t="s">
        <v>5224</v>
      </c>
      <c r="E205" s="236" t="s">
        <v>5094</v>
      </c>
      <c r="F205" s="239" t="s">
        <v>5218</v>
      </c>
      <c r="G205" s="242">
        <f>IF(COUNTIF(H205:AU205,"&lt;&gt;")=0,"",SUMPRODUCT(((Recommendations[ImplStatus]="Implemented")+(Recommendations[ImplStatus]="Compensated"))*ISNUMBER(MATCH(Recommendations[Id],H205:AU205,0)))/COUNTIF(H205:AU205,"&lt;&gt;"))</f>
        <v>0</v>
      </c>
      <c r="H205" s="243" t="s">
        <v>1476</v>
      </c>
      <c r="I205" s="243" t="s">
        <v>1488</v>
      </c>
      <c r="J205" s="243" t="s">
        <v>1493</v>
      </c>
      <c r="K205" s="243" t="s">
        <v>1498</v>
      </c>
      <c r="L205" s="243" t="s">
        <v>1522</v>
      </c>
      <c r="M205" s="243" t="s">
        <v>1534</v>
      </c>
      <c r="N205" s="243" t="s">
        <v>1539</v>
      </c>
      <c r="O205" s="243" t="s">
        <v>1544</v>
      </c>
      <c r="P205" s="243" t="s">
        <v>1554</v>
      </c>
      <c r="Q205" s="243" t="s">
        <v>1559</v>
      </c>
      <c r="R205" s="243" t="s">
        <v>1564</v>
      </c>
      <c r="S205" s="243" t="s">
        <v>1569</v>
      </c>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57"/>
    </row>
    <row r="206" spans="1:47" ht="60" customHeight="1" x14ac:dyDescent="0.35">
      <c r="A206" s="253" t="s">
        <v>5214</v>
      </c>
      <c r="B206" s="231" t="s">
        <v>5215</v>
      </c>
      <c r="C206" s="232" t="s">
        <v>5225</v>
      </c>
      <c r="D206" s="235" t="s">
        <v>5226</v>
      </c>
      <c r="E206" s="236" t="s">
        <v>5094</v>
      </c>
      <c r="F206" s="239" t="s">
        <v>5218</v>
      </c>
      <c r="G206" s="242">
        <f>IF(COUNTIF(H206:AU206,"&lt;&gt;")=0,"",SUMPRODUCT(((Recommendations[ImplStatus]="Implemented")+(Recommendations[ImplStatus]="Compensated"))*ISNUMBER(MATCH(Recommendations[Id],H206:AU206,0)))/COUNTIF(H206:AU206,"&lt;&gt;"))</f>
        <v>0</v>
      </c>
      <c r="H206" s="243" t="s">
        <v>1591</v>
      </c>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57"/>
    </row>
    <row r="207" spans="1:47" ht="60" customHeight="1" x14ac:dyDescent="0.35">
      <c r="A207" s="253" t="s">
        <v>5214</v>
      </c>
      <c r="B207" s="231" t="s">
        <v>5215</v>
      </c>
      <c r="C207" s="232" t="s">
        <v>5227</v>
      </c>
      <c r="D207" s="235" t="s">
        <v>5228</v>
      </c>
      <c r="E207" s="236" t="s">
        <v>4959</v>
      </c>
      <c r="F207" s="239" t="s">
        <v>5218</v>
      </c>
      <c r="G207" s="242">
        <f>IF(COUNTIF(H207:AU207,"&lt;&gt;")=0,"",SUMPRODUCT(((Recommendations[ImplStatus]="Implemented")+(Recommendations[ImplStatus]="Compensated"))*ISNUMBER(MATCH(Recommendations[Id],H207:AU207,0)))/COUNTIF(H207:AU207,"&lt;&gt;"))</f>
        <v>0</v>
      </c>
      <c r="H207" s="243" t="s">
        <v>499</v>
      </c>
      <c r="I207" s="243" t="s">
        <v>771</v>
      </c>
      <c r="J207" s="243" t="s">
        <v>777</v>
      </c>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57"/>
    </row>
    <row r="208" spans="1:47" ht="60" customHeight="1" x14ac:dyDescent="0.35">
      <c r="A208" s="253" t="s">
        <v>5214</v>
      </c>
      <c r="B208" s="231" t="s">
        <v>5215</v>
      </c>
      <c r="C208" s="232" t="s">
        <v>5229</v>
      </c>
      <c r="D208" s="235" t="s">
        <v>5230</v>
      </c>
      <c r="E208" s="236" t="s">
        <v>4959</v>
      </c>
      <c r="F208" s="239" t="s">
        <v>5218</v>
      </c>
      <c r="G208" s="242" t="str">
        <f>IF(COUNTIF(H208:AU208,"&lt;&gt;")=0,"",SUMPRODUCT(((Recommendations[ImplStatus]="Implemented")+(Recommendations[ImplStatus]="Compensated"))*ISNUMBER(MATCH(Recommendations[Id],H208:AU208,0)))/COUNTIF(H208:AU208,"&lt;&gt;"))</f>
        <v/>
      </c>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57"/>
    </row>
    <row r="209" spans="1:47" ht="60" customHeight="1" x14ac:dyDescent="0.35">
      <c r="A209" s="253" t="s">
        <v>5214</v>
      </c>
      <c r="B209" s="231" t="s">
        <v>5215</v>
      </c>
      <c r="C209" s="232" t="s">
        <v>5231</v>
      </c>
      <c r="D209" s="235" t="s">
        <v>5232</v>
      </c>
      <c r="E209" s="236" t="s">
        <v>5094</v>
      </c>
      <c r="F209" s="239" t="s">
        <v>5218</v>
      </c>
      <c r="G209" s="242" t="str">
        <f>IF(COUNTIF(H209:AU209,"&lt;&gt;")=0,"",SUMPRODUCT(((Recommendations[ImplStatus]="Implemented")+(Recommendations[ImplStatus]="Compensated"))*ISNUMBER(MATCH(Recommendations[Id],H209:AU209,0)))/COUNTIF(H209:AU209,"&lt;&gt;"))</f>
        <v/>
      </c>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57"/>
    </row>
    <row r="210" spans="1:47" ht="60" customHeight="1" x14ac:dyDescent="0.35">
      <c r="A210" s="253" t="s">
        <v>5214</v>
      </c>
      <c r="B210" s="231" t="s">
        <v>5215</v>
      </c>
      <c r="C210" s="232" t="s">
        <v>5233</v>
      </c>
      <c r="D210" s="235" t="s">
        <v>5234</v>
      </c>
      <c r="E210" s="236" t="s">
        <v>4844</v>
      </c>
      <c r="F210" s="239" t="s">
        <v>5235</v>
      </c>
      <c r="G210" s="242">
        <f>IF(COUNTIF(H210:AU210,"&lt;&gt;")=0,"",SUMPRODUCT(((Recommendations[ImplStatus]="Implemented")+(Recommendations[ImplStatus]="Compensated"))*ISNUMBER(MATCH(Recommendations[Id],H210:AU210,0)))/COUNTIF(H210:AU210,"&lt;&gt;"))</f>
        <v>0</v>
      </c>
      <c r="H210" s="243" t="s">
        <v>387</v>
      </c>
      <c r="I210" s="243" t="s">
        <v>390</v>
      </c>
      <c r="J210" s="243" t="s">
        <v>393</v>
      </c>
      <c r="K210" s="243" t="s">
        <v>409</v>
      </c>
      <c r="L210" s="243" t="s">
        <v>412</v>
      </c>
      <c r="M210" s="243" t="s">
        <v>415</v>
      </c>
      <c r="N210" s="243" t="s">
        <v>431</v>
      </c>
      <c r="O210" s="243" t="s">
        <v>434</v>
      </c>
      <c r="P210" s="243" t="s">
        <v>437</v>
      </c>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57"/>
    </row>
    <row r="211" spans="1:47" ht="60" customHeight="1" x14ac:dyDescent="0.35">
      <c r="A211" s="253" t="s">
        <v>5214</v>
      </c>
      <c r="B211" s="231" t="s">
        <v>5215</v>
      </c>
      <c r="C211" s="232" t="s">
        <v>5236</v>
      </c>
      <c r="D211" s="235" t="s">
        <v>5237</v>
      </c>
      <c r="E211" s="236" t="s">
        <v>4844</v>
      </c>
      <c r="F211" s="239" t="s">
        <v>5235</v>
      </c>
      <c r="G211" s="242">
        <f>IF(COUNTIF(H211:AU211,"&lt;&gt;")=0,"",SUMPRODUCT(((Recommendations[ImplStatus]="Implemented")+(Recommendations[ImplStatus]="Compensated"))*ISNUMBER(MATCH(Recommendations[Id],H211:AU211,0)))/COUNTIF(H211:AU211,"&lt;&gt;"))</f>
        <v>0</v>
      </c>
      <c r="H211" s="243" t="s">
        <v>387</v>
      </c>
      <c r="I211" s="243" t="s">
        <v>390</v>
      </c>
      <c r="J211" s="243" t="s">
        <v>409</v>
      </c>
      <c r="K211" s="243" t="s">
        <v>412</v>
      </c>
      <c r="L211" s="243" t="s">
        <v>431</v>
      </c>
      <c r="M211" s="243" t="s">
        <v>434</v>
      </c>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57"/>
    </row>
    <row r="212" spans="1:47" ht="60" customHeight="1" x14ac:dyDescent="0.35">
      <c r="A212" s="253" t="s">
        <v>5214</v>
      </c>
      <c r="B212" s="231" t="s">
        <v>5215</v>
      </c>
      <c r="C212" s="232" t="s">
        <v>5238</v>
      </c>
      <c r="D212" s="235" t="s">
        <v>5239</v>
      </c>
      <c r="E212" s="236" t="s">
        <v>4911</v>
      </c>
      <c r="F212" s="239" t="s">
        <v>5240</v>
      </c>
      <c r="G212" s="242">
        <f>IF(COUNTIF(H212:AU212,"&lt;&gt;")=0,"",SUMPRODUCT(((Recommendations[ImplStatus]="Implemented")+(Recommendations[ImplStatus]="Compensated"))*ISNUMBER(MATCH(Recommendations[Id],H212:AU212,0)))/COUNTIF(H212:AU212,"&lt;&gt;"))</f>
        <v>0</v>
      </c>
      <c r="H212" s="243" t="s">
        <v>874</v>
      </c>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57"/>
    </row>
    <row r="213" spans="1:47" ht="60" customHeight="1" x14ac:dyDescent="0.35">
      <c r="A213" s="253" t="s">
        <v>5214</v>
      </c>
      <c r="B213" s="231" t="s">
        <v>5215</v>
      </c>
      <c r="C213" s="232" t="s">
        <v>5241</v>
      </c>
      <c r="D213" s="235" t="s">
        <v>5242</v>
      </c>
      <c r="E213" s="236" t="s">
        <v>4844</v>
      </c>
      <c r="F213" s="239" t="s">
        <v>5243</v>
      </c>
      <c r="G213" s="242" t="str">
        <f>IF(COUNTIF(H213:AU213,"&lt;&gt;")=0,"",SUMPRODUCT(((Recommendations[ImplStatus]="Implemented")+(Recommendations[ImplStatus]="Compensated"))*ISNUMBER(MATCH(Recommendations[Id],H213:AU213,0)))/COUNTIF(H213:AU213,"&lt;&gt;"))</f>
        <v/>
      </c>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57"/>
    </row>
    <row r="214" spans="1:47" ht="60" customHeight="1" x14ac:dyDescent="0.35">
      <c r="A214" s="253" t="s">
        <v>5214</v>
      </c>
      <c r="B214" s="231" t="s">
        <v>5215</v>
      </c>
      <c r="C214" s="232" t="s">
        <v>5244</v>
      </c>
      <c r="D214" s="235" t="s">
        <v>5245</v>
      </c>
      <c r="E214" s="236" t="s">
        <v>4911</v>
      </c>
      <c r="F214" s="239" t="s">
        <v>5246</v>
      </c>
      <c r="G214" s="242">
        <f>IF(COUNTIF(H214:AU214,"&lt;&gt;")=0,"",SUMPRODUCT(((Recommendations[ImplStatus]="Implemented")+(Recommendations[ImplStatus]="Compensated"))*ISNUMBER(MATCH(Recommendations[Id],H214:AU214,0)))/COUNTIF(H214:AU214,"&lt;&gt;"))</f>
        <v>0</v>
      </c>
      <c r="H214" s="243" t="s">
        <v>353</v>
      </c>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57"/>
    </row>
    <row r="215" spans="1:47" ht="60" customHeight="1" x14ac:dyDescent="0.35">
      <c r="A215" s="253" t="s">
        <v>5214</v>
      </c>
      <c r="B215" s="231" t="s">
        <v>5215</v>
      </c>
      <c r="C215" s="232" t="s">
        <v>5247</v>
      </c>
      <c r="D215" s="235" t="s">
        <v>5248</v>
      </c>
      <c r="E215" s="236" t="s">
        <v>4815</v>
      </c>
      <c r="F215" s="239" t="s">
        <v>5246</v>
      </c>
      <c r="G215" s="242" t="str">
        <f>IF(COUNTIF(H215:AU215,"&lt;&gt;")=0,"",SUMPRODUCT(((Recommendations[ImplStatus]="Implemented")+(Recommendations[ImplStatus]="Compensated"))*ISNUMBER(MATCH(Recommendations[Id],H215:AU215,0)))/COUNTIF(H215:AU215,"&lt;&gt;"))</f>
        <v/>
      </c>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57"/>
    </row>
    <row r="216" spans="1:47" ht="60" customHeight="1" x14ac:dyDescent="0.35">
      <c r="A216" s="253" t="s">
        <v>5214</v>
      </c>
      <c r="B216" s="231" t="s">
        <v>5215</v>
      </c>
      <c r="C216" s="232" t="s">
        <v>5249</v>
      </c>
      <c r="D216" s="235" t="s">
        <v>5250</v>
      </c>
      <c r="E216" s="236" t="s">
        <v>4815</v>
      </c>
      <c r="F216" s="239" t="s">
        <v>5246</v>
      </c>
      <c r="G216" s="242" t="str">
        <f>IF(COUNTIF(H216:AU216,"&lt;&gt;")=0,"",SUMPRODUCT(((Recommendations[ImplStatus]="Implemented")+(Recommendations[ImplStatus]="Compensated"))*ISNUMBER(MATCH(Recommendations[Id],H216:AU216,0)))/COUNTIF(H216:AU216,"&lt;&gt;"))</f>
        <v/>
      </c>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57"/>
    </row>
    <row r="217" spans="1:47" ht="60" customHeight="1" x14ac:dyDescent="0.35">
      <c r="A217" s="253" t="s">
        <v>5214</v>
      </c>
      <c r="B217" s="231" t="s">
        <v>5215</v>
      </c>
      <c r="C217" s="232" t="s">
        <v>5251</v>
      </c>
      <c r="D217" s="235" t="s">
        <v>5252</v>
      </c>
      <c r="E217" s="236" t="s">
        <v>4844</v>
      </c>
      <c r="F217" s="239" t="s">
        <v>5246</v>
      </c>
      <c r="G217" s="242" t="str">
        <f>IF(COUNTIF(H217:AU217,"&lt;&gt;")=0,"",SUMPRODUCT(((Recommendations[ImplStatus]="Implemented")+(Recommendations[ImplStatus]="Compensated"))*ISNUMBER(MATCH(Recommendations[Id],H217:AU217,0)))/COUNTIF(H217:AU217,"&lt;&gt;"))</f>
        <v/>
      </c>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57"/>
    </row>
    <row r="218" spans="1:47" ht="60" customHeight="1" x14ac:dyDescent="0.35">
      <c r="A218" s="253" t="s">
        <v>5214</v>
      </c>
      <c r="B218" s="231" t="s">
        <v>5215</v>
      </c>
      <c r="C218" s="232" t="s">
        <v>5253</v>
      </c>
      <c r="D218" s="235" t="s">
        <v>5254</v>
      </c>
      <c r="E218" s="236" t="s">
        <v>4844</v>
      </c>
      <c r="F218" s="239" t="s">
        <v>5246</v>
      </c>
      <c r="G218" s="242" t="str">
        <f>IF(COUNTIF(H218:AU218,"&lt;&gt;")=0,"",SUMPRODUCT(((Recommendations[ImplStatus]="Implemented")+(Recommendations[ImplStatus]="Compensated"))*ISNUMBER(MATCH(Recommendations[Id],H218:AU218,0)))/COUNTIF(H218:AU218,"&lt;&gt;"))</f>
        <v/>
      </c>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57"/>
    </row>
    <row r="219" spans="1:47" ht="60" customHeight="1" x14ac:dyDescent="0.35">
      <c r="A219" s="253" t="s">
        <v>5214</v>
      </c>
      <c r="B219" s="231" t="s">
        <v>5215</v>
      </c>
      <c r="C219" s="232" t="s">
        <v>5255</v>
      </c>
      <c r="D219" s="235" t="s">
        <v>5256</v>
      </c>
      <c r="E219" s="236" t="s">
        <v>4844</v>
      </c>
      <c r="F219" s="239" t="s">
        <v>5246</v>
      </c>
      <c r="G219" s="242" t="str">
        <f>IF(COUNTIF(H219:AU219,"&lt;&gt;")=0,"",SUMPRODUCT(((Recommendations[ImplStatus]="Implemented")+(Recommendations[ImplStatus]="Compensated"))*ISNUMBER(MATCH(Recommendations[Id],H219:AU219,0)))/COUNTIF(H219:AU219,"&lt;&gt;"))</f>
        <v/>
      </c>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57"/>
    </row>
    <row r="220" spans="1:47" ht="60" customHeight="1" x14ac:dyDescent="0.35">
      <c r="A220" s="253" t="s">
        <v>5214</v>
      </c>
      <c r="B220" s="231" t="s">
        <v>5215</v>
      </c>
      <c r="C220" s="232" t="s">
        <v>5257</v>
      </c>
      <c r="D220" s="235" t="s">
        <v>5258</v>
      </c>
      <c r="E220" s="236" t="s">
        <v>4844</v>
      </c>
      <c r="F220" s="239" t="s">
        <v>5246</v>
      </c>
      <c r="G220" s="242" t="str">
        <f>IF(COUNTIF(H220:AU220,"&lt;&gt;")=0,"",SUMPRODUCT(((Recommendations[ImplStatus]="Implemented")+(Recommendations[ImplStatus]="Compensated"))*ISNUMBER(MATCH(Recommendations[Id],H220:AU220,0)))/COUNTIF(H220:AU220,"&lt;&gt;"))</f>
        <v/>
      </c>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57"/>
    </row>
    <row r="221" spans="1:47" ht="60" customHeight="1" outlineLevel="2" x14ac:dyDescent="0.35">
      <c r="A221" s="252" t="s">
        <v>5214</v>
      </c>
      <c r="B221" s="230" t="s">
        <v>5259</v>
      </c>
      <c r="C221" s="230"/>
      <c r="D221" s="234"/>
      <c r="E221" s="230"/>
      <c r="F221" s="238"/>
      <c r="G221" s="241" t="str">
        <f>IF(COUNTIF(H221:AU221,"&lt;&gt;")=0,"",SUMPRODUCT(((Recommendations[ImplStatus]="Implemented")+(Recommendations[ImplStatus]="Compensated"))*ISNUMBER(MATCH(Recommendations[Id],H221:AU221,0)))/COUNTIF(H221:AU221,"&lt;&gt;"))</f>
        <v/>
      </c>
      <c r="H221" s="238"/>
      <c r="I221" s="238"/>
      <c r="J221" s="238"/>
      <c r="K221" s="238"/>
      <c r="L221" s="238"/>
      <c r="M221" s="238"/>
      <c r="N221" s="238"/>
      <c r="O221" s="238"/>
      <c r="P221" s="238"/>
      <c r="Q221" s="238"/>
      <c r="R221" s="238"/>
      <c r="S221" s="238"/>
      <c r="T221" s="238"/>
      <c r="U221" s="238"/>
      <c r="V221" s="238"/>
      <c r="W221" s="238"/>
      <c r="X221" s="238"/>
      <c r="Y221" s="238"/>
      <c r="Z221" s="238"/>
      <c r="AA221" s="238"/>
      <c r="AB221" s="238"/>
      <c r="AC221" s="238"/>
      <c r="AD221" s="238"/>
      <c r="AE221" s="238"/>
      <c r="AF221" s="238"/>
      <c r="AG221" s="238"/>
      <c r="AH221" s="238"/>
      <c r="AI221" s="238"/>
      <c r="AJ221" s="238"/>
      <c r="AK221" s="238"/>
      <c r="AL221" s="238"/>
      <c r="AM221" s="238"/>
      <c r="AN221" s="238"/>
      <c r="AO221" s="238"/>
      <c r="AP221" s="238"/>
      <c r="AQ221" s="238"/>
      <c r="AR221" s="238"/>
      <c r="AS221" s="238"/>
      <c r="AT221" s="238"/>
      <c r="AU221" s="256"/>
    </row>
    <row r="222" spans="1:47" ht="60" customHeight="1" x14ac:dyDescent="0.35">
      <c r="A222" s="253" t="s">
        <v>5214</v>
      </c>
      <c r="B222" s="231" t="s">
        <v>5259</v>
      </c>
      <c r="C222" s="232" t="s">
        <v>5260</v>
      </c>
      <c r="D222" s="235" t="s">
        <v>5261</v>
      </c>
      <c r="E222" s="236" t="s">
        <v>4911</v>
      </c>
      <c r="F222" s="239" t="s">
        <v>5262</v>
      </c>
      <c r="G222" s="242" t="str">
        <f>IF(COUNTIF(H222:AU222,"&lt;&gt;")=0,"",SUMPRODUCT(((Recommendations[ImplStatus]="Implemented")+(Recommendations[ImplStatus]="Compensated"))*ISNUMBER(MATCH(Recommendations[Id],H222:AU222,0)))/COUNTIF(H222:AU222,"&lt;&gt;"))</f>
        <v/>
      </c>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57"/>
    </row>
    <row r="223" spans="1:47" ht="60" customHeight="1" x14ac:dyDescent="0.35">
      <c r="A223" s="253" t="s">
        <v>5214</v>
      </c>
      <c r="B223" s="231" t="s">
        <v>5259</v>
      </c>
      <c r="C223" s="232" t="s">
        <v>5263</v>
      </c>
      <c r="D223" s="235" t="s">
        <v>5264</v>
      </c>
      <c r="E223" s="236" t="s">
        <v>4911</v>
      </c>
      <c r="F223" s="239" t="s">
        <v>5262</v>
      </c>
      <c r="G223" s="242" t="str">
        <f>IF(COUNTIF(H223:AU223,"&lt;&gt;")=0,"",SUMPRODUCT(((Recommendations[ImplStatus]="Implemented")+(Recommendations[ImplStatus]="Compensated"))*ISNUMBER(MATCH(Recommendations[Id],H223:AU223,0)))/COUNTIF(H223:AU223,"&lt;&gt;"))</f>
        <v/>
      </c>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57"/>
    </row>
    <row r="224" spans="1:47" ht="60" customHeight="1" x14ac:dyDescent="0.35">
      <c r="A224" s="253" t="s">
        <v>5214</v>
      </c>
      <c r="B224" s="231" t="s">
        <v>5259</v>
      </c>
      <c r="C224" s="232" t="s">
        <v>5265</v>
      </c>
      <c r="D224" s="235" t="s">
        <v>5266</v>
      </c>
      <c r="E224" s="236" t="s">
        <v>4911</v>
      </c>
      <c r="F224" s="239" t="s">
        <v>5262</v>
      </c>
      <c r="G224" s="242" t="str">
        <f>IF(COUNTIF(H224:AU224,"&lt;&gt;")=0,"",SUMPRODUCT(((Recommendations[ImplStatus]="Implemented")+(Recommendations[ImplStatus]="Compensated"))*ISNUMBER(MATCH(Recommendations[Id],H224:AU224,0)))/COUNTIF(H224:AU224,"&lt;&gt;"))</f>
        <v/>
      </c>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57"/>
    </row>
    <row r="225" spans="1:47" ht="60" customHeight="1" x14ac:dyDescent="0.35">
      <c r="A225" s="253" t="s">
        <v>5214</v>
      </c>
      <c r="B225" s="231" t="s">
        <v>5259</v>
      </c>
      <c r="C225" s="232" t="s">
        <v>5267</v>
      </c>
      <c r="D225" s="235" t="s">
        <v>5268</v>
      </c>
      <c r="E225" s="236" t="s">
        <v>4911</v>
      </c>
      <c r="F225" s="239" t="s">
        <v>5262</v>
      </c>
      <c r="G225" s="242" t="str">
        <f>IF(COUNTIF(H225:AU225,"&lt;&gt;")=0,"",SUMPRODUCT(((Recommendations[ImplStatus]="Implemented")+(Recommendations[ImplStatus]="Compensated"))*ISNUMBER(MATCH(Recommendations[Id],H225:AU225,0)))/COUNTIF(H225:AU225,"&lt;&gt;"))</f>
        <v/>
      </c>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57"/>
    </row>
    <row r="226" spans="1:47" ht="60" customHeight="1" x14ac:dyDescent="0.35">
      <c r="A226" s="253" t="s">
        <v>5214</v>
      </c>
      <c r="B226" s="231" t="s">
        <v>5259</v>
      </c>
      <c r="C226" s="232" t="s">
        <v>5269</v>
      </c>
      <c r="D226" s="235" t="s">
        <v>5270</v>
      </c>
      <c r="E226" s="236" t="s">
        <v>4911</v>
      </c>
      <c r="F226" s="239" t="s">
        <v>5262</v>
      </c>
      <c r="G226" s="242" t="str">
        <f>IF(COUNTIF(H226:AU226,"&lt;&gt;")=0,"",SUMPRODUCT(((Recommendations[ImplStatus]="Implemented")+(Recommendations[ImplStatus]="Compensated"))*ISNUMBER(MATCH(Recommendations[Id],H226:AU226,0)))/COUNTIF(H226:AU226,"&lt;&gt;"))</f>
        <v/>
      </c>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57"/>
    </row>
    <row r="227" spans="1:47" ht="60" customHeight="1" x14ac:dyDescent="0.35">
      <c r="A227" s="253" t="s">
        <v>5214</v>
      </c>
      <c r="B227" s="231" t="s">
        <v>5259</v>
      </c>
      <c r="C227" s="232" t="s">
        <v>5271</v>
      </c>
      <c r="D227" s="235" t="s">
        <v>5272</v>
      </c>
      <c r="E227" s="236" t="s">
        <v>4911</v>
      </c>
      <c r="F227" s="239" t="s">
        <v>5262</v>
      </c>
      <c r="G227" s="242" t="str">
        <f>IF(COUNTIF(H227:AU227,"&lt;&gt;")=0,"",SUMPRODUCT(((Recommendations[ImplStatus]="Implemented")+(Recommendations[ImplStatus]="Compensated"))*ISNUMBER(MATCH(Recommendations[Id],H227:AU227,0)))/COUNTIF(H227:AU227,"&lt;&gt;"))</f>
        <v/>
      </c>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57"/>
    </row>
    <row r="228" spans="1:47" ht="60" customHeight="1" x14ac:dyDescent="0.35">
      <c r="A228" s="253" t="s">
        <v>5214</v>
      </c>
      <c r="B228" s="231" t="s">
        <v>5259</v>
      </c>
      <c r="C228" s="232" t="s">
        <v>5273</v>
      </c>
      <c r="D228" s="235" t="s">
        <v>5274</v>
      </c>
      <c r="E228" s="236" t="s">
        <v>4911</v>
      </c>
      <c r="F228" s="239" t="s">
        <v>5262</v>
      </c>
      <c r="G228" s="242" t="str">
        <f>IF(COUNTIF(H228:AU228,"&lt;&gt;")=0,"",SUMPRODUCT(((Recommendations[ImplStatus]="Implemented")+(Recommendations[ImplStatus]="Compensated"))*ISNUMBER(MATCH(Recommendations[Id],H228:AU228,0)))/COUNTIF(H228:AU228,"&lt;&gt;"))</f>
        <v/>
      </c>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57"/>
    </row>
    <row r="229" spans="1:47" ht="60" customHeight="1" x14ac:dyDescent="0.35">
      <c r="A229" s="253" t="s">
        <v>5214</v>
      </c>
      <c r="B229" s="231" t="s">
        <v>5259</v>
      </c>
      <c r="C229" s="232" t="s">
        <v>5275</v>
      </c>
      <c r="D229" s="235" t="s">
        <v>5276</v>
      </c>
      <c r="E229" s="236" t="s">
        <v>4815</v>
      </c>
      <c r="F229" s="239" t="s">
        <v>5262</v>
      </c>
      <c r="G229" s="242" t="str">
        <f>IF(COUNTIF(H229:AU229,"&lt;&gt;")=0,"",SUMPRODUCT(((Recommendations[ImplStatus]="Implemented")+(Recommendations[ImplStatus]="Compensated"))*ISNUMBER(MATCH(Recommendations[Id],H229:AU229,0)))/COUNTIF(H229:AU229,"&lt;&gt;"))</f>
        <v/>
      </c>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57"/>
    </row>
    <row r="230" spans="1:47" ht="60" customHeight="1" x14ac:dyDescent="0.35">
      <c r="A230" s="253" t="s">
        <v>5214</v>
      </c>
      <c r="B230" s="231" t="s">
        <v>5259</v>
      </c>
      <c r="C230" s="232" t="s">
        <v>5277</v>
      </c>
      <c r="D230" s="235" t="s">
        <v>5278</v>
      </c>
      <c r="E230" s="236" t="s">
        <v>4815</v>
      </c>
      <c r="F230" s="239" t="s">
        <v>5262</v>
      </c>
      <c r="G230" s="242" t="str">
        <f>IF(COUNTIF(H230:AU230,"&lt;&gt;")=0,"",SUMPRODUCT(((Recommendations[ImplStatus]="Implemented")+(Recommendations[ImplStatus]="Compensated"))*ISNUMBER(MATCH(Recommendations[Id],H230:AU230,0)))/COUNTIF(H230:AU230,"&lt;&gt;"))</f>
        <v/>
      </c>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57"/>
    </row>
    <row r="231" spans="1:47" ht="60" customHeight="1" x14ac:dyDescent="0.35">
      <c r="A231" s="253" t="s">
        <v>5214</v>
      </c>
      <c r="B231" s="231" t="s">
        <v>5259</v>
      </c>
      <c r="C231" s="232" t="s">
        <v>5279</v>
      </c>
      <c r="D231" s="235" t="s">
        <v>5280</v>
      </c>
      <c r="E231" s="236" t="s">
        <v>4911</v>
      </c>
      <c r="F231" s="239" t="s">
        <v>5281</v>
      </c>
      <c r="G231" s="242">
        <f>IF(COUNTIF(H231:AU231,"&lt;&gt;")=0,"",SUMPRODUCT(((Recommendations[ImplStatus]="Implemented")+(Recommendations[ImplStatus]="Compensated"))*ISNUMBER(MATCH(Recommendations[Id],H231:AU231,0)))/COUNTIF(H231:AU231,"&lt;&gt;"))</f>
        <v>0</v>
      </c>
      <c r="H231" s="243" t="s">
        <v>1504</v>
      </c>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57"/>
    </row>
    <row r="232" spans="1:47" ht="60" customHeight="1" x14ac:dyDescent="0.35">
      <c r="A232" s="253" t="s">
        <v>5214</v>
      </c>
      <c r="B232" s="231" t="s">
        <v>5259</v>
      </c>
      <c r="C232" s="232" t="s">
        <v>5282</v>
      </c>
      <c r="D232" s="235" t="s">
        <v>5283</v>
      </c>
      <c r="E232" s="236" t="s">
        <v>4911</v>
      </c>
      <c r="F232" s="239" t="s">
        <v>5281</v>
      </c>
      <c r="G232" s="242" t="str">
        <f>IF(COUNTIF(H232:AU232,"&lt;&gt;")=0,"",SUMPRODUCT(((Recommendations[ImplStatus]="Implemented")+(Recommendations[ImplStatus]="Compensated"))*ISNUMBER(MATCH(Recommendations[Id],H232:AU232,0)))/COUNTIF(H232:AU232,"&lt;&gt;"))</f>
        <v/>
      </c>
      <c r="H232" s="243"/>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57"/>
    </row>
    <row r="233" spans="1:47" ht="60" customHeight="1" x14ac:dyDescent="0.35">
      <c r="A233" s="253" t="s">
        <v>5214</v>
      </c>
      <c r="B233" s="231" t="s">
        <v>5259</v>
      </c>
      <c r="C233" s="232" t="s">
        <v>5284</v>
      </c>
      <c r="D233" s="235" t="s">
        <v>5285</v>
      </c>
      <c r="E233" s="236" t="s">
        <v>4844</v>
      </c>
      <c r="F233" s="239" t="s">
        <v>5281</v>
      </c>
      <c r="G233" s="242" t="str">
        <f>IF(COUNTIF(H233:AU233,"&lt;&gt;")=0,"",SUMPRODUCT(((Recommendations[ImplStatus]="Implemented")+(Recommendations[ImplStatus]="Compensated"))*ISNUMBER(MATCH(Recommendations[Id],H233:AU233,0)))/COUNTIF(H233:AU233,"&lt;&gt;"))</f>
        <v/>
      </c>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57"/>
    </row>
    <row r="234" spans="1:47" ht="60" customHeight="1" x14ac:dyDescent="0.35">
      <c r="A234" s="253" t="s">
        <v>5214</v>
      </c>
      <c r="B234" s="231" t="s">
        <v>5259</v>
      </c>
      <c r="C234" s="232" t="s">
        <v>5286</v>
      </c>
      <c r="D234" s="235" t="s">
        <v>5287</v>
      </c>
      <c r="E234" s="236" t="s">
        <v>4844</v>
      </c>
      <c r="F234" s="239" t="s">
        <v>5281</v>
      </c>
      <c r="G234" s="242" t="str">
        <f>IF(COUNTIF(H234:AU234,"&lt;&gt;")=0,"",SUMPRODUCT(((Recommendations[ImplStatus]="Implemented")+(Recommendations[ImplStatus]="Compensated"))*ISNUMBER(MATCH(Recommendations[Id],H234:AU234,0)))/COUNTIF(H234:AU234,"&lt;&gt;"))</f>
        <v/>
      </c>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57"/>
    </row>
    <row r="235" spans="1:47" ht="60" customHeight="1" x14ac:dyDescent="0.35">
      <c r="A235" s="253" t="s">
        <v>5214</v>
      </c>
      <c r="B235" s="231" t="s">
        <v>5259</v>
      </c>
      <c r="C235" s="232" t="s">
        <v>5288</v>
      </c>
      <c r="D235" s="235" t="s">
        <v>5289</v>
      </c>
      <c r="E235" s="236" t="s">
        <v>4911</v>
      </c>
      <c r="F235" s="239" t="s">
        <v>5281</v>
      </c>
      <c r="G235" s="242" t="str">
        <f>IF(COUNTIF(H235:AU235,"&lt;&gt;")=0,"",SUMPRODUCT(((Recommendations[ImplStatus]="Implemented")+(Recommendations[ImplStatus]="Compensated"))*ISNUMBER(MATCH(Recommendations[Id],H235:AU235,0)))/COUNTIF(H235:AU235,"&lt;&gt;"))</f>
        <v/>
      </c>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57"/>
    </row>
    <row r="236" spans="1:47" ht="60" customHeight="1" x14ac:dyDescent="0.35">
      <c r="A236" s="253" t="s">
        <v>5214</v>
      </c>
      <c r="B236" s="231" t="s">
        <v>5259</v>
      </c>
      <c r="C236" s="232" t="s">
        <v>5290</v>
      </c>
      <c r="D236" s="235" t="s">
        <v>5291</v>
      </c>
      <c r="E236" s="236" t="s">
        <v>4844</v>
      </c>
      <c r="F236" s="239" t="s">
        <v>5281</v>
      </c>
      <c r="G236" s="242" t="str">
        <f>IF(COUNTIF(H236:AU236,"&lt;&gt;")=0,"",SUMPRODUCT(((Recommendations[ImplStatus]="Implemented")+(Recommendations[ImplStatus]="Compensated"))*ISNUMBER(MATCH(Recommendations[Id],H236:AU236,0)))/COUNTIF(H236:AU236,"&lt;&gt;"))</f>
        <v/>
      </c>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57"/>
    </row>
    <row r="237" spans="1:47" ht="60" customHeight="1" outlineLevel="2" x14ac:dyDescent="0.35">
      <c r="A237" s="252" t="s">
        <v>5214</v>
      </c>
      <c r="B237" s="230" t="s">
        <v>3127</v>
      </c>
      <c r="C237" s="230"/>
      <c r="D237" s="234"/>
      <c r="E237" s="230"/>
      <c r="F237" s="238"/>
      <c r="G237" s="241" t="str">
        <f>IF(COUNTIF(H237:AU237,"&lt;&gt;")=0,"",SUMPRODUCT(((Recommendations[ImplStatus]="Implemented")+(Recommendations[ImplStatus]="Compensated"))*ISNUMBER(MATCH(Recommendations[Id],H237:AU237,0)))/COUNTIF(H237:AU237,"&lt;&gt;"))</f>
        <v/>
      </c>
      <c r="H237" s="238"/>
      <c r="I237" s="238"/>
      <c r="J237" s="238"/>
      <c r="K237" s="238"/>
      <c r="L237" s="238"/>
      <c r="M237" s="238"/>
      <c r="N237" s="238"/>
      <c r="O237" s="238"/>
      <c r="P237" s="238"/>
      <c r="Q237" s="238"/>
      <c r="R237" s="238"/>
      <c r="S237" s="238"/>
      <c r="T237" s="238"/>
      <c r="U237" s="238"/>
      <c r="V237" s="238"/>
      <c r="W237" s="238"/>
      <c r="X237" s="238"/>
      <c r="Y237" s="238"/>
      <c r="Z237" s="238"/>
      <c r="AA237" s="238"/>
      <c r="AB237" s="238"/>
      <c r="AC237" s="238"/>
      <c r="AD237" s="238"/>
      <c r="AE237" s="238"/>
      <c r="AF237" s="238"/>
      <c r="AG237" s="238"/>
      <c r="AH237" s="238"/>
      <c r="AI237" s="238"/>
      <c r="AJ237" s="238"/>
      <c r="AK237" s="238"/>
      <c r="AL237" s="238"/>
      <c r="AM237" s="238"/>
      <c r="AN237" s="238"/>
      <c r="AO237" s="238"/>
      <c r="AP237" s="238"/>
      <c r="AQ237" s="238"/>
      <c r="AR237" s="238"/>
      <c r="AS237" s="238"/>
      <c r="AT237" s="238"/>
      <c r="AU237" s="256"/>
    </row>
    <row r="238" spans="1:47" ht="60" customHeight="1" x14ac:dyDescent="0.35">
      <c r="A238" s="253" t="s">
        <v>5214</v>
      </c>
      <c r="B238" s="231" t="s">
        <v>3127</v>
      </c>
      <c r="C238" s="232" t="s">
        <v>5292</v>
      </c>
      <c r="D238" s="235" t="s">
        <v>5293</v>
      </c>
      <c r="E238" s="236" t="s">
        <v>4815</v>
      </c>
      <c r="F238" s="239" t="s">
        <v>5294</v>
      </c>
      <c r="G238" s="242">
        <f>IF(COUNTIF(H238:AU238,"&lt;&gt;")=0,"",SUMPRODUCT(((Recommendations[ImplStatus]="Implemented")+(Recommendations[ImplStatus]="Compensated"))*ISNUMBER(MATCH(Recommendations[Id],H238:AU238,0)))/COUNTIF(H238:AU238,"&lt;&gt;"))</f>
        <v>0</v>
      </c>
      <c r="H238" s="243" t="s">
        <v>1461</v>
      </c>
      <c r="I238" s="243" t="s">
        <v>1466</v>
      </c>
      <c r="J238" s="243" t="s">
        <v>1471</v>
      </c>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57"/>
    </row>
    <row r="239" spans="1:47" ht="60" customHeight="1" x14ac:dyDescent="0.35">
      <c r="A239" s="253" t="s">
        <v>5214</v>
      </c>
      <c r="B239" s="231" t="s">
        <v>3127</v>
      </c>
      <c r="C239" s="232" t="s">
        <v>5295</v>
      </c>
      <c r="D239" s="235" t="s">
        <v>5296</v>
      </c>
      <c r="E239" s="236" t="s">
        <v>4815</v>
      </c>
      <c r="F239" s="239" t="s">
        <v>5294</v>
      </c>
      <c r="G239" s="242" t="str">
        <f>IF(COUNTIF(H239:AU239,"&lt;&gt;")=0,"",SUMPRODUCT(((Recommendations[ImplStatus]="Implemented")+(Recommendations[ImplStatus]="Compensated"))*ISNUMBER(MATCH(Recommendations[Id],H239:AU239,0)))/COUNTIF(H239:AU239,"&lt;&gt;"))</f>
        <v/>
      </c>
      <c r="H239" s="243"/>
      <c r="I239" s="243"/>
      <c r="J239" s="243"/>
      <c r="K239" s="243"/>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57"/>
    </row>
    <row r="240" spans="1:47" ht="60" customHeight="1" x14ac:dyDescent="0.35">
      <c r="A240" s="253" t="s">
        <v>5214</v>
      </c>
      <c r="B240" s="231" t="s">
        <v>3127</v>
      </c>
      <c r="C240" s="232" t="s">
        <v>5297</v>
      </c>
      <c r="D240" s="235" t="s">
        <v>5298</v>
      </c>
      <c r="E240" s="236" t="s">
        <v>4815</v>
      </c>
      <c r="F240" s="239" t="s">
        <v>5294</v>
      </c>
      <c r="G240" s="242" t="str">
        <f>IF(COUNTIF(H240:AU240,"&lt;&gt;")=0,"",SUMPRODUCT(((Recommendations[ImplStatus]="Implemented")+(Recommendations[ImplStatus]="Compensated"))*ISNUMBER(MATCH(Recommendations[Id],H240:AU240,0)))/COUNTIF(H240:AU240,"&lt;&gt;"))</f>
        <v/>
      </c>
      <c r="H240" s="243"/>
      <c r="I240" s="243"/>
      <c r="J240" s="243"/>
      <c r="K240" s="243"/>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57"/>
    </row>
    <row r="241" spans="1:47" ht="60" customHeight="1" x14ac:dyDescent="0.35">
      <c r="A241" s="253" t="s">
        <v>5214</v>
      </c>
      <c r="B241" s="231" t="s">
        <v>3127</v>
      </c>
      <c r="C241" s="232" t="s">
        <v>5299</v>
      </c>
      <c r="D241" s="235" t="s">
        <v>5300</v>
      </c>
      <c r="E241" s="236" t="s">
        <v>4815</v>
      </c>
      <c r="F241" s="239" t="s">
        <v>5294</v>
      </c>
      <c r="G241" s="242" t="str">
        <f>IF(COUNTIF(H241:AU241,"&lt;&gt;")=0,"",SUMPRODUCT(((Recommendations[ImplStatus]="Implemented")+(Recommendations[ImplStatus]="Compensated"))*ISNUMBER(MATCH(Recommendations[Id],H241:AU241,0)))/COUNTIF(H241:AU241,"&lt;&gt;"))</f>
        <v/>
      </c>
      <c r="H241" s="243"/>
      <c r="I241" s="243"/>
      <c r="J241" s="243"/>
      <c r="K241" s="243"/>
      <c r="L241" s="243"/>
      <c r="M241" s="243"/>
      <c r="N241" s="243"/>
      <c r="O241" s="243"/>
      <c r="P241" s="243"/>
      <c r="Q241" s="243"/>
      <c r="R241" s="243"/>
      <c r="S241" s="243"/>
      <c r="T241" s="243"/>
      <c r="U241" s="243"/>
      <c r="V241" s="243"/>
      <c r="W241" s="243"/>
      <c r="X241" s="243"/>
      <c r="Y241" s="243"/>
      <c r="Z241" s="243"/>
      <c r="AA241" s="243"/>
      <c r="AB241" s="243"/>
      <c r="AC241" s="243"/>
      <c r="AD241" s="243"/>
      <c r="AE241" s="243"/>
      <c r="AF241" s="243"/>
      <c r="AG241" s="243"/>
      <c r="AH241" s="243"/>
      <c r="AI241" s="243"/>
      <c r="AJ241" s="243"/>
      <c r="AK241" s="243"/>
      <c r="AL241" s="243"/>
      <c r="AM241" s="243"/>
      <c r="AN241" s="243"/>
      <c r="AO241" s="243"/>
      <c r="AP241" s="243"/>
      <c r="AQ241" s="243"/>
      <c r="AR241" s="243"/>
      <c r="AS241" s="243"/>
      <c r="AT241" s="243"/>
      <c r="AU241" s="257"/>
    </row>
    <row r="242" spans="1:47" ht="60" customHeight="1" x14ac:dyDescent="0.35">
      <c r="A242" s="253" t="s">
        <v>5214</v>
      </c>
      <c r="B242" s="231" t="s">
        <v>3127</v>
      </c>
      <c r="C242" s="232" t="s">
        <v>5301</v>
      </c>
      <c r="D242" s="235" t="s">
        <v>5302</v>
      </c>
      <c r="E242" s="236" t="s">
        <v>4815</v>
      </c>
      <c r="F242" s="239" t="s">
        <v>5294</v>
      </c>
      <c r="G242" s="242">
        <f>IF(COUNTIF(H242:AU242,"&lt;&gt;")=0,"",SUMPRODUCT(((Recommendations[ImplStatus]="Implemented")+(Recommendations[ImplStatus]="Compensated"))*ISNUMBER(MATCH(Recommendations[Id],H242:AU242,0)))/COUNTIF(H242:AU242,"&lt;&gt;"))</f>
        <v>0</v>
      </c>
      <c r="H242" s="243" t="s">
        <v>483</v>
      </c>
      <c r="I242" s="243" t="s">
        <v>489</v>
      </c>
      <c r="J242" s="243" t="s">
        <v>573</v>
      </c>
      <c r="K242" s="243" t="s">
        <v>579</v>
      </c>
      <c r="L242" s="243" t="s">
        <v>614</v>
      </c>
      <c r="M242" s="243" t="s">
        <v>617</v>
      </c>
      <c r="N242" s="243" t="s">
        <v>620</v>
      </c>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57"/>
    </row>
    <row r="243" spans="1:47" ht="60" customHeight="1" x14ac:dyDescent="0.35">
      <c r="A243" s="253" t="s">
        <v>5214</v>
      </c>
      <c r="B243" s="231" t="s">
        <v>3127</v>
      </c>
      <c r="C243" s="232" t="s">
        <v>5303</v>
      </c>
      <c r="D243" s="235" t="s">
        <v>5304</v>
      </c>
      <c r="E243" s="236" t="s">
        <v>4815</v>
      </c>
      <c r="F243" s="239" t="s">
        <v>5294</v>
      </c>
      <c r="G243" s="242" t="str">
        <f>IF(COUNTIF(H243:AU243,"&lt;&gt;")=0,"",SUMPRODUCT(((Recommendations[ImplStatus]="Implemented")+(Recommendations[ImplStatus]="Compensated"))*ISNUMBER(MATCH(Recommendations[Id],H243:AU243,0)))/COUNTIF(H243:AU243,"&lt;&gt;"))</f>
        <v/>
      </c>
      <c r="H243" s="243"/>
      <c r="I243" s="243"/>
      <c r="J243" s="243"/>
      <c r="K243" s="243"/>
      <c r="L243" s="243"/>
      <c r="M243" s="243"/>
      <c r="N243" s="243"/>
      <c r="O243" s="243"/>
      <c r="P243" s="243"/>
      <c r="Q243" s="243"/>
      <c r="R243" s="243"/>
      <c r="S243" s="243"/>
      <c r="T243" s="243"/>
      <c r="U243" s="243"/>
      <c r="V243" s="243"/>
      <c r="W243" s="243"/>
      <c r="X243" s="243"/>
      <c r="Y243" s="243"/>
      <c r="Z243" s="243"/>
      <c r="AA243" s="243"/>
      <c r="AB243" s="243"/>
      <c r="AC243" s="243"/>
      <c r="AD243" s="243"/>
      <c r="AE243" s="243"/>
      <c r="AF243" s="243"/>
      <c r="AG243" s="243"/>
      <c r="AH243" s="243"/>
      <c r="AI243" s="243"/>
      <c r="AJ243" s="243"/>
      <c r="AK243" s="243"/>
      <c r="AL243" s="243"/>
      <c r="AM243" s="243"/>
      <c r="AN243" s="243"/>
      <c r="AO243" s="243"/>
      <c r="AP243" s="243"/>
      <c r="AQ243" s="243"/>
      <c r="AR243" s="243"/>
      <c r="AS243" s="243"/>
      <c r="AT243" s="243"/>
      <c r="AU243" s="257"/>
    </row>
    <row r="244" spans="1:47" ht="60" customHeight="1" x14ac:dyDescent="0.35">
      <c r="A244" s="253" t="s">
        <v>5214</v>
      </c>
      <c r="B244" s="231" t="s">
        <v>3127</v>
      </c>
      <c r="C244" s="232" t="s">
        <v>5305</v>
      </c>
      <c r="D244" s="235" t="s">
        <v>5306</v>
      </c>
      <c r="E244" s="236" t="s">
        <v>4815</v>
      </c>
      <c r="F244" s="239" t="s">
        <v>5294</v>
      </c>
      <c r="G244" s="242">
        <f>IF(COUNTIF(H244:AU244,"&lt;&gt;")=0,"",SUMPRODUCT(((Recommendations[ImplStatus]="Implemented")+(Recommendations[ImplStatus]="Compensated"))*ISNUMBER(MATCH(Recommendations[Id],H244:AU244,0)))/COUNTIF(H244:AU244,"&lt;&gt;"))</f>
        <v>0</v>
      </c>
      <c r="H244" s="243" t="s">
        <v>705</v>
      </c>
      <c r="I244" s="243"/>
      <c r="J244" s="243"/>
      <c r="K244" s="243"/>
      <c r="L244" s="243"/>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57"/>
    </row>
    <row r="245" spans="1:47" ht="60" customHeight="1" x14ac:dyDescent="0.35">
      <c r="A245" s="253" t="s">
        <v>5214</v>
      </c>
      <c r="B245" s="231" t="s">
        <v>3127</v>
      </c>
      <c r="C245" s="232" t="s">
        <v>5307</v>
      </c>
      <c r="D245" s="235" t="s">
        <v>5308</v>
      </c>
      <c r="E245" s="236" t="s">
        <v>4815</v>
      </c>
      <c r="F245" s="239" t="s">
        <v>5294</v>
      </c>
      <c r="G245" s="242" t="str">
        <f>IF(COUNTIF(H245:AU245,"&lt;&gt;")=0,"",SUMPRODUCT(((Recommendations[ImplStatus]="Implemented")+(Recommendations[ImplStatus]="Compensated"))*ISNUMBER(MATCH(Recommendations[Id],H245:AU245,0)))/COUNTIF(H245:AU245,"&lt;&gt;"))</f>
        <v/>
      </c>
      <c r="H245" s="243"/>
      <c r="I245" s="243"/>
      <c r="J245" s="243"/>
      <c r="K245" s="243"/>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57"/>
    </row>
    <row r="246" spans="1:47" ht="60" customHeight="1" x14ac:dyDescent="0.35">
      <c r="A246" s="253" t="s">
        <v>5214</v>
      </c>
      <c r="B246" s="231" t="s">
        <v>3127</v>
      </c>
      <c r="C246" s="232" t="s">
        <v>5309</v>
      </c>
      <c r="D246" s="235" t="s">
        <v>5310</v>
      </c>
      <c r="E246" s="236" t="s">
        <v>4815</v>
      </c>
      <c r="F246" s="239" t="s">
        <v>5294</v>
      </c>
      <c r="G246" s="242" t="str">
        <f>IF(COUNTIF(H246:AU246,"&lt;&gt;")=0,"",SUMPRODUCT(((Recommendations[ImplStatus]="Implemented")+(Recommendations[ImplStatus]="Compensated"))*ISNUMBER(MATCH(Recommendations[Id],H246:AU246,0)))/COUNTIF(H246:AU246,"&lt;&gt;"))</f>
        <v/>
      </c>
      <c r="H246" s="243"/>
      <c r="I246" s="243"/>
      <c r="J246" s="243"/>
      <c r="K246" s="243"/>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57"/>
    </row>
    <row r="247" spans="1:47" ht="60" customHeight="1" x14ac:dyDescent="0.35">
      <c r="A247" s="253" t="s">
        <v>5214</v>
      </c>
      <c r="B247" s="231" t="s">
        <v>3127</v>
      </c>
      <c r="C247" s="232" t="s">
        <v>5311</v>
      </c>
      <c r="D247" s="235" t="s">
        <v>5312</v>
      </c>
      <c r="E247" s="236" t="s">
        <v>4815</v>
      </c>
      <c r="F247" s="239" t="s">
        <v>5294</v>
      </c>
      <c r="G247" s="242" t="str">
        <f>IF(COUNTIF(H247:AU247,"&lt;&gt;")=0,"",SUMPRODUCT(((Recommendations[ImplStatus]="Implemented")+(Recommendations[ImplStatus]="Compensated"))*ISNUMBER(MATCH(Recommendations[Id],H247:AU247,0)))/COUNTIF(H247:AU247,"&lt;&gt;"))</f>
        <v/>
      </c>
      <c r="H247" s="243"/>
      <c r="I247" s="243"/>
      <c r="J247" s="243"/>
      <c r="K247" s="243"/>
      <c r="L247" s="243"/>
      <c r="M247" s="243"/>
      <c r="N247" s="243"/>
      <c r="O247" s="243"/>
      <c r="P247" s="243"/>
      <c r="Q247" s="243"/>
      <c r="R247" s="243"/>
      <c r="S247" s="243"/>
      <c r="T247" s="243"/>
      <c r="U247" s="243"/>
      <c r="V247" s="243"/>
      <c r="W247" s="243"/>
      <c r="X247" s="243"/>
      <c r="Y247" s="243"/>
      <c r="Z247" s="243"/>
      <c r="AA247" s="243"/>
      <c r="AB247" s="243"/>
      <c r="AC247" s="243"/>
      <c r="AD247" s="243"/>
      <c r="AE247" s="243"/>
      <c r="AF247" s="243"/>
      <c r="AG247" s="243"/>
      <c r="AH247" s="243"/>
      <c r="AI247" s="243"/>
      <c r="AJ247" s="243"/>
      <c r="AK247" s="243"/>
      <c r="AL247" s="243"/>
      <c r="AM247" s="243"/>
      <c r="AN247" s="243"/>
      <c r="AO247" s="243"/>
      <c r="AP247" s="243"/>
      <c r="AQ247" s="243"/>
      <c r="AR247" s="243"/>
      <c r="AS247" s="243"/>
      <c r="AT247" s="243"/>
      <c r="AU247" s="257"/>
    </row>
    <row r="248" spans="1:47" ht="60" customHeight="1" x14ac:dyDescent="0.35">
      <c r="A248" s="253" t="s">
        <v>5214</v>
      </c>
      <c r="B248" s="231" t="s">
        <v>3127</v>
      </c>
      <c r="C248" s="232" t="s">
        <v>5313</v>
      </c>
      <c r="D248" s="235" t="s">
        <v>5314</v>
      </c>
      <c r="E248" s="236" t="s">
        <v>4844</v>
      </c>
      <c r="F248" s="239" t="s">
        <v>5294</v>
      </c>
      <c r="G248" s="242" t="str">
        <f>IF(COUNTIF(H248:AU248,"&lt;&gt;")=0,"",SUMPRODUCT(((Recommendations[ImplStatus]="Implemented")+(Recommendations[ImplStatus]="Compensated"))*ISNUMBER(MATCH(Recommendations[Id],H248:AU248,0)))/COUNTIF(H248:AU248,"&lt;&gt;"))</f>
        <v/>
      </c>
      <c r="H248" s="243"/>
      <c r="I248" s="243"/>
      <c r="J248" s="243"/>
      <c r="K248" s="243"/>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57"/>
    </row>
    <row r="249" spans="1:47" ht="60" customHeight="1" x14ac:dyDescent="0.35">
      <c r="A249" s="253" t="s">
        <v>5214</v>
      </c>
      <c r="B249" s="231" t="s">
        <v>3127</v>
      </c>
      <c r="C249" s="232" t="s">
        <v>5315</v>
      </c>
      <c r="D249" s="235" t="s">
        <v>5316</v>
      </c>
      <c r="E249" s="236" t="s">
        <v>4844</v>
      </c>
      <c r="F249" s="239" t="s">
        <v>5317</v>
      </c>
      <c r="G249" s="242" t="str">
        <f>IF(COUNTIF(H249:AU249,"&lt;&gt;")=0,"",SUMPRODUCT(((Recommendations[ImplStatus]="Implemented")+(Recommendations[ImplStatus]="Compensated"))*ISNUMBER(MATCH(Recommendations[Id],H249:AU249,0)))/COUNTIF(H249:AU249,"&lt;&gt;"))</f>
        <v/>
      </c>
      <c r="H249" s="243"/>
      <c r="I249" s="243"/>
      <c r="J249" s="243"/>
      <c r="K249" s="243"/>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57"/>
    </row>
    <row r="250" spans="1:47" ht="60" customHeight="1" x14ac:dyDescent="0.35">
      <c r="A250" s="253" t="s">
        <v>5214</v>
      </c>
      <c r="B250" s="231" t="s">
        <v>3127</v>
      </c>
      <c r="C250" s="232" t="s">
        <v>5318</v>
      </c>
      <c r="D250" s="235" t="s">
        <v>5319</v>
      </c>
      <c r="E250" s="236" t="s">
        <v>4844</v>
      </c>
      <c r="F250" s="239" t="s">
        <v>5317</v>
      </c>
      <c r="G250" s="242" t="str">
        <f>IF(COUNTIF(H250:AU250,"&lt;&gt;")=0,"",SUMPRODUCT(((Recommendations[ImplStatus]="Implemented")+(Recommendations[ImplStatus]="Compensated"))*ISNUMBER(MATCH(Recommendations[Id],H250:AU250,0)))/COUNTIF(H250:AU250,"&lt;&gt;"))</f>
        <v/>
      </c>
      <c r="H250" s="243"/>
      <c r="I250" s="243"/>
      <c r="J250" s="243"/>
      <c r="K250" s="243"/>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57"/>
    </row>
    <row r="251" spans="1:47" ht="60" customHeight="1" outlineLevel="2" x14ac:dyDescent="0.35">
      <c r="A251" s="252" t="s">
        <v>5214</v>
      </c>
      <c r="B251" s="230" t="s">
        <v>5320</v>
      </c>
      <c r="C251" s="230"/>
      <c r="D251" s="234"/>
      <c r="E251" s="230"/>
      <c r="F251" s="238"/>
      <c r="G251" s="241" t="str">
        <f>IF(COUNTIF(H251:AU251,"&lt;&gt;")=0,"",SUMPRODUCT(((Recommendations[ImplStatus]="Implemented")+(Recommendations[ImplStatus]="Compensated"))*ISNUMBER(MATCH(Recommendations[Id],H251:AU251,0)))/COUNTIF(H251:AU251,"&lt;&gt;"))</f>
        <v/>
      </c>
      <c r="H251" s="238"/>
      <c r="I251" s="238"/>
      <c r="J251" s="238"/>
      <c r="K251" s="238"/>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56"/>
    </row>
    <row r="252" spans="1:47" ht="60" customHeight="1" x14ac:dyDescent="0.35">
      <c r="A252" s="253" t="s">
        <v>5214</v>
      </c>
      <c r="B252" s="231" t="s">
        <v>5320</v>
      </c>
      <c r="C252" s="232" t="s">
        <v>5321</v>
      </c>
      <c r="D252" s="235" t="s">
        <v>5322</v>
      </c>
      <c r="E252" s="236" t="s">
        <v>4911</v>
      </c>
      <c r="F252" s="239" t="s">
        <v>5323</v>
      </c>
      <c r="G252" s="242" t="str">
        <f>IF(COUNTIF(H252:AU252,"&lt;&gt;")=0,"",SUMPRODUCT(((Recommendations[ImplStatus]="Implemented")+(Recommendations[ImplStatus]="Compensated"))*ISNUMBER(MATCH(Recommendations[Id],H252:AU252,0)))/COUNTIF(H252:AU252,"&lt;&gt;"))</f>
        <v/>
      </c>
      <c r="H252" s="243"/>
      <c r="I252" s="243"/>
      <c r="J252" s="243"/>
      <c r="K252" s="243"/>
      <c r="L252" s="243"/>
      <c r="M252" s="243"/>
      <c r="N252" s="243"/>
      <c r="O252" s="243"/>
      <c r="P252" s="243"/>
      <c r="Q252" s="243"/>
      <c r="R252" s="243"/>
      <c r="S252" s="243"/>
      <c r="T252" s="243"/>
      <c r="U252" s="243"/>
      <c r="V252" s="243"/>
      <c r="W252" s="243"/>
      <c r="X252" s="243"/>
      <c r="Y252" s="243"/>
      <c r="Z252" s="243"/>
      <c r="AA252" s="243"/>
      <c r="AB252" s="243"/>
      <c r="AC252" s="243"/>
      <c r="AD252" s="243"/>
      <c r="AE252" s="243"/>
      <c r="AF252" s="243"/>
      <c r="AG252" s="243"/>
      <c r="AH252" s="243"/>
      <c r="AI252" s="243"/>
      <c r="AJ252" s="243"/>
      <c r="AK252" s="243"/>
      <c r="AL252" s="243"/>
      <c r="AM252" s="243"/>
      <c r="AN252" s="243"/>
      <c r="AO252" s="243"/>
      <c r="AP252" s="243"/>
      <c r="AQ252" s="243"/>
      <c r="AR252" s="243"/>
      <c r="AS252" s="243"/>
      <c r="AT252" s="243"/>
      <c r="AU252" s="257"/>
    </row>
    <row r="253" spans="1:47" ht="60" customHeight="1" x14ac:dyDescent="0.35">
      <c r="A253" s="253" t="s">
        <v>5214</v>
      </c>
      <c r="B253" s="231" t="s">
        <v>5320</v>
      </c>
      <c r="C253" s="232" t="s">
        <v>5324</v>
      </c>
      <c r="D253" s="235" t="s">
        <v>5325</v>
      </c>
      <c r="E253" s="236" t="s">
        <v>4911</v>
      </c>
      <c r="F253" s="239" t="s">
        <v>5323</v>
      </c>
      <c r="G253" s="242" t="str">
        <f>IF(COUNTIF(H253:AU253,"&lt;&gt;")=0,"",SUMPRODUCT(((Recommendations[ImplStatus]="Implemented")+(Recommendations[ImplStatus]="Compensated"))*ISNUMBER(MATCH(Recommendations[Id],H253:AU253,0)))/COUNTIF(H253:AU253,"&lt;&gt;"))</f>
        <v/>
      </c>
      <c r="H253" s="243"/>
      <c r="I253" s="243"/>
      <c r="J253" s="243"/>
      <c r="K253" s="243"/>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57"/>
    </row>
    <row r="254" spans="1:47" ht="60" customHeight="1" x14ac:dyDescent="0.35">
      <c r="A254" s="253" t="s">
        <v>5214</v>
      </c>
      <c r="B254" s="231" t="s">
        <v>5320</v>
      </c>
      <c r="C254" s="232" t="s">
        <v>5326</v>
      </c>
      <c r="D254" s="235" t="s">
        <v>5327</v>
      </c>
      <c r="E254" s="236" t="s">
        <v>4911</v>
      </c>
      <c r="F254" s="239" t="s">
        <v>5323</v>
      </c>
      <c r="G254" s="242" t="str">
        <f>IF(COUNTIF(H254:AU254,"&lt;&gt;")=0,"",SUMPRODUCT(((Recommendations[ImplStatus]="Implemented")+(Recommendations[ImplStatus]="Compensated"))*ISNUMBER(MATCH(Recommendations[Id],H254:AU254,0)))/COUNTIF(H254:AU254,"&lt;&gt;"))</f>
        <v/>
      </c>
      <c r="H254" s="243"/>
      <c r="I254" s="243"/>
      <c r="J254" s="243"/>
      <c r="K254" s="243"/>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57"/>
    </row>
    <row r="255" spans="1:47" ht="60" customHeight="1" x14ac:dyDescent="0.35">
      <c r="A255" s="253" t="s">
        <v>5214</v>
      </c>
      <c r="B255" s="231" t="s">
        <v>5320</v>
      </c>
      <c r="C255" s="232" t="s">
        <v>5328</v>
      </c>
      <c r="D255" s="235" t="s">
        <v>5329</v>
      </c>
      <c r="E255" s="236" t="s">
        <v>4911</v>
      </c>
      <c r="F255" s="239" t="s">
        <v>5323</v>
      </c>
      <c r="G255" s="242" t="str">
        <f>IF(COUNTIF(H255:AU255,"&lt;&gt;")=0,"",SUMPRODUCT(((Recommendations[ImplStatus]="Implemented")+(Recommendations[ImplStatus]="Compensated"))*ISNUMBER(MATCH(Recommendations[Id],H255:AU255,0)))/COUNTIF(H255:AU255,"&lt;&gt;"))</f>
        <v/>
      </c>
      <c r="H255" s="243"/>
      <c r="I255" s="243"/>
      <c r="J255" s="243"/>
      <c r="K255" s="243"/>
      <c r="L255" s="243"/>
      <c r="M255" s="243"/>
      <c r="N255" s="243"/>
      <c r="O255" s="243"/>
      <c r="P255" s="243"/>
      <c r="Q255" s="243"/>
      <c r="R255" s="243"/>
      <c r="S255" s="243"/>
      <c r="T255" s="243"/>
      <c r="U255" s="243"/>
      <c r="V255" s="243"/>
      <c r="W255" s="243"/>
      <c r="X255" s="243"/>
      <c r="Y255" s="243"/>
      <c r="Z255" s="243"/>
      <c r="AA255" s="243"/>
      <c r="AB255" s="243"/>
      <c r="AC255" s="243"/>
      <c r="AD255" s="243"/>
      <c r="AE255" s="243"/>
      <c r="AF255" s="243"/>
      <c r="AG255" s="243"/>
      <c r="AH255" s="243"/>
      <c r="AI255" s="243"/>
      <c r="AJ255" s="243"/>
      <c r="AK255" s="243"/>
      <c r="AL255" s="243"/>
      <c r="AM255" s="243"/>
      <c r="AN255" s="243"/>
      <c r="AO255" s="243"/>
      <c r="AP255" s="243"/>
      <c r="AQ255" s="243"/>
      <c r="AR255" s="243"/>
      <c r="AS255" s="243"/>
      <c r="AT255" s="243"/>
      <c r="AU255" s="257"/>
    </row>
    <row r="256" spans="1:47" ht="60" customHeight="1" x14ac:dyDescent="0.35">
      <c r="A256" s="253" t="s">
        <v>5214</v>
      </c>
      <c r="B256" s="231" t="s">
        <v>5320</v>
      </c>
      <c r="C256" s="232" t="s">
        <v>5330</v>
      </c>
      <c r="D256" s="235" t="s">
        <v>5331</v>
      </c>
      <c r="E256" s="236" t="s">
        <v>4911</v>
      </c>
      <c r="F256" s="239" t="s">
        <v>5323</v>
      </c>
      <c r="G256" s="242" t="str">
        <f>IF(COUNTIF(H256:AU256,"&lt;&gt;")=0,"",SUMPRODUCT(((Recommendations[ImplStatus]="Implemented")+(Recommendations[ImplStatus]="Compensated"))*ISNUMBER(MATCH(Recommendations[Id],H256:AU256,0)))/COUNTIF(H256:AU256,"&lt;&gt;"))</f>
        <v/>
      </c>
      <c r="H256" s="243"/>
      <c r="I256" s="243"/>
      <c r="J256" s="243"/>
      <c r="K256" s="243"/>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57"/>
    </row>
    <row r="257" spans="1:47" ht="60" customHeight="1" x14ac:dyDescent="0.35">
      <c r="A257" s="253" t="s">
        <v>5214</v>
      </c>
      <c r="B257" s="231" t="s">
        <v>5320</v>
      </c>
      <c r="C257" s="232" t="s">
        <v>5332</v>
      </c>
      <c r="D257" s="235" t="s">
        <v>5333</v>
      </c>
      <c r="E257" s="236" t="s">
        <v>4815</v>
      </c>
      <c r="F257" s="239" t="s">
        <v>5323</v>
      </c>
      <c r="G257" s="242" t="str">
        <f>IF(COUNTIF(H257:AU257,"&lt;&gt;")=0,"",SUMPRODUCT(((Recommendations[ImplStatus]="Implemented")+(Recommendations[ImplStatus]="Compensated"))*ISNUMBER(MATCH(Recommendations[Id],H257:AU257,0)))/COUNTIF(H257:AU257,"&lt;&gt;"))</f>
        <v/>
      </c>
      <c r="H257" s="243"/>
      <c r="I257" s="243"/>
      <c r="J257" s="243"/>
      <c r="K257" s="243"/>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57"/>
    </row>
    <row r="258" spans="1:47" ht="60" customHeight="1" x14ac:dyDescent="0.35">
      <c r="A258" s="253" t="s">
        <v>5214</v>
      </c>
      <c r="B258" s="231" t="s">
        <v>5320</v>
      </c>
      <c r="C258" s="232" t="s">
        <v>5334</v>
      </c>
      <c r="D258" s="235" t="s">
        <v>5335</v>
      </c>
      <c r="E258" s="236" t="s">
        <v>4815</v>
      </c>
      <c r="F258" s="239" t="s">
        <v>5323</v>
      </c>
      <c r="G258" s="242" t="str">
        <f>IF(COUNTIF(H258:AU258,"&lt;&gt;")=0,"",SUMPRODUCT(((Recommendations[ImplStatus]="Implemented")+(Recommendations[ImplStatus]="Compensated"))*ISNUMBER(MATCH(Recommendations[Id],H258:AU258,0)))/COUNTIF(H258:AU258,"&lt;&gt;"))</f>
        <v/>
      </c>
      <c r="H258" s="243"/>
      <c r="I258" s="243"/>
      <c r="J258" s="243"/>
      <c r="K258" s="243"/>
      <c r="L258" s="243"/>
      <c r="M258" s="243"/>
      <c r="N258" s="243"/>
      <c r="O258" s="243"/>
      <c r="P258" s="243"/>
      <c r="Q258" s="243"/>
      <c r="R258" s="243"/>
      <c r="S258" s="243"/>
      <c r="T258" s="243"/>
      <c r="U258" s="243"/>
      <c r="V258" s="243"/>
      <c r="W258" s="243"/>
      <c r="X258" s="243"/>
      <c r="Y258" s="243"/>
      <c r="Z258" s="243"/>
      <c r="AA258" s="243"/>
      <c r="AB258" s="243"/>
      <c r="AC258" s="243"/>
      <c r="AD258" s="243"/>
      <c r="AE258" s="243"/>
      <c r="AF258" s="243"/>
      <c r="AG258" s="243"/>
      <c r="AH258" s="243"/>
      <c r="AI258" s="243"/>
      <c r="AJ258" s="243"/>
      <c r="AK258" s="243"/>
      <c r="AL258" s="243"/>
      <c r="AM258" s="243"/>
      <c r="AN258" s="243"/>
      <c r="AO258" s="243"/>
      <c r="AP258" s="243"/>
      <c r="AQ258" s="243"/>
      <c r="AR258" s="243"/>
      <c r="AS258" s="243"/>
      <c r="AT258" s="243"/>
      <c r="AU258" s="257"/>
    </row>
    <row r="259" spans="1:47" ht="60" customHeight="1" x14ac:dyDescent="0.35">
      <c r="A259" s="253" t="s">
        <v>5214</v>
      </c>
      <c r="B259" s="231" t="s">
        <v>5320</v>
      </c>
      <c r="C259" s="232" t="s">
        <v>5336</v>
      </c>
      <c r="D259" s="235" t="s">
        <v>5337</v>
      </c>
      <c r="E259" s="236" t="s">
        <v>4815</v>
      </c>
      <c r="F259" s="239" t="s">
        <v>5323</v>
      </c>
      <c r="G259" s="242" t="str">
        <f>IF(COUNTIF(H259:AU259,"&lt;&gt;")=0,"",SUMPRODUCT(((Recommendations[ImplStatus]="Implemented")+(Recommendations[ImplStatus]="Compensated"))*ISNUMBER(MATCH(Recommendations[Id],H259:AU259,0)))/COUNTIF(H259:AU259,"&lt;&gt;"))</f>
        <v/>
      </c>
      <c r="H259" s="243"/>
      <c r="I259" s="243"/>
      <c r="J259" s="243"/>
      <c r="K259" s="243"/>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57"/>
    </row>
    <row r="260" spans="1:47" ht="60" customHeight="1" x14ac:dyDescent="0.35">
      <c r="A260" s="253" t="s">
        <v>5214</v>
      </c>
      <c r="B260" s="231" t="s">
        <v>5320</v>
      </c>
      <c r="C260" s="232" t="s">
        <v>5338</v>
      </c>
      <c r="D260" s="235" t="s">
        <v>5339</v>
      </c>
      <c r="E260" s="236" t="s">
        <v>4815</v>
      </c>
      <c r="F260" s="239" t="s">
        <v>5323</v>
      </c>
      <c r="G260" s="242" t="str">
        <f>IF(COUNTIF(H260:AU260,"&lt;&gt;")=0,"",SUMPRODUCT(((Recommendations[ImplStatus]="Implemented")+(Recommendations[ImplStatus]="Compensated"))*ISNUMBER(MATCH(Recommendations[Id],H260:AU260,0)))/COUNTIF(H260:AU260,"&lt;&gt;"))</f>
        <v/>
      </c>
      <c r="H260" s="243"/>
      <c r="I260" s="243"/>
      <c r="J260" s="243"/>
      <c r="K260" s="243"/>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57"/>
    </row>
    <row r="261" spans="1:47" ht="60" customHeight="1" x14ac:dyDescent="0.35">
      <c r="A261" s="253" t="s">
        <v>5214</v>
      </c>
      <c r="B261" s="231" t="s">
        <v>5320</v>
      </c>
      <c r="C261" s="232" t="s">
        <v>5340</v>
      </c>
      <c r="D261" s="235" t="s">
        <v>5341</v>
      </c>
      <c r="E261" s="236" t="s">
        <v>4959</v>
      </c>
      <c r="F261" s="239" t="s">
        <v>5323</v>
      </c>
      <c r="G261" s="242" t="str">
        <f>IF(COUNTIF(H261:AU261,"&lt;&gt;")=0,"",SUMPRODUCT(((Recommendations[ImplStatus]="Implemented")+(Recommendations[ImplStatus]="Compensated"))*ISNUMBER(MATCH(Recommendations[Id],H261:AU261,0)))/COUNTIF(H261:AU261,"&lt;&gt;"))</f>
        <v/>
      </c>
      <c r="H261" s="243"/>
      <c r="I261" s="243"/>
      <c r="J261" s="243"/>
      <c r="K261" s="243"/>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57"/>
    </row>
    <row r="262" spans="1:47" ht="60" customHeight="1" x14ac:dyDescent="0.35">
      <c r="A262" s="253" t="s">
        <v>5214</v>
      </c>
      <c r="B262" s="231" t="s">
        <v>5320</v>
      </c>
      <c r="C262" s="232" t="s">
        <v>5342</v>
      </c>
      <c r="D262" s="235" t="s">
        <v>5343</v>
      </c>
      <c r="E262" s="236" t="s">
        <v>4959</v>
      </c>
      <c r="F262" s="239" t="s">
        <v>5323</v>
      </c>
      <c r="G262" s="242" t="str">
        <f>IF(COUNTIF(H262:AU262,"&lt;&gt;")=0,"",SUMPRODUCT(((Recommendations[ImplStatus]="Implemented")+(Recommendations[ImplStatus]="Compensated"))*ISNUMBER(MATCH(Recommendations[Id],H262:AU262,0)))/COUNTIF(H262:AU262,"&lt;&gt;"))</f>
        <v/>
      </c>
      <c r="H262" s="243"/>
      <c r="I262" s="243"/>
      <c r="J262" s="243"/>
      <c r="K262" s="243"/>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57"/>
    </row>
    <row r="263" spans="1:47" ht="60" customHeight="1" x14ac:dyDescent="0.35">
      <c r="A263" s="253" t="s">
        <v>5214</v>
      </c>
      <c r="B263" s="231" t="s">
        <v>5320</v>
      </c>
      <c r="C263" s="232" t="s">
        <v>5344</v>
      </c>
      <c r="D263" s="235" t="s">
        <v>5345</v>
      </c>
      <c r="E263" s="236" t="s">
        <v>4959</v>
      </c>
      <c r="F263" s="239" t="s">
        <v>5323</v>
      </c>
      <c r="G263" s="242" t="str">
        <f>IF(COUNTIF(H263:AU263,"&lt;&gt;")=0,"",SUMPRODUCT(((Recommendations[ImplStatus]="Implemented")+(Recommendations[ImplStatus]="Compensated"))*ISNUMBER(MATCH(Recommendations[Id],H263:AU263,0)))/COUNTIF(H263:AU263,"&lt;&gt;"))</f>
        <v/>
      </c>
      <c r="H263" s="243"/>
      <c r="I263" s="243"/>
      <c r="J263" s="243"/>
      <c r="K263" s="243"/>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57"/>
    </row>
    <row r="264" spans="1:47" ht="60" customHeight="1" outlineLevel="2" x14ac:dyDescent="0.35">
      <c r="A264" s="252" t="s">
        <v>5214</v>
      </c>
      <c r="B264" s="230" t="s">
        <v>5346</v>
      </c>
      <c r="C264" s="230"/>
      <c r="D264" s="234"/>
      <c r="E264" s="230"/>
      <c r="F264" s="238"/>
      <c r="G264" s="241" t="str">
        <f>IF(COUNTIF(H264:AU264,"&lt;&gt;")=0,"",SUMPRODUCT(((Recommendations[ImplStatus]="Implemented")+(Recommendations[ImplStatus]="Compensated"))*ISNUMBER(MATCH(Recommendations[Id],H264:AU264,0)))/COUNTIF(H264:AU264,"&lt;&gt;"))</f>
        <v/>
      </c>
      <c r="H264" s="238"/>
      <c r="I264" s="238"/>
      <c r="J264" s="238"/>
      <c r="K264" s="238"/>
      <c r="L264" s="238"/>
      <c r="M264" s="238"/>
      <c r="N264" s="238"/>
      <c r="O264" s="238"/>
      <c r="P264" s="238"/>
      <c r="Q264" s="238"/>
      <c r="R264" s="238"/>
      <c r="S264" s="238"/>
      <c r="T264" s="238"/>
      <c r="U264" s="238"/>
      <c r="V264" s="238"/>
      <c r="W264" s="238"/>
      <c r="X264" s="238"/>
      <c r="Y264" s="238"/>
      <c r="Z264" s="238"/>
      <c r="AA264" s="238"/>
      <c r="AB264" s="238"/>
      <c r="AC264" s="238"/>
      <c r="AD264" s="238"/>
      <c r="AE264" s="238"/>
      <c r="AF264" s="238"/>
      <c r="AG264" s="238"/>
      <c r="AH264" s="238"/>
      <c r="AI264" s="238"/>
      <c r="AJ264" s="238"/>
      <c r="AK264" s="238"/>
      <c r="AL264" s="238"/>
      <c r="AM264" s="238"/>
      <c r="AN264" s="238"/>
      <c r="AO264" s="238"/>
      <c r="AP264" s="238"/>
      <c r="AQ264" s="238"/>
      <c r="AR264" s="238"/>
      <c r="AS264" s="238"/>
      <c r="AT264" s="238"/>
      <c r="AU264" s="256"/>
    </row>
    <row r="265" spans="1:47" ht="60" customHeight="1" x14ac:dyDescent="0.35">
      <c r="A265" s="253" t="s">
        <v>5214</v>
      </c>
      <c r="B265" s="231" t="s">
        <v>5346</v>
      </c>
      <c r="C265" s="232" t="s">
        <v>5347</v>
      </c>
      <c r="D265" s="235" t="s">
        <v>5348</v>
      </c>
      <c r="E265" s="236" t="s">
        <v>4844</v>
      </c>
      <c r="F265" s="239" t="s">
        <v>5349</v>
      </c>
      <c r="G265" s="242" t="str">
        <f>IF(COUNTIF(H265:AU265,"&lt;&gt;")=0,"",SUMPRODUCT(((Recommendations[ImplStatus]="Implemented")+(Recommendations[ImplStatus]="Compensated"))*ISNUMBER(MATCH(Recommendations[Id],H265:AU265,0)))/COUNTIF(H265:AU265,"&lt;&gt;"))</f>
        <v/>
      </c>
      <c r="H265" s="243"/>
      <c r="I265" s="243"/>
      <c r="J265" s="243"/>
      <c r="K265" s="243"/>
      <c r="L265" s="243"/>
      <c r="M265" s="243"/>
      <c r="N265" s="243"/>
      <c r="O265" s="243"/>
      <c r="P265" s="243"/>
      <c r="Q265" s="243"/>
      <c r="R265" s="243"/>
      <c r="S265" s="243"/>
      <c r="T265" s="243"/>
      <c r="U265" s="243"/>
      <c r="V265" s="243"/>
      <c r="W265" s="243"/>
      <c r="X265" s="243"/>
      <c r="Y265" s="243"/>
      <c r="Z265" s="243"/>
      <c r="AA265" s="243"/>
      <c r="AB265" s="243"/>
      <c r="AC265" s="243"/>
      <c r="AD265" s="243"/>
      <c r="AE265" s="243"/>
      <c r="AF265" s="243"/>
      <c r="AG265" s="243"/>
      <c r="AH265" s="243"/>
      <c r="AI265" s="243"/>
      <c r="AJ265" s="243"/>
      <c r="AK265" s="243"/>
      <c r="AL265" s="243"/>
      <c r="AM265" s="243"/>
      <c r="AN265" s="243"/>
      <c r="AO265" s="243"/>
      <c r="AP265" s="243"/>
      <c r="AQ265" s="243"/>
      <c r="AR265" s="243"/>
      <c r="AS265" s="243"/>
      <c r="AT265" s="243"/>
      <c r="AU265" s="257"/>
    </row>
    <row r="266" spans="1:47" ht="60" customHeight="1" x14ac:dyDescent="0.35">
      <c r="A266" s="253" t="s">
        <v>5214</v>
      </c>
      <c r="B266" s="231" t="s">
        <v>5346</v>
      </c>
      <c r="C266" s="232" t="s">
        <v>5350</v>
      </c>
      <c r="D266" s="235" t="s">
        <v>5351</v>
      </c>
      <c r="E266" s="236" t="s">
        <v>4844</v>
      </c>
      <c r="F266" s="239" t="s">
        <v>5349</v>
      </c>
      <c r="G266" s="242" t="str">
        <f>IF(COUNTIF(H266:AU266,"&lt;&gt;")=0,"",SUMPRODUCT(((Recommendations[ImplStatus]="Implemented")+(Recommendations[ImplStatus]="Compensated"))*ISNUMBER(MATCH(Recommendations[Id],H266:AU266,0)))/COUNTIF(H266:AU266,"&lt;&gt;"))</f>
        <v/>
      </c>
      <c r="H266" s="243"/>
      <c r="I266" s="243"/>
      <c r="J266" s="243"/>
      <c r="K266" s="243"/>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57"/>
    </row>
    <row r="267" spans="1:47" ht="60" customHeight="1" x14ac:dyDescent="0.35">
      <c r="A267" s="253" t="s">
        <v>5214</v>
      </c>
      <c r="B267" s="231" t="s">
        <v>5346</v>
      </c>
      <c r="C267" s="232" t="s">
        <v>5352</v>
      </c>
      <c r="D267" s="235" t="s">
        <v>5353</v>
      </c>
      <c r="E267" s="236" t="s">
        <v>4844</v>
      </c>
      <c r="F267" s="239" t="s">
        <v>5349</v>
      </c>
      <c r="G267" s="242" t="str">
        <f>IF(COUNTIF(H267:AU267,"&lt;&gt;")=0,"",SUMPRODUCT(((Recommendations[ImplStatus]="Implemented")+(Recommendations[ImplStatus]="Compensated"))*ISNUMBER(MATCH(Recommendations[Id],H267:AU267,0)))/COUNTIF(H267:AU267,"&lt;&gt;"))</f>
        <v/>
      </c>
      <c r="H267" s="243"/>
      <c r="I267" s="243"/>
      <c r="J267" s="243"/>
      <c r="K267" s="243"/>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57"/>
    </row>
    <row r="268" spans="1:47" ht="60" customHeight="1" x14ac:dyDescent="0.35">
      <c r="A268" s="253" t="s">
        <v>5214</v>
      </c>
      <c r="B268" s="231" t="s">
        <v>5346</v>
      </c>
      <c r="C268" s="232" t="s">
        <v>5354</v>
      </c>
      <c r="D268" s="235" t="s">
        <v>5355</v>
      </c>
      <c r="E268" s="236" t="s">
        <v>4844</v>
      </c>
      <c r="F268" s="239" t="s">
        <v>5349</v>
      </c>
      <c r="G268" s="242" t="str">
        <f>IF(COUNTIF(H268:AU268,"&lt;&gt;")=0,"",SUMPRODUCT(((Recommendations[ImplStatus]="Implemented")+(Recommendations[ImplStatus]="Compensated"))*ISNUMBER(MATCH(Recommendations[Id],H268:AU268,0)))/COUNTIF(H268:AU268,"&lt;&gt;"))</f>
        <v/>
      </c>
      <c r="H268" s="243"/>
      <c r="I268" s="243"/>
      <c r="J268" s="243"/>
      <c r="K268" s="243"/>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57"/>
    </row>
    <row r="269" spans="1:47" ht="60" customHeight="1" x14ac:dyDescent="0.35">
      <c r="A269" s="253" t="s">
        <v>5214</v>
      </c>
      <c r="B269" s="231" t="s">
        <v>5346</v>
      </c>
      <c r="C269" s="232" t="s">
        <v>5356</v>
      </c>
      <c r="D269" s="235" t="s">
        <v>5357</v>
      </c>
      <c r="E269" s="236" t="s">
        <v>4844</v>
      </c>
      <c r="F269" s="239" t="s">
        <v>5349</v>
      </c>
      <c r="G269" s="242" t="str">
        <f>IF(COUNTIF(H269:AU269,"&lt;&gt;")=0,"",SUMPRODUCT(((Recommendations[ImplStatus]="Implemented")+(Recommendations[ImplStatus]="Compensated"))*ISNUMBER(MATCH(Recommendations[Id],H269:AU269,0)))/COUNTIF(H269:AU269,"&lt;&gt;"))</f>
        <v/>
      </c>
      <c r="H269" s="243"/>
      <c r="I269" s="243"/>
      <c r="J269" s="243"/>
      <c r="K269" s="243"/>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57"/>
    </row>
    <row r="270" spans="1:47" ht="60" customHeight="1" x14ac:dyDescent="0.35">
      <c r="A270" s="253" t="s">
        <v>5214</v>
      </c>
      <c r="B270" s="231" t="s">
        <v>5346</v>
      </c>
      <c r="C270" s="232" t="s">
        <v>5358</v>
      </c>
      <c r="D270" s="235" t="s">
        <v>5359</v>
      </c>
      <c r="E270" s="236" t="s">
        <v>4844</v>
      </c>
      <c r="F270" s="239" t="s">
        <v>5349</v>
      </c>
      <c r="G270" s="242" t="str">
        <f>IF(COUNTIF(H270:AU270,"&lt;&gt;")=0,"",SUMPRODUCT(((Recommendations[ImplStatus]="Implemented")+(Recommendations[ImplStatus]="Compensated"))*ISNUMBER(MATCH(Recommendations[Id],H270:AU270,0)))/COUNTIF(H270:AU270,"&lt;&gt;"))</f>
        <v/>
      </c>
      <c r="H270" s="243"/>
      <c r="I270" s="243"/>
      <c r="J270" s="243"/>
      <c r="K270" s="243"/>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57"/>
    </row>
    <row r="271" spans="1:47" ht="60" customHeight="1" x14ac:dyDescent="0.35">
      <c r="A271" s="253" t="s">
        <v>5214</v>
      </c>
      <c r="B271" s="231" t="s">
        <v>5346</v>
      </c>
      <c r="C271" s="232" t="s">
        <v>5360</v>
      </c>
      <c r="D271" s="235" t="s">
        <v>5361</v>
      </c>
      <c r="E271" s="236" t="s">
        <v>4844</v>
      </c>
      <c r="F271" s="239" t="s">
        <v>5349</v>
      </c>
      <c r="G271" s="242" t="str">
        <f>IF(COUNTIF(H271:AU271,"&lt;&gt;")=0,"",SUMPRODUCT(((Recommendations[ImplStatus]="Implemented")+(Recommendations[ImplStatus]="Compensated"))*ISNUMBER(MATCH(Recommendations[Id],H271:AU271,0)))/COUNTIF(H271:AU271,"&lt;&gt;"))</f>
        <v/>
      </c>
      <c r="H271" s="243"/>
      <c r="I271" s="243"/>
      <c r="J271" s="243"/>
      <c r="K271" s="243"/>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57"/>
    </row>
    <row r="272" spans="1:47" ht="60" customHeight="1" x14ac:dyDescent="0.35">
      <c r="A272" s="253" t="s">
        <v>5214</v>
      </c>
      <c r="B272" s="231" t="s">
        <v>5346</v>
      </c>
      <c r="C272" s="232" t="s">
        <v>5362</v>
      </c>
      <c r="D272" s="235" t="s">
        <v>5363</v>
      </c>
      <c r="E272" s="236" t="s">
        <v>4844</v>
      </c>
      <c r="F272" s="239" t="s">
        <v>5349</v>
      </c>
      <c r="G272" s="242" t="str">
        <f>IF(COUNTIF(H272:AU272,"&lt;&gt;")=0,"",SUMPRODUCT(((Recommendations[ImplStatus]="Implemented")+(Recommendations[ImplStatus]="Compensated"))*ISNUMBER(MATCH(Recommendations[Id],H272:AU272,0)))/COUNTIF(H272:AU272,"&lt;&gt;"))</f>
        <v/>
      </c>
      <c r="H272" s="243"/>
      <c r="I272" s="243"/>
      <c r="J272" s="243"/>
      <c r="K272" s="243"/>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57"/>
    </row>
    <row r="273" spans="1:47" ht="60" customHeight="1" x14ac:dyDescent="0.35">
      <c r="A273" s="253" t="s">
        <v>5214</v>
      </c>
      <c r="B273" s="231" t="s">
        <v>5346</v>
      </c>
      <c r="C273" s="232" t="s">
        <v>5364</v>
      </c>
      <c r="D273" s="235" t="s">
        <v>5365</v>
      </c>
      <c r="E273" s="236" t="s">
        <v>4844</v>
      </c>
      <c r="F273" s="239" t="s">
        <v>5349</v>
      </c>
      <c r="G273" s="242" t="str">
        <f>IF(COUNTIF(H273:AU273,"&lt;&gt;")=0,"",SUMPRODUCT(((Recommendations[ImplStatus]="Implemented")+(Recommendations[ImplStatus]="Compensated"))*ISNUMBER(MATCH(Recommendations[Id],H273:AU273,0)))/COUNTIF(H273:AU273,"&lt;&gt;"))</f>
        <v/>
      </c>
      <c r="H273" s="243"/>
      <c r="I273" s="243"/>
      <c r="J273" s="243"/>
      <c r="K273" s="243"/>
      <c r="L273" s="243"/>
      <c r="M273" s="243"/>
      <c r="N273" s="243"/>
      <c r="O273" s="243"/>
      <c r="P273" s="243"/>
      <c r="Q273" s="243"/>
      <c r="R273" s="243"/>
      <c r="S273" s="243"/>
      <c r="T273" s="243"/>
      <c r="U273" s="243"/>
      <c r="V273" s="243"/>
      <c r="W273" s="243"/>
      <c r="X273" s="243"/>
      <c r="Y273" s="243"/>
      <c r="Z273" s="243"/>
      <c r="AA273" s="243"/>
      <c r="AB273" s="243"/>
      <c r="AC273" s="243"/>
      <c r="AD273" s="243"/>
      <c r="AE273" s="243"/>
      <c r="AF273" s="243"/>
      <c r="AG273" s="243"/>
      <c r="AH273" s="243"/>
      <c r="AI273" s="243"/>
      <c r="AJ273" s="243"/>
      <c r="AK273" s="243"/>
      <c r="AL273" s="243"/>
      <c r="AM273" s="243"/>
      <c r="AN273" s="243"/>
      <c r="AO273" s="243"/>
      <c r="AP273" s="243"/>
      <c r="AQ273" s="243"/>
      <c r="AR273" s="243"/>
      <c r="AS273" s="243"/>
      <c r="AT273" s="243"/>
      <c r="AU273" s="257"/>
    </row>
    <row r="274" spans="1:47" ht="60" customHeight="1" outlineLevel="1" x14ac:dyDescent="0.35">
      <c r="A274" s="251" t="s">
        <v>5366</v>
      </c>
      <c r="B274" s="229"/>
      <c r="C274" s="229"/>
      <c r="D274" s="233"/>
      <c r="E274" s="229"/>
      <c r="F274" s="237"/>
      <c r="G274" s="240" t="str">
        <f>IF(COUNTIF(H274:AU274,"&lt;&gt;")=0,"",SUMPRODUCT(((Recommendations[ImplStatus]="Implemented")+(Recommendations[ImplStatus]="Compensated"))*ISNUMBER(MATCH(Recommendations[Id],H274:AU274,0)))/COUNTIF(H274:AU274,"&lt;&gt;"))</f>
        <v/>
      </c>
      <c r="H274" s="237"/>
      <c r="I274" s="237"/>
      <c r="J274" s="237"/>
      <c r="K274" s="237"/>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7"/>
      <c r="AI274" s="237"/>
      <c r="AJ274" s="237"/>
      <c r="AK274" s="237"/>
      <c r="AL274" s="237"/>
      <c r="AM274" s="237"/>
      <c r="AN274" s="237"/>
      <c r="AO274" s="237"/>
      <c r="AP274" s="237"/>
      <c r="AQ274" s="237"/>
      <c r="AR274" s="237"/>
      <c r="AS274" s="237"/>
      <c r="AT274" s="237"/>
      <c r="AU274" s="255"/>
    </row>
    <row r="275" spans="1:47" ht="60" customHeight="1" outlineLevel="2" x14ac:dyDescent="0.35">
      <c r="A275" s="252" t="s">
        <v>5366</v>
      </c>
      <c r="B275" s="230" t="s">
        <v>5367</v>
      </c>
      <c r="C275" s="230"/>
      <c r="D275" s="234"/>
      <c r="E275" s="230"/>
      <c r="F275" s="238"/>
      <c r="G275" s="241" t="str">
        <f>IF(COUNTIF(H275:AU275,"&lt;&gt;")=0,"",SUMPRODUCT(((Recommendations[ImplStatus]="Implemented")+(Recommendations[ImplStatus]="Compensated"))*ISNUMBER(MATCH(Recommendations[Id],H275:AU275,0)))/COUNTIF(H275:AU275,"&lt;&gt;"))</f>
        <v/>
      </c>
      <c r="H275" s="238"/>
      <c r="I275" s="238"/>
      <c r="J275" s="238"/>
      <c r="K275" s="238"/>
      <c r="L275" s="238"/>
      <c r="M275" s="238"/>
      <c r="N275" s="238"/>
      <c r="O275" s="238"/>
      <c r="P275" s="238"/>
      <c r="Q275" s="238"/>
      <c r="R275" s="238"/>
      <c r="S275" s="238"/>
      <c r="T275" s="238"/>
      <c r="U275" s="238"/>
      <c r="V275" s="238"/>
      <c r="W275" s="238"/>
      <c r="X275" s="238"/>
      <c r="Y275" s="238"/>
      <c r="Z275" s="238"/>
      <c r="AA275" s="238"/>
      <c r="AB275" s="238"/>
      <c r="AC275" s="238"/>
      <c r="AD275" s="238"/>
      <c r="AE275" s="238"/>
      <c r="AF275" s="238"/>
      <c r="AG275" s="238"/>
      <c r="AH275" s="238"/>
      <c r="AI275" s="238"/>
      <c r="AJ275" s="238"/>
      <c r="AK275" s="238"/>
      <c r="AL275" s="238"/>
      <c r="AM275" s="238"/>
      <c r="AN275" s="238"/>
      <c r="AO275" s="238"/>
      <c r="AP275" s="238"/>
      <c r="AQ275" s="238"/>
      <c r="AR275" s="238"/>
      <c r="AS275" s="238"/>
      <c r="AT275" s="238"/>
      <c r="AU275" s="256"/>
    </row>
    <row r="276" spans="1:47" ht="60" customHeight="1" x14ac:dyDescent="0.35">
      <c r="A276" s="253" t="s">
        <v>5366</v>
      </c>
      <c r="B276" s="231" t="s">
        <v>5367</v>
      </c>
      <c r="C276" s="232" t="s">
        <v>5368</v>
      </c>
      <c r="D276" s="235" t="s">
        <v>5369</v>
      </c>
      <c r="E276" s="236" t="s">
        <v>4815</v>
      </c>
      <c r="F276" s="239" t="s">
        <v>5370</v>
      </c>
      <c r="G276" s="242" t="str">
        <f>IF(COUNTIF(H276:AU276,"&lt;&gt;")=0,"",SUMPRODUCT(((Recommendations[ImplStatus]="Implemented")+(Recommendations[ImplStatus]="Compensated"))*ISNUMBER(MATCH(Recommendations[Id],H276:AU276,0)))/COUNTIF(H276:AU276,"&lt;&gt;"))</f>
        <v/>
      </c>
      <c r="H276" s="243"/>
      <c r="I276" s="243"/>
      <c r="J276" s="243"/>
      <c r="K276" s="243"/>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57"/>
    </row>
    <row r="277" spans="1:47" ht="60" customHeight="1" x14ac:dyDescent="0.35">
      <c r="A277" s="253" t="s">
        <v>5366</v>
      </c>
      <c r="B277" s="231" t="s">
        <v>5367</v>
      </c>
      <c r="C277" s="232" t="s">
        <v>5371</v>
      </c>
      <c r="D277" s="235" t="s">
        <v>5372</v>
      </c>
      <c r="E277" s="236" t="s">
        <v>4815</v>
      </c>
      <c r="F277" s="239" t="s">
        <v>5370</v>
      </c>
      <c r="G277" s="242" t="str">
        <f>IF(COUNTIF(H277:AU277,"&lt;&gt;")=0,"",SUMPRODUCT(((Recommendations[ImplStatus]="Implemented")+(Recommendations[ImplStatus]="Compensated"))*ISNUMBER(MATCH(Recommendations[Id],H277:AU277,0)))/COUNTIF(H277:AU277,"&lt;&gt;"))</f>
        <v/>
      </c>
      <c r="H277" s="243"/>
      <c r="I277" s="243"/>
      <c r="J277" s="243"/>
      <c r="K277" s="243"/>
      <c r="L277" s="243"/>
      <c r="M277" s="243"/>
      <c r="N277" s="243"/>
      <c r="O277" s="243"/>
      <c r="P277" s="243"/>
      <c r="Q277" s="243"/>
      <c r="R277" s="243"/>
      <c r="S277" s="243"/>
      <c r="T277" s="243"/>
      <c r="U277" s="243"/>
      <c r="V277" s="243"/>
      <c r="W277" s="243"/>
      <c r="X277" s="243"/>
      <c r="Y277" s="243"/>
      <c r="Z277" s="243"/>
      <c r="AA277" s="243"/>
      <c r="AB277" s="243"/>
      <c r="AC277" s="243"/>
      <c r="AD277" s="243"/>
      <c r="AE277" s="243"/>
      <c r="AF277" s="243"/>
      <c r="AG277" s="243"/>
      <c r="AH277" s="243"/>
      <c r="AI277" s="243"/>
      <c r="AJ277" s="243"/>
      <c r="AK277" s="243"/>
      <c r="AL277" s="243"/>
      <c r="AM277" s="243"/>
      <c r="AN277" s="243"/>
      <c r="AO277" s="243"/>
      <c r="AP277" s="243"/>
      <c r="AQ277" s="243"/>
      <c r="AR277" s="243"/>
      <c r="AS277" s="243"/>
      <c r="AT277" s="243"/>
      <c r="AU277" s="257"/>
    </row>
    <row r="278" spans="1:47" ht="60" customHeight="1" x14ac:dyDescent="0.35">
      <c r="A278" s="253" t="s">
        <v>5366</v>
      </c>
      <c r="B278" s="231" t="s">
        <v>5367</v>
      </c>
      <c r="C278" s="232" t="s">
        <v>5373</v>
      </c>
      <c r="D278" s="235" t="s">
        <v>5374</v>
      </c>
      <c r="E278" s="236" t="s">
        <v>4815</v>
      </c>
      <c r="F278" s="239" t="s">
        <v>5370</v>
      </c>
      <c r="G278" s="242" t="str">
        <f>IF(COUNTIF(H278:AU278,"&lt;&gt;")=0,"",SUMPRODUCT(((Recommendations[ImplStatus]="Implemented")+(Recommendations[ImplStatus]="Compensated"))*ISNUMBER(MATCH(Recommendations[Id],H278:AU278,0)))/COUNTIF(H278:AU278,"&lt;&gt;"))</f>
        <v/>
      </c>
      <c r="H278" s="243"/>
      <c r="I278" s="243"/>
      <c r="J278" s="243"/>
      <c r="K278" s="243"/>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57"/>
    </row>
    <row r="279" spans="1:47" ht="60" customHeight="1" x14ac:dyDescent="0.35">
      <c r="A279" s="253" t="s">
        <v>5366</v>
      </c>
      <c r="B279" s="231" t="s">
        <v>5367</v>
      </c>
      <c r="C279" s="232" t="s">
        <v>5375</v>
      </c>
      <c r="D279" s="235" t="s">
        <v>5376</v>
      </c>
      <c r="E279" s="236" t="s">
        <v>4815</v>
      </c>
      <c r="F279" s="239" t="s">
        <v>5370</v>
      </c>
      <c r="G279" s="242" t="str">
        <f>IF(COUNTIF(H279:AU279,"&lt;&gt;")=0,"",SUMPRODUCT(((Recommendations[ImplStatus]="Implemented")+(Recommendations[ImplStatus]="Compensated"))*ISNUMBER(MATCH(Recommendations[Id],H279:AU279,0)))/COUNTIF(H279:AU279,"&lt;&gt;"))</f>
        <v/>
      </c>
      <c r="H279" s="243"/>
      <c r="I279" s="243"/>
      <c r="J279" s="243"/>
      <c r="K279" s="243"/>
      <c r="L279" s="243"/>
      <c r="M279" s="243"/>
      <c r="N279" s="243"/>
      <c r="O279" s="243"/>
      <c r="P279" s="243"/>
      <c r="Q279" s="243"/>
      <c r="R279" s="243"/>
      <c r="S279" s="243"/>
      <c r="T279" s="243"/>
      <c r="U279" s="243"/>
      <c r="V279" s="243"/>
      <c r="W279" s="243"/>
      <c r="X279" s="243"/>
      <c r="Y279" s="243"/>
      <c r="Z279" s="243"/>
      <c r="AA279" s="243"/>
      <c r="AB279" s="243"/>
      <c r="AC279" s="243"/>
      <c r="AD279" s="243"/>
      <c r="AE279" s="243"/>
      <c r="AF279" s="243"/>
      <c r="AG279" s="243"/>
      <c r="AH279" s="243"/>
      <c r="AI279" s="243"/>
      <c r="AJ279" s="243"/>
      <c r="AK279" s="243"/>
      <c r="AL279" s="243"/>
      <c r="AM279" s="243"/>
      <c r="AN279" s="243"/>
      <c r="AO279" s="243"/>
      <c r="AP279" s="243"/>
      <c r="AQ279" s="243"/>
      <c r="AR279" s="243"/>
      <c r="AS279" s="243"/>
      <c r="AT279" s="243"/>
      <c r="AU279" s="257"/>
    </row>
    <row r="280" spans="1:47" ht="60" customHeight="1" x14ac:dyDescent="0.35">
      <c r="A280" s="253" t="s">
        <v>5366</v>
      </c>
      <c r="B280" s="231" t="s">
        <v>5367</v>
      </c>
      <c r="C280" s="232" t="s">
        <v>5377</v>
      </c>
      <c r="D280" s="235" t="s">
        <v>5378</v>
      </c>
      <c r="E280" s="236" t="s">
        <v>4815</v>
      </c>
      <c r="F280" s="239" t="s">
        <v>5370</v>
      </c>
      <c r="G280" s="242" t="str">
        <f>IF(COUNTIF(H280:AU280,"&lt;&gt;")=0,"",SUMPRODUCT(((Recommendations[ImplStatus]="Implemented")+(Recommendations[ImplStatus]="Compensated"))*ISNUMBER(MATCH(Recommendations[Id],H280:AU280,0)))/COUNTIF(H280:AU280,"&lt;&gt;"))</f>
        <v/>
      </c>
      <c r="H280" s="243"/>
      <c r="I280" s="243"/>
      <c r="J280" s="243"/>
      <c r="K280" s="243"/>
      <c r="L280" s="243"/>
      <c r="M280" s="243"/>
      <c r="N280" s="243"/>
      <c r="O280" s="243"/>
      <c r="P280" s="243"/>
      <c r="Q280" s="243"/>
      <c r="R280" s="243"/>
      <c r="S280" s="243"/>
      <c r="T280" s="243"/>
      <c r="U280" s="243"/>
      <c r="V280" s="243"/>
      <c r="W280" s="243"/>
      <c r="X280" s="243"/>
      <c r="Y280" s="243"/>
      <c r="Z280" s="243"/>
      <c r="AA280" s="243"/>
      <c r="AB280" s="243"/>
      <c r="AC280" s="243"/>
      <c r="AD280" s="243"/>
      <c r="AE280" s="243"/>
      <c r="AF280" s="243"/>
      <c r="AG280" s="243"/>
      <c r="AH280" s="243"/>
      <c r="AI280" s="243"/>
      <c r="AJ280" s="243"/>
      <c r="AK280" s="243"/>
      <c r="AL280" s="243"/>
      <c r="AM280" s="243"/>
      <c r="AN280" s="243"/>
      <c r="AO280" s="243"/>
      <c r="AP280" s="243"/>
      <c r="AQ280" s="243"/>
      <c r="AR280" s="243"/>
      <c r="AS280" s="243"/>
      <c r="AT280" s="243"/>
      <c r="AU280" s="257"/>
    </row>
    <row r="281" spans="1:47" ht="60" customHeight="1" x14ac:dyDescent="0.35">
      <c r="A281" s="253" t="s">
        <v>5366</v>
      </c>
      <c r="B281" s="231" t="s">
        <v>5367</v>
      </c>
      <c r="C281" s="232" t="s">
        <v>5379</v>
      </c>
      <c r="D281" s="235" t="s">
        <v>5380</v>
      </c>
      <c r="E281" s="236" t="s">
        <v>4815</v>
      </c>
      <c r="F281" s="239" t="s">
        <v>5370</v>
      </c>
      <c r="G281" s="242" t="str">
        <f>IF(COUNTIF(H281:AU281,"&lt;&gt;")=0,"",SUMPRODUCT(((Recommendations[ImplStatus]="Implemented")+(Recommendations[ImplStatus]="Compensated"))*ISNUMBER(MATCH(Recommendations[Id],H281:AU281,0)))/COUNTIF(H281:AU281,"&lt;&gt;"))</f>
        <v/>
      </c>
      <c r="H281" s="243"/>
      <c r="I281" s="243"/>
      <c r="J281" s="243"/>
      <c r="K281" s="243"/>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57"/>
    </row>
    <row r="282" spans="1:47" ht="60" customHeight="1" x14ac:dyDescent="0.35">
      <c r="A282" s="253" t="s">
        <v>5366</v>
      </c>
      <c r="B282" s="231" t="s">
        <v>5367</v>
      </c>
      <c r="C282" s="232" t="s">
        <v>5381</v>
      </c>
      <c r="D282" s="235" t="s">
        <v>5382</v>
      </c>
      <c r="E282" s="236" t="s">
        <v>4815</v>
      </c>
      <c r="F282" s="239" t="s">
        <v>5370</v>
      </c>
      <c r="G282" s="242" t="str">
        <f>IF(COUNTIF(H282:AU282,"&lt;&gt;")=0,"",SUMPRODUCT(((Recommendations[ImplStatus]="Implemented")+(Recommendations[ImplStatus]="Compensated"))*ISNUMBER(MATCH(Recommendations[Id],H282:AU282,0)))/COUNTIF(H282:AU282,"&lt;&gt;"))</f>
        <v/>
      </c>
      <c r="H282" s="243"/>
      <c r="I282" s="243"/>
      <c r="J282" s="243"/>
      <c r="K282" s="243"/>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57"/>
    </row>
    <row r="283" spans="1:47" ht="60" customHeight="1" x14ac:dyDescent="0.35">
      <c r="A283" s="253" t="s">
        <v>5366</v>
      </c>
      <c r="B283" s="231" t="s">
        <v>5367</v>
      </c>
      <c r="C283" s="232" t="s">
        <v>5383</v>
      </c>
      <c r="D283" s="235" t="s">
        <v>5384</v>
      </c>
      <c r="E283" s="236" t="s">
        <v>4911</v>
      </c>
      <c r="F283" s="239" t="s">
        <v>5385</v>
      </c>
      <c r="G283" s="242" t="str">
        <f>IF(COUNTIF(H283:AU283,"&lt;&gt;")=0,"",SUMPRODUCT(((Recommendations[ImplStatus]="Implemented")+(Recommendations[ImplStatus]="Compensated"))*ISNUMBER(MATCH(Recommendations[Id],H283:AU283,0)))/COUNTIF(H283:AU283,"&lt;&gt;"))</f>
        <v/>
      </c>
      <c r="H283" s="243"/>
      <c r="I283" s="243"/>
      <c r="J283" s="243"/>
      <c r="K283" s="243"/>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57"/>
    </row>
    <row r="284" spans="1:47" ht="60" customHeight="1" x14ac:dyDescent="0.35">
      <c r="A284" s="253" t="s">
        <v>5366</v>
      </c>
      <c r="B284" s="231" t="s">
        <v>5367</v>
      </c>
      <c r="C284" s="232" t="s">
        <v>5386</v>
      </c>
      <c r="D284" s="235" t="s">
        <v>5387</v>
      </c>
      <c r="E284" s="236" t="s">
        <v>4911</v>
      </c>
      <c r="F284" s="239" t="s">
        <v>5385</v>
      </c>
      <c r="G284" s="242" t="str">
        <f>IF(COUNTIF(H284:AU284,"&lt;&gt;")=0,"",SUMPRODUCT(((Recommendations[ImplStatus]="Implemented")+(Recommendations[ImplStatus]="Compensated"))*ISNUMBER(MATCH(Recommendations[Id],H284:AU284,0)))/COUNTIF(H284:AU284,"&lt;&gt;"))</f>
        <v/>
      </c>
      <c r="H284" s="243"/>
      <c r="I284" s="243"/>
      <c r="J284" s="243"/>
      <c r="K284" s="243"/>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57"/>
    </row>
    <row r="285" spans="1:47" ht="60" customHeight="1" x14ac:dyDescent="0.35">
      <c r="A285" s="253" t="s">
        <v>5366</v>
      </c>
      <c r="B285" s="231" t="s">
        <v>5367</v>
      </c>
      <c r="C285" s="232" t="s">
        <v>5388</v>
      </c>
      <c r="D285" s="235" t="s">
        <v>5389</v>
      </c>
      <c r="E285" s="236" t="s">
        <v>4815</v>
      </c>
      <c r="F285" s="239" t="s">
        <v>5385</v>
      </c>
      <c r="G285" s="242" t="str">
        <f>IF(COUNTIF(H285:AU285,"&lt;&gt;")=0,"",SUMPRODUCT(((Recommendations[ImplStatus]="Implemented")+(Recommendations[ImplStatus]="Compensated"))*ISNUMBER(MATCH(Recommendations[Id],H285:AU285,0)))/COUNTIF(H285:AU285,"&lt;&gt;"))</f>
        <v/>
      </c>
      <c r="H285" s="243"/>
      <c r="I285" s="243"/>
      <c r="J285" s="243"/>
      <c r="K285" s="243"/>
      <c r="L285" s="243"/>
      <c r="M285" s="243"/>
      <c r="N285" s="243"/>
      <c r="O285" s="243"/>
      <c r="P285" s="243"/>
      <c r="Q285" s="243"/>
      <c r="R285" s="243"/>
      <c r="S285" s="243"/>
      <c r="T285" s="243"/>
      <c r="U285" s="243"/>
      <c r="V285" s="243"/>
      <c r="W285" s="243"/>
      <c r="X285" s="243"/>
      <c r="Y285" s="243"/>
      <c r="Z285" s="243"/>
      <c r="AA285" s="243"/>
      <c r="AB285" s="243"/>
      <c r="AC285" s="243"/>
      <c r="AD285" s="243"/>
      <c r="AE285" s="243"/>
      <c r="AF285" s="243"/>
      <c r="AG285" s="243"/>
      <c r="AH285" s="243"/>
      <c r="AI285" s="243"/>
      <c r="AJ285" s="243"/>
      <c r="AK285" s="243"/>
      <c r="AL285" s="243"/>
      <c r="AM285" s="243"/>
      <c r="AN285" s="243"/>
      <c r="AO285" s="243"/>
      <c r="AP285" s="243"/>
      <c r="AQ285" s="243"/>
      <c r="AR285" s="243"/>
      <c r="AS285" s="243"/>
      <c r="AT285" s="243"/>
      <c r="AU285" s="257"/>
    </row>
    <row r="286" spans="1:47" ht="60" customHeight="1" x14ac:dyDescent="0.35">
      <c r="A286" s="253" t="s">
        <v>5366</v>
      </c>
      <c r="B286" s="231" t="s">
        <v>5367</v>
      </c>
      <c r="C286" s="232" t="s">
        <v>5390</v>
      </c>
      <c r="D286" s="235" t="s">
        <v>5391</v>
      </c>
      <c r="E286" s="236" t="s">
        <v>4844</v>
      </c>
      <c r="F286" s="239" t="s">
        <v>5385</v>
      </c>
      <c r="G286" s="242" t="str">
        <f>IF(COUNTIF(H286:AU286,"&lt;&gt;")=0,"",SUMPRODUCT(((Recommendations[ImplStatus]="Implemented")+(Recommendations[ImplStatus]="Compensated"))*ISNUMBER(MATCH(Recommendations[Id],H286:AU286,0)))/COUNTIF(H286:AU286,"&lt;&gt;"))</f>
        <v/>
      </c>
      <c r="H286" s="243"/>
      <c r="I286" s="243"/>
      <c r="J286" s="243"/>
      <c r="K286" s="243"/>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57"/>
    </row>
    <row r="287" spans="1:47" ht="60" customHeight="1" x14ac:dyDescent="0.35">
      <c r="A287" s="253" t="s">
        <v>5366</v>
      </c>
      <c r="B287" s="231" t="s">
        <v>5367</v>
      </c>
      <c r="C287" s="232" t="s">
        <v>5392</v>
      </c>
      <c r="D287" s="235" t="s">
        <v>5393</v>
      </c>
      <c r="E287" s="236" t="s">
        <v>4844</v>
      </c>
      <c r="F287" s="239" t="s">
        <v>5385</v>
      </c>
      <c r="G287" s="242" t="str">
        <f>IF(COUNTIF(H287:AU287,"&lt;&gt;")=0,"",SUMPRODUCT(((Recommendations[ImplStatus]="Implemented")+(Recommendations[ImplStatus]="Compensated"))*ISNUMBER(MATCH(Recommendations[Id],H287:AU287,0)))/COUNTIF(H287:AU287,"&lt;&gt;"))</f>
        <v/>
      </c>
      <c r="H287" s="243"/>
      <c r="I287" s="243"/>
      <c r="J287" s="243"/>
      <c r="K287" s="243"/>
      <c r="L287" s="243"/>
      <c r="M287" s="243"/>
      <c r="N287" s="243"/>
      <c r="O287" s="243"/>
      <c r="P287" s="243"/>
      <c r="Q287" s="243"/>
      <c r="R287" s="243"/>
      <c r="S287" s="243"/>
      <c r="T287" s="243"/>
      <c r="U287" s="243"/>
      <c r="V287" s="243"/>
      <c r="W287" s="243"/>
      <c r="X287" s="243"/>
      <c r="Y287" s="243"/>
      <c r="Z287" s="243"/>
      <c r="AA287" s="243"/>
      <c r="AB287" s="243"/>
      <c r="AC287" s="243"/>
      <c r="AD287" s="243"/>
      <c r="AE287" s="243"/>
      <c r="AF287" s="243"/>
      <c r="AG287" s="243"/>
      <c r="AH287" s="243"/>
      <c r="AI287" s="243"/>
      <c r="AJ287" s="243"/>
      <c r="AK287" s="243"/>
      <c r="AL287" s="243"/>
      <c r="AM287" s="243"/>
      <c r="AN287" s="243"/>
      <c r="AO287" s="243"/>
      <c r="AP287" s="243"/>
      <c r="AQ287" s="243"/>
      <c r="AR287" s="243"/>
      <c r="AS287" s="243"/>
      <c r="AT287" s="243"/>
      <c r="AU287" s="257"/>
    </row>
    <row r="288" spans="1:47" ht="60" customHeight="1" x14ac:dyDescent="0.35">
      <c r="A288" s="253" t="s">
        <v>5366</v>
      </c>
      <c r="B288" s="231" t="s">
        <v>5367</v>
      </c>
      <c r="C288" s="232" t="s">
        <v>5394</v>
      </c>
      <c r="D288" s="235" t="s">
        <v>5395</v>
      </c>
      <c r="E288" s="236" t="s">
        <v>4844</v>
      </c>
      <c r="F288" s="239" t="s">
        <v>5385</v>
      </c>
      <c r="G288" s="242" t="str">
        <f>IF(COUNTIF(H288:AU288,"&lt;&gt;")=0,"",SUMPRODUCT(((Recommendations[ImplStatus]="Implemented")+(Recommendations[ImplStatus]="Compensated"))*ISNUMBER(MATCH(Recommendations[Id],H288:AU288,0)))/COUNTIF(H288:AU288,"&lt;&gt;"))</f>
        <v/>
      </c>
      <c r="H288" s="243"/>
      <c r="I288" s="243"/>
      <c r="J288" s="243"/>
      <c r="K288" s="243"/>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57"/>
    </row>
    <row r="289" spans="1:47" ht="60" customHeight="1" x14ac:dyDescent="0.35">
      <c r="A289" s="253" t="s">
        <v>5366</v>
      </c>
      <c r="B289" s="231" t="s">
        <v>5367</v>
      </c>
      <c r="C289" s="232" t="s">
        <v>5396</v>
      </c>
      <c r="D289" s="235" t="s">
        <v>5397</v>
      </c>
      <c r="E289" s="236" t="s">
        <v>4844</v>
      </c>
      <c r="F289" s="239" t="s">
        <v>5385</v>
      </c>
      <c r="G289" s="242" t="str">
        <f>IF(COUNTIF(H289:AU289,"&lt;&gt;")=0,"",SUMPRODUCT(((Recommendations[ImplStatus]="Implemented")+(Recommendations[ImplStatus]="Compensated"))*ISNUMBER(MATCH(Recommendations[Id],H289:AU289,0)))/COUNTIF(H289:AU289,"&lt;&gt;"))</f>
        <v/>
      </c>
      <c r="H289" s="243"/>
      <c r="I289" s="243"/>
      <c r="J289" s="243"/>
      <c r="K289" s="243"/>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57"/>
    </row>
    <row r="290" spans="1:47" ht="60" customHeight="1" x14ac:dyDescent="0.35">
      <c r="A290" s="253" t="s">
        <v>5366</v>
      </c>
      <c r="B290" s="231" t="s">
        <v>5367</v>
      </c>
      <c r="C290" s="232" t="s">
        <v>5398</v>
      </c>
      <c r="D290" s="235" t="s">
        <v>5399</v>
      </c>
      <c r="E290" s="236" t="s">
        <v>4815</v>
      </c>
      <c r="F290" s="239" t="s">
        <v>5385</v>
      </c>
      <c r="G290" s="242" t="str">
        <f>IF(COUNTIF(H290:AU290,"&lt;&gt;")=0,"",SUMPRODUCT(((Recommendations[ImplStatus]="Implemented")+(Recommendations[ImplStatus]="Compensated"))*ISNUMBER(MATCH(Recommendations[Id],H290:AU290,0)))/COUNTIF(H290:AU290,"&lt;&gt;"))</f>
        <v/>
      </c>
      <c r="H290" s="243"/>
      <c r="I290" s="243"/>
      <c r="J290" s="243"/>
      <c r="K290" s="243"/>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57"/>
    </row>
    <row r="291" spans="1:47" ht="60" customHeight="1" x14ac:dyDescent="0.35">
      <c r="A291" s="253" t="s">
        <v>5366</v>
      </c>
      <c r="B291" s="231" t="s">
        <v>5367</v>
      </c>
      <c r="C291" s="232" t="s">
        <v>5400</v>
      </c>
      <c r="D291" s="235" t="s">
        <v>5401</v>
      </c>
      <c r="E291" s="236" t="s">
        <v>4844</v>
      </c>
      <c r="F291" s="239" t="s">
        <v>5402</v>
      </c>
      <c r="G291" s="242" t="str">
        <f>IF(COUNTIF(H291:AU291,"&lt;&gt;")=0,"",SUMPRODUCT(((Recommendations[ImplStatus]="Implemented")+(Recommendations[ImplStatus]="Compensated"))*ISNUMBER(MATCH(Recommendations[Id],H291:AU291,0)))/COUNTIF(H291:AU291,"&lt;&gt;"))</f>
        <v/>
      </c>
      <c r="H291" s="243"/>
      <c r="I291" s="243"/>
      <c r="J291" s="243"/>
      <c r="K291" s="243"/>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57"/>
    </row>
    <row r="292" spans="1:47" ht="60" customHeight="1" x14ac:dyDescent="0.35">
      <c r="A292" s="253" t="s">
        <v>5366</v>
      </c>
      <c r="B292" s="231" t="s">
        <v>5367</v>
      </c>
      <c r="C292" s="232" t="s">
        <v>5403</v>
      </c>
      <c r="D292" s="235" t="s">
        <v>5404</v>
      </c>
      <c r="E292" s="236" t="s">
        <v>4844</v>
      </c>
      <c r="F292" s="239" t="s">
        <v>5402</v>
      </c>
      <c r="G292" s="242" t="str">
        <f>IF(COUNTIF(H292:AU292,"&lt;&gt;")=0,"",SUMPRODUCT(((Recommendations[ImplStatus]="Implemented")+(Recommendations[ImplStatus]="Compensated"))*ISNUMBER(MATCH(Recommendations[Id],H292:AU292,0)))/COUNTIF(H292:AU292,"&lt;&gt;"))</f>
        <v/>
      </c>
      <c r="H292" s="243"/>
      <c r="I292" s="243"/>
      <c r="J292" s="243"/>
      <c r="K292" s="243"/>
      <c r="L292" s="243"/>
      <c r="M292" s="243"/>
      <c r="N292" s="243"/>
      <c r="O292" s="243"/>
      <c r="P292" s="243"/>
      <c r="Q292" s="243"/>
      <c r="R292" s="243"/>
      <c r="S292" s="243"/>
      <c r="T292" s="243"/>
      <c r="U292" s="243"/>
      <c r="V292" s="243"/>
      <c r="W292" s="243"/>
      <c r="X292" s="243"/>
      <c r="Y292" s="243"/>
      <c r="Z292" s="243"/>
      <c r="AA292" s="243"/>
      <c r="AB292" s="243"/>
      <c r="AC292" s="243"/>
      <c r="AD292" s="243"/>
      <c r="AE292" s="243"/>
      <c r="AF292" s="243"/>
      <c r="AG292" s="243"/>
      <c r="AH292" s="243"/>
      <c r="AI292" s="243"/>
      <c r="AJ292" s="243"/>
      <c r="AK292" s="243"/>
      <c r="AL292" s="243"/>
      <c r="AM292" s="243"/>
      <c r="AN292" s="243"/>
      <c r="AO292" s="243"/>
      <c r="AP292" s="243"/>
      <c r="AQ292" s="243"/>
      <c r="AR292" s="243"/>
      <c r="AS292" s="243"/>
      <c r="AT292" s="243"/>
      <c r="AU292" s="257"/>
    </row>
    <row r="293" spans="1:47" ht="60" customHeight="1" x14ac:dyDescent="0.35">
      <c r="A293" s="253" t="s">
        <v>5366</v>
      </c>
      <c r="B293" s="231" t="s">
        <v>5367</v>
      </c>
      <c r="C293" s="232" t="s">
        <v>5405</v>
      </c>
      <c r="D293" s="235" t="s">
        <v>5406</v>
      </c>
      <c r="E293" s="236" t="s">
        <v>5094</v>
      </c>
      <c r="F293" s="239" t="s">
        <v>5385</v>
      </c>
      <c r="G293" s="242" t="str">
        <f>IF(COUNTIF(H293:AU293,"&lt;&gt;")=0,"",SUMPRODUCT(((Recommendations[ImplStatus]="Implemented")+(Recommendations[ImplStatus]="Compensated"))*ISNUMBER(MATCH(Recommendations[Id],H293:AU293,0)))/COUNTIF(H293:AU293,"&lt;&gt;"))</f>
        <v/>
      </c>
      <c r="H293" s="243"/>
      <c r="I293" s="243"/>
      <c r="J293" s="243"/>
      <c r="K293" s="243"/>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57"/>
    </row>
    <row r="294" spans="1:47" ht="60" customHeight="1" x14ac:dyDescent="0.35">
      <c r="A294" s="253" t="s">
        <v>5366</v>
      </c>
      <c r="B294" s="231" t="s">
        <v>5367</v>
      </c>
      <c r="C294" s="232" t="s">
        <v>5407</v>
      </c>
      <c r="D294" s="235" t="s">
        <v>5408</v>
      </c>
      <c r="E294" s="236" t="s">
        <v>5094</v>
      </c>
      <c r="F294" s="239" t="s">
        <v>5385</v>
      </c>
      <c r="G294" s="242" t="str">
        <f>IF(COUNTIF(H294:AU294,"&lt;&gt;")=0,"",SUMPRODUCT(((Recommendations[ImplStatus]="Implemented")+(Recommendations[ImplStatus]="Compensated"))*ISNUMBER(MATCH(Recommendations[Id],H294:AU294,0)))/COUNTIF(H294:AU294,"&lt;&gt;"))</f>
        <v/>
      </c>
      <c r="H294" s="243"/>
      <c r="I294" s="243"/>
      <c r="J294" s="243"/>
      <c r="K294" s="243"/>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57"/>
    </row>
    <row r="295" spans="1:47" ht="60" customHeight="1" x14ac:dyDescent="0.35">
      <c r="A295" s="253" t="s">
        <v>5366</v>
      </c>
      <c r="B295" s="231" t="s">
        <v>5367</v>
      </c>
      <c r="C295" s="232" t="s">
        <v>5409</v>
      </c>
      <c r="D295" s="235" t="s">
        <v>5410</v>
      </c>
      <c r="E295" s="236" t="s">
        <v>4911</v>
      </c>
      <c r="F295" s="239" t="s">
        <v>5385</v>
      </c>
      <c r="G295" s="242" t="str">
        <f>IF(COUNTIF(H295:AU295,"&lt;&gt;")=0,"",SUMPRODUCT(((Recommendations[ImplStatus]="Implemented")+(Recommendations[ImplStatus]="Compensated"))*ISNUMBER(MATCH(Recommendations[Id],H295:AU295,0)))/COUNTIF(H295:AU295,"&lt;&gt;"))</f>
        <v/>
      </c>
      <c r="H295" s="243"/>
      <c r="I295" s="243"/>
      <c r="J295" s="243"/>
      <c r="K295" s="243"/>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57"/>
    </row>
    <row r="296" spans="1:47" ht="60" customHeight="1" x14ac:dyDescent="0.35">
      <c r="A296" s="253" t="s">
        <v>5366</v>
      </c>
      <c r="B296" s="231" t="s">
        <v>5367</v>
      </c>
      <c r="C296" s="232" t="s">
        <v>5411</v>
      </c>
      <c r="D296" s="235" t="s">
        <v>5412</v>
      </c>
      <c r="E296" s="236" t="s">
        <v>4911</v>
      </c>
      <c r="F296" s="239" t="s">
        <v>5385</v>
      </c>
      <c r="G296" s="242" t="str">
        <f>IF(COUNTIF(H296:AU296,"&lt;&gt;")=0,"",SUMPRODUCT(((Recommendations[ImplStatus]="Implemented")+(Recommendations[ImplStatus]="Compensated"))*ISNUMBER(MATCH(Recommendations[Id],H296:AU296,0)))/COUNTIF(H296:AU296,"&lt;&gt;"))</f>
        <v/>
      </c>
      <c r="H296" s="243"/>
      <c r="I296" s="243"/>
      <c r="J296" s="243"/>
      <c r="K296" s="243"/>
      <c r="L296" s="243"/>
      <c r="M296" s="243"/>
      <c r="N296" s="243"/>
      <c r="O296" s="243"/>
      <c r="P296" s="243"/>
      <c r="Q296" s="243"/>
      <c r="R296" s="243"/>
      <c r="S296" s="243"/>
      <c r="T296" s="243"/>
      <c r="U296" s="243"/>
      <c r="V296" s="243"/>
      <c r="W296" s="243"/>
      <c r="X296" s="243"/>
      <c r="Y296" s="243"/>
      <c r="Z296" s="243"/>
      <c r="AA296" s="243"/>
      <c r="AB296" s="243"/>
      <c r="AC296" s="243"/>
      <c r="AD296" s="243"/>
      <c r="AE296" s="243"/>
      <c r="AF296" s="243"/>
      <c r="AG296" s="243"/>
      <c r="AH296" s="243"/>
      <c r="AI296" s="243"/>
      <c r="AJ296" s="243"/>
      <c r="AK296" s="243"/>
      <c r="AL296" s="243"/>
      <c r="AM296" s="243"/>
      <c r="AN296" s="243"/>
      <c r="AO296" s="243"/>
      <c r="AP296" s="243"/>
      <c r="AQ296" s="243"/>
      <c r="AR296" s="243"/>
      <c r="AS296" s="243"/>
      <c r="AT296" s="243"/>
      <c r="AU296" s="257"/>
    </row>
    <row r="297" spans="1:47" ht="60" customHeight="1" x14ac:dyDescent="0.35">
      <c r="A297" s="253" t="s">
        <v>5366</v>
      </c>
      <c r="B297" s="231" t="s">
        <v>5367</v>
      </c>
      <c r="C297" s="232" t="s">
        <v>5413</v>
      </c>
      <c r="D297" s="235" t="s">
        <v>5414</v>
      </c>
      <c r="E297" s="236" t="s">
        <v>4815</v>
      </c>
      <c r="F297" s="239" t="s">
        <v>5385</v>
      </c>
      <c r="G297" s="242" t="str">
        <f>IF(COUNTIF(H297:AU297,"&lt;&gt;")=0,"",SUMPRODUCT(((Recommendations[ImplStatus]="Implemented")+(Recommendations[ImplStatus]="Compensated"))*ISNUMBER(MATCH(Recommendations[Id],H297:AU297,0)))/COUNTIF(H297:AU297,"&lt;&gt;"))</f>
        <v/>
      </c>
      <c r="H297" s="243"/>
      <c r="I297" s="243"/>
      <c r="J297" s="243"/>
      <c r="K297" s="243"/>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57"/>
    </row>
    <row r="298" spans="1:47" ht="60" customHeight="1" x14ac:dyDescent="0.35">
      <c r="A298" s="253" t="s">
        <v>5366</v>
      </c>
      <c r="B298" s="231" t="s">
        <v>5367</v>
      </c>
      <c r="C298" s="232" t="s">
        <v>5415</v>
      </c>
      <c r="D298" s="235" t="s">
        <v>5416</v>
      </c>
      <c r="E298" s="236" t="s">
        <v>4911</v>
      </c>
      <c r="F298" s="239" t="s">
        <v>5385</v>
      </c>
      <c r="G298" s="242" t="str">
        <f>IF(COUNTIF(H298:AU298,"&lt;&gt;")=0,"",SUMPRODUCT(((Recommendations[ImplStatus]="Implemented")+(Recommendations[ImplStatus]="Compensated"))*ISNUMBER(MATCH(Recommendations[Id],H298:AU298,0)))/COUNTIF(H298:AU298,"&lt;&gt;"))</f>
        <v/>
      </c>
      <c r="H298" s="243"/>
      <c r="I298" s="243"/>
      <c r="J298" s="243"/>
      <c r="K298" s="243"/>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57"/>
    </row>
    <row r="299" spans="1:47" ht="60" customHeight="1" x14ac:dyDescent="0.35">
      <c r="A299" s="253" t="s">
        <v>5366</v>
      </c>
      <c r="B299" s="231" t="s">
        <v>5367</v>
      </c>
      <c r="C299" s="232" t="s">
        <v>5417</v>
      </c>
      <c r="D299" s="235" t="s">
        <v>5418</v>
      </c>
      <c r="E299" s="236" t="s">
        <v>4844</v>
      </c>
      <c r="F299" s="239" t="s">
        <v>5385</v>
      </c>
      <c r="G299" s="242" t="str">
        <f>IF(COUNTIF(H299:AU299,"&lt;&gt;")=0,"",SUMPRODUCT(((Recommendations[ImplStatus]="Implemented")+(Recommendations[ImplStatus]="Compensated"))*ISNUMBER(MATCH(Recommendations[Id],H299:AU299,0)))/COUNTIF(H299:AU299,"&lt;&gt;"))</f>
        <v/>
      </c>
      <c r="H299" s="243"/>
      <c r="I299" s="243"/>
      <c r="J299" s="243"/>
      <c r="K299" s="243"/>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57"/>
    </row>
    <row r="300" spans="1:47" ht="60" customHeight="1" x14ac:dyDescent="0.35">
      <c r="A300" s="253" t="s">
        <v>5366</v>
      </c>
      <c r="B300" s="231" t="s">
        <v>5367</v>
      </c>
      <c r="C300" s="232" t="s">
        <v>5419</v>
      </c>
      <c r="D300" s="235" t="s">
        <v>5420</v>
      </c>
      <c r="E300" s="236" t="s">
        <v>4911</v>
      </c>
      <c r="F300" s="239" t="s">
        <v>5385</v>
      </c>
      <c r="G300" s="242" t="str">
        <f>IF(COUNTIF(H300:AU300,"&lt;&gt;")=0,"",SUMPRODUCT(((Recommendations[ImplStatus]="Implemented")+(Recommendations[ImplStatus]="Compensated"))*ISNUMBER(MATCH(Recommendations[Id],H300:AU300,0)))/COUNTIF(H300:AU300,"&lt;&gt;"))</f>
        <v/>
      </c>
      <c r="H300" s="243"/>
      <c r="I300" s="243"/>
      <c r="J300" s="243"/>
      <c r="K300" s="243"/>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57"/>
    </row>
    <row r="301" spans="1:47" ht="60" customHeight="1" x14ac:dyDescent="0.35">
      <c r="A301" s="253" t="s">
        <v>5366</v>
      </c>
      <c r="B301" s="231" t="s">
        <v>5367</v>
      </c>
      <c r="C301" s="232" t="s">
        <v>5421</v>
      </c>
      <c r="D301" s="235" t="s">
        <v>5422</v>
      </c>
      <c r="E301" s="236" t="s">
        <v>4959</v>
      </c>
      <c r="F301" s="239" t="s">
        <v>5385</v>
      </c>
      <c r="G301" s="242" t="str">
        <f>IF(COUNTIF(H301:AU301,"&lt;&gt;")=0,"",SUMPRODUCT(((Recommendations[ImplStatus]="Implemented")+(Recommendations[ImplStatus]="Compensated"))*ISNUMBER(MATCH(Recommendations[Id],H301:AU301,0)))/COUNTIF(H301:AU301,"&lt;&gt;"))</f>
        <v/>
      </c>
      <c r="H301" s="243"/>
      <c r="I301" s="243"/>
      <c r="J301" s="243"/>
      <c r="K301" s="243"/>
      <c r="L301" s="243"/>
      <c r="M301" s="243"/>
      <c r="N301" s="243"/>
      <c r="O301" s="243"/>
      <c r="P301" s="243"/>
      <c r="Q301" s="243"/>
      <c r="R301" s="243"/>
      <c r="S301" s="243"/>
      <c r="T301" s="243"/>
      <c r="U301" s="243"/>
      <c r="V301" s="243"/>
      <c r="W301" s="243"/>
      <c r="X301" s="243"/>
      <c r="Y301" s="243"/>
      <c r="Z301" s="243"/>
      <c r="AA301" s="243"/>
      <c r="AB301" s="243"/>
      <c r="AC301" s="243"/>
      <c r="AD301" s="243"/>
      <c r="AE301" s="243"/>
      <c r="AF301" s="243"/>
      <c r="AG301" s="243"/>
      <c r="AH301" s="243"/>
      <c r="AI301" s="243"/>
      <c r="AJ301" s="243"/>
      <c r="AK301" s="243"/>
      <c r="AL301" s="243"/>
      <c r="AM301" s="243"/>
      <c r="AN301" s="243"/>
      <c r="AO301" s="243"/>
      <c r="AP301" s="243"/>
      <c r="AQ301" s="243"/>
      <c r="AR301" s="243"/>
      <c r="AS301" s="243"/>
      <c r="AT301" s="243"/>
      <c r="AU301" s="257"/>
    </row>
    <row r="302" spans="1:47" ht="60" customHeight="1" x14ac:dyDescent="0.35">
      <c r="A302" s="253" t="s">
        <v>5366</v>
      </c>
      <c r="B302" s="231" t="s">
        <v>5367</v>
      </c>
      <c r="C302" s="232" t="s">
        <v>5423</v>
      </c>
      <c r="D302" s="235" t="s">
        <v>5424</v>
      </c>
      <c r="E302" s="236" t="s">
        <v>4959</v>
      </c>
      <c r="F302" s="239" t="s">
        <v>5385</v>
      </c>
      <c r="G302" s="242" t="str">
        <f>IF(COUNTIF(H302:AU302,"&lt;&gt;")=0,"",SUMPRODUCT(((Recommendations[ImplStatus]="Implemented")+(Recommendations[ImplStatus]="Compensated"))*ISNUMBER(MATCH(Recommendations[Id],H302:AU302,0)))/COUNTIF(H302:AU302,"&lt;&gt;"))</f>
        <v/>
      </c>
      <c r="H302" s="243"/>
      <c r="I302" s="243"/>
      <c r="J302" s="243"/>
      <c r="K302" s="243"/>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57"/>
    </row>
    <row r="303" spans="1:47" ht="60" customHeight="1" outlineLevel="2" x14ac:dyDescent="0.35">
      <c r="A303" s="252" t="s">
        <v>5366</v>
      </c>
      <c r="B303" s="230" t="s">
        <v>2860</v>
      </c>
      <c r="C303" s="230"/>
      <c r="D303" s="234"/>
      <c r="E303" s="230"/>
      <c r="F303" s="238"/>
      <c r="G303" s="241" t="str">
        <f>IF(COUNTIF(H303:AU303,"&lt;&gt;")=0,"",SUMPRODUCT(((Recommendations[ImplStatus]="Implemented")+(Recommendations[ImplStatus]="Compensated"))*ISNUMBER(MATCH(Recommendations[Id],H303:AU303,0)))/COUNTIF(H303:AU303,"&lt;&gt;"))</f>
        <v/>
      </c>
      <c r="H303" s="238"/>
      <c r="I303" s="238"/>
      <c r="J303" s="238"/>
      <c r="K303" s="238"/>
      <c r="L303" s="238"/>
      <c r="M303" s="238"/>
      <c r="N303" s="238"/>
      <c r="O303" s="238"/>
      <c r="P303" s="238"/>
      <c r="Q303" s="238"/>
      <c r="R303" s="238"/>
      <c r="S303" s="238"/>
      <c r="T303" s="238"/>
      <c r="U303" s="238"/>
      <c r="V303" s="238"/>
      <c r="W303" s="238"/>
      <c r="X303" s="238"/>
      <c r="Y303" s="238"/>
      <c r="Z303" s="238"/>
      <c r="AA303" s="238"/>
      <c r="AB303" s="238"/>
      <c r="AC303" s="238"/>
      <c r="AD303" s="238"/>
      <c r="AE303" s="238"/>
      <c r="AF303" s="238"/>
      <c r="AG303" s="238"/>
      <c r="AH303" s="238"/>
      <c r="AI303" s="238"/>
      <c r="AJ303" s="238"/>
      <c r="AK303" s="238"/>
      <c r="AL303" s="238"/>
      <c r="AM303" s="238"/>
      <c r="AN303" s="238"/>
      <c r="AO303" s="238"/>
      <c r="AP303" s="238"/>
      <c r="AQ303" s="238"/>
      <c r="AR303" s="238"/>
      <c r="AS303" s="238"/>
      <c r="AT303" s="238"/>
      <c r="AU303" s="256"/>
    </row>
    <row r="304" spans="1:47" ht="60" customHeight="1" x14ac:dyDescent="0.35">
      <c r="A304" s="253" t="s">
        <v>5366</v>
      </c>
      <c r="B304" s="231" t="s">
        <v>2860</v>
      </c>
      <c r="C304" s="232" t="s">
        <v>5425</v>
      </c>
      <c r="D304" s="235" t="s">
        <v>5426</v>
      </c>
      <c r="E304" s="236" t="s">
        <v>4815</v>
      </c>
      <c r="F304" s="239" t="s">
        <v>5427</v>
      </c>
      <c r="G304" s="242" t="str">
        <f>IF(COUNTIF(H304:AU304,"&lt;&gt;")=0,"",SUMPRODUCT(((Recommendations[ImplStatus]="Implemented")+(Recommendations[ImplStatus]="Compensated"))*ISNUMBER(MATCH(Recommendations[Id],H304:AU304,0)))/COUNTIF(H304:AU304,"&lt;&gt;"))</f>
        <v/>
      </c>
      <c r="H304" s="243"/>
      <c r="I304" s="243"/>
      <c r="J304" s="243"/>
      <c r="K304" s="243"/>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57"/>
    </row>
    <row r="305" spans="1:47" ht="60" customHeight="1" x14ac:dyDescent="0.35">
      <c r="A305" s="253" t="s">
        <v>5366</v>
      </c>
      <c r="B305" s="231" t="s">
        <v>2860</v>
      </c>
      <c r="C305" s="232" t="s">
        <v>5428</v>
      </c>
      <c r="D305" s="235" t="s">
        <v>5429</v>
      </c>
      <c r="E305" s="236" t="s">
        <v>4815</v>
      </c>
      <c r="F305" s="239" t="s">
        <v>5427</v>
      </c>
      <c r="G305" s="242" t="str">
        <f>IF(COUNTIF(H305:AU305,"&lt;&gt;")=0,"",SUMPRODUCT(((Recommendations[ImplStatus]="Implemented")+(Recommendations[ImplStatus]="Compensated"))*ISNUMBER(MATCH(Recommendations[Id],H305:AU305,0)))/COUNTIF(H305:AU305,"&lt;&gt;"))</f>
        <v/>
      </c>
      <c r="H305" s="243"/>
      <c r="I305" s="243"/>
      <c r="J305" s="243"/>
      <c r="K305" s="243"/>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57"/>
    </row>
    <row r="306" spans="1:47" ht="60" customHeight="1" x14ac:dyDescent="0.35">
      <c r="A306" s="253" t="s">
        <v>5366</v>
      </c>
      <c r="B306" s="231" t="s">
        <v>2860</v>
      </c>
      <c r="C306" s="232" t="s">
        <v>5430</v>
      </c>
      <c r="D306" s="235" t="s">
        <v>5431</v>
      </c>
      <c r="E306" s="236" t="s">
        <v>4815</v>
      </c>
      <c r="F306" s="239" t="s">
        <v>5427</v>
      </c>
      <c r="G306" s="242" t="str">
        <f>IF(COUNTIF(H306:AU306,"&lt;&gt;")=0,"",SUMPRODUCT(((Recommendations[ImplStatus]="Implemented")+(Recommendations[ImplStatus]="Compensated"))*ISNUMBER(MATCH(Recommendations[Id],H306:AU306,0)))/COUNTIF(H306:AU306,"&lt;&gt;"))</f>
        <v/>
      </c>
      <c r="H306" s="243"/>
      <c r="I306" s="243"/>
      <c r="J306" s="243"/>
      <c r="K306" s="243"/>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57"/>
    </row>
    <row r="307" spans="1:47" ht="60" customHeight="1" x14ac:dyDescent="0.35">
      <c r="A307" s="253" t="s">
        <v>5366</v>
      </c>
      <c r="B307" s="231" t="s">
        <v>2860</v>
      </c>
      <c r="C307" s="232" t="s">
        <v>5432</v>
      </c>
      <c r="D307" s="235" t="s">
        <v>5433</v>
      </c>
      <c r="E307" s="236" t="s">
        <v>4815</v>
      </c>
      <c r="F307" s="239" t="s">
        <v>5427</v>
      </c>
      <c r="G307" s="242" t="str">
        <f>IF(COUNTIF(H307:AU307,"&lt;&gt;")=0,"",SUMPRODUCT(((Recommendations[ImplStatus]="Implemented")+(Recommendations[ImplStatus]="Compensated"))*ISNUMBER(MATCH(Recommendations[Id],H307:AU307,0)))/COUNTIF(H307:AU307,"&lt;&gt;"))</f>
        <v/>
      </c>
      <c r="H307" s="243"/>
      <c r="I307" s="243"/>
      <c r="J307" s="243"/>
      <c r="K307" s="243"/>
      <c r="L307" s="243"/>
      <c r="M307" s="243"/>
      <c r="N307" s="243"/>
      <c r="O307" s="243"/>
      <c r="P307" s="243"/>
      <c r="Q307" s="243"/>
      <c r="R307" s="243"/>
      <c r="S307" s="243"/>
      <c r="T307" s="243"/>
      <c r="U307" s="243"/>
      <c r="V307" s="243"/>
      <c r="W307" s="243"/>
      <c r="X307" s="243"/>
      <c r="Y307" s="243"/>
      <c r="Z307" s="243"/>
      <c r="AA307" s="243"/>
      <c r="AB307" s="243"/>
      <c r="AC307" s="243"/>
      <c r="AD307" s="243"/>
      <c r="AE307" s="243"/>
      <c r="AF307" s="243"/>
      <c r="AG307" s="243"/>
      <c r="AH307" s="243"/>
      <c r="AI307" s="243"/>
      <c r="AJ307" s="243"/>
      <c r="AK307" s="243"/>
      <c r="AL307" s="243"/>
      <c r="AM307" s="243"/>
      <c r="AN307" s="243"/>
      <c r="AO307" s="243"/>
      <c r="AP307" s="243"/>
      <c r="AQ307" s="243"/>
      <c r="AR307" s="243"/>
      <c r="AS307" s="243"/>
      <c r="AT307" s="243"/>
      <c r="AU307" s="257"/>
    </row>
    <row r="308" spans="1:47" ht="60" customHeight="1" x14ac:dyDescent="0.35">
      <c r="A308" s="253" t="s">
        <v>5366</v>
      </c>
      <c r="B308" s="231" t="s">
        <v>2860</v>
      </c>
      <c r="C308" s="232" t="s">
        <v>5434</v>
      </c>
      <c r="D308" s="235" t="s">
        <v>5435</v>
      </c>
      <c r="E308" s="236" t="s">
        <v>4911</v>
      </c>
      <c r="F308" s="239" t="s">
        <v>5427</v>
      </c>
      <c r="G308" s="242">
        <f>IF(COUNTIF(H308:AU308,"&lt;&gt;")=0,"",SUMPRODUCT(((Recommendations[ImplStatus]="Implemented")+(Recommendations[ImplStatus]="Compensated"))*ISNUMBER(MATCH(Recommendations[Id],H308:AU308,0)))/COUNTIF(H308:AU308,"&lt;&gt;"))</f>
        <v>0</v>
      </c>
      <c r="H308" s="243" t="s">
        <v>15</v>
      </c>
      <c r="I308" s="243" t="s">
        <v>24</v>
      </c>
      <c r="J308" s="243" t="s">
        <v>28</v>
      </c>
      <c r="K308" s="243" t="s">
        <v>32</v>
      </c>
      <c r="L308" s="243" t="s">
        <v>170</v>
      </c>
      <c r="M308" s="243" t="s">
        <v>175</v>
      </c>
      <c r="N308" s="243" t="s">
        <v>180</v>
      </c>
      <c r="O308" s="243" t="s">
        <v>185</v>
      </c>
      <c r="P308" s="243" t="s">
        <v>190</v>
      </c>
      <c r="Q308" s="243" t="s">
        <v>195</v>
      </c>
      <c r="R308" s="243" t="s">
        <v>200</v>
      </c>
      <c r="S308" s="243" t="s">
        <v>205</v>
      </c>
      <c r="T308" s="243" t="s">
        <v>210</v>
      </c>
      <c r="U308" s="243" t="s">
        <v>233</v>
      </c>
      <c r="V308" s="243" t="s">
        <v>237</v>
      </c>
      <c r="W308" s="243" t="s">
        <v>245</v>
      </c>
      <c r="X308" s="243" t="s">
        <v>253</v>
      </c>
      <c r="Y308" s="243" t="s">
        <v>269</v>
      </c>
      <c r="Z308" s="243" t="s">
        <v>273</v>
      </c>
      <c r="AA308" s="243" t="s">
        <v>277</v>
      </c>
      <c r="AB308" s="243" t="s">
        <v>285</v>
      </c>
      <c r="AC308" s="243" t="s">
        <v>289</v>
      </c>
      <c r="AD308" s="243" t="s">
        <v>293</v>
      </c>
      <c r="AE308" s="243" t="s">
        <v>297</v>
      </c>
      <c r="AF308" s="243" t="s">
        <v>305</v>
      </c>
      <c r="AG308" s="243" t="s">
        <v>686</v>
      </c>
      <c r="AH308" s="243" t="s">
        <v>1676</v>
      </c>
      <c r="AI308" s="243" t="s">
        <v>1681</v>
      </c>
      <c r="AJ308" s="243"/>
      <c r="AK308" s="243"/>
      <c r="AL308" s="243"/>
      <c r="AM308" s="243"/>
      <c r="AN308" s="243"/>
      <c r="AO308" s="243"/>
      <c r="AP308" s="243"/>
      <c r="AQ308" s="243"/>
      <c r="AR308" s="243"/>
      <c r="AS308" s="243"/>
      <c r="AT308" s="243"/>
      <c r="AU308" s="257"/>
    </row>
    <row r="309" spans="1:47" ht="60" customHeight="1" x14ac:dyDescent="0.35">
      <c r="A309" s="253" t="s">
        <v>5366</v>
      </c>
      <c r="B309" s="231" t="s">
        <v>2860</v>
      </c>
      <c r="C309" s="232" t="s">
        <v>5436</v>
      </c>
      <c r="D309" s="235" t="s">
        <v>5437</v>
      </c>
      <c r="E309" s="236" t="s">
        <v>4911</v>
      </c>
      <c r="F309" s="239" t="s">
        <v>5427</v>
      </c>
      <c r="G309" s="242" t="str">
        <f>IF(COUNTIF(H309:AU309,"&lt;&gt;")=0,"",SUMPRODUCT(((Recommendations[ImplStatus]="Implemented")+(Recommendations[ImplStatus]="Compensated"))*ISNUMBER(MATCH(Recommendations[Id],H309:AU309,0)))/COUNTIF(H309:AU309,"&lt;&gt;"))</f>
        <v/>
      </c>
      <c r="H309" s="243"/>
      <c r="I309" s="243"/>
      <c r="J309" s="243"/>
      <c r="K309" s="243"/>
      <c r="L309" s="243"/>
      <c r="M309" s="243"/>
      <c r="N309" s="243"/>
      <c r="O309" s="243"/>
      <c r="P309" s="243"/>
      <c r="Q309" s="243"/>
      <c r="R309" s="243"/>
      <c r="S309" s="243"/>
      <c r="T309" s="243"/>
      <c r="U309" s="243"/>
      <c r="V309" s="243"/>
      <c r="W309" s="243"/>
      <c r="X309" s="243"/>
      <c r="Y309" s="243"/>
      <c r="Z309" s="243"/>
      <c r="AA309" s="243"/>
      <c r="AB309" s="243"/>
      <c r="AC309" s="243"/>
      <c r="AD309" s="243"/>
      <c r="AE309" s="243"/>
      <c r="AF309" s="243"/>
      <c r="AG309" s="243"/>
      <c r="AH309" s="243"/>
      <c r="AI309" s="243"/>
      <c r="AJ309" s="243"/>
      <c r="AK309" s="243"/>
      <c r="AL309" s="243"/>
      <c r="AM309" s="243"/>
      <c r="AN309" s="243"/>
      <c r="AO309" s="243"/>
      <c r="AP309" s="243"/>
      <c r="AQ309" s="243"/>
      <c r="AR309" s="243"/>
      <c r="AS309" s="243"/>
      <c r="AT309" s="243"/>
      <c r="AU309" s="257"/>
    </row>
    <row r="310" spans="1:47" ht="60" customHeight="1" x14ac:dyDescent="0.35">
      <c r="A310" s="253" t="s">
        <v>5366</v>
      </c>
      <c r="B310" s="231" t="s">
        <v>2860</v>
      </c>
      <c r="C310" s="232" t="s">
        <v>5438</v>
      </c>
      <c r="D310" s="235" t="s">
        <v>5439</v>
      </c>
      <c r="E310" s="236" t="s">
        <v>4911</v>
      </c>
      <c r="F310" s="239" t="s">
        <v>5427</v>
      </c>
      <c r="G310" s="242" t="str">
        <f>IF(COUNTIF(H310:AU310,"&lt;&gt;")=0,"",SUMPRODUCT(((Recommendations[ImplStatus]="Implemented")+(Recommendations[ImplStatus]="Compensated"))*ISNUMBER(MATCH(Recommendations[Id],H310:AU310,0)))/COUNTIF(H310:AU310,"&lt;&gt;"))</f>
        <v/>
      </c>
      <c r="H310" s="243"/>
      <c r="I310" s="243"/>
      <c r="J310" s="243"/>
      <c r="K310" s="243"/>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57"/>
    </row>
    <row r="311" spans="1:47" ht="60" customHeight="1" x14ac:dyDescent="0.35">
      <c r="A311" s="253" t="s">
        <v>5366</v>
      </c>
      <c r="B311" s="231" t="s">
        <v>2860</v>
      </c>
      <c r="C311" s="232" t="s">
        <v>5440</v>
      </c>
      <c r="D311" s="235" t="s">
        <v>5441</v>
      </c>
      <c r="E311" s="236" t="s">
        <v>4911</v>
      </c>
      <c r="F311" s="239" t="s">
        <v>5427</v>
      </c>
      <c r="G311" s="242" t="str">
        <f>IF(COUNTIF(H311:AU311,"&lt;&gt;")=0,"",SUMPRODUCT(((Recommendations[ImplStatus]="Implemented")+(Recommendations[ImplStatus]="Compensated"))*ISNUMBER(MATCH(Recommendations[Id],H311:AU311,0)))/COUNTIF(H311:AU311,"&lt;&gt;"))</f>
        <v/>
      </c>
      <c r="H311" s="243"/>
      <c r="I311" s="243"/>
      <c r="J311" s="243"/>
      <c r="K311" s="243"/>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57"/>
    </row>
    <row r="312" spans="1:47" ht="60" customHeight="1" x14ac:dyDescent="0.35">
      <c r="A312" s="253" t="s">
        <v>5366</v>
      </c>
      <c r="B312" s="231" t="s">
        <v>2860</v>
      </c>
      <c r="C312" s="232" t="s">
        <v>5442</v>
      </c>
      <c r="D312" s="235" t="s">
        <v>5443</v>
      </c>
      <c r="E312" s="236" t="s">
        <v>4911</v>
      </c>
      <c r="F312" s="239" t="s">
        <v>5427</v>
      </c>
      <c r="G312" s="242">
        <f>IF(COUNTIF(H312:AU312,"&lt;&gt;")=0,"",SUMPRODUCT(((Recommendations[ImplStatus]="Implemented")+(Recommendations[ImplStatus]="Compensated"))*ISNUMBER(MATCH(Recommendations[Id],H312:AU312,0)))/COUNTIF(H312:AU312,"&lt;&gt;"))</f>
        <v>0</v>
      </c>
      <c r="H312" s="243" t="s">
        <v>754</v>
      </c>
      <c r="I312" s="243"/>
      <c r="J312" s="243"/>
      <c r="K312" s="243"/>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57"/>
    </row>
    <row r="313" spans="1:47" ht="60" customHeight="1" x14ac:dyDescent="0.35">
      <c r="A313" s="253" t="s">
        <v>5366</v>
      </c>
      <c r="B313" s="231" t="s">
        <v>2860</v>
      </c>
      <c r="C313" s="232" t="s">
        <v>5444</v>
      </c>
      <c r="D313" s="235" t="s">
        <v>5445</v>
      </c>
      <c r="E313" s="236" t="s">
        <v>4844</v>
      </c>
      <c r="F313" s="239" t="s">
        <v>5427</v>
      </c>
      <c r="G313" s="242" t="str">
        <f>IF(COUNTIF(H313:AU313,"&lt;&gt;")=0,"",SUMPRODUCT(((Recommendations[ImplStatus]="Implemented")+(Recommendations[ImplStatus]="Compensated"))*ISNUMBER(MATCH(Recommendations[Id],H313:AU313,0)))/COUNTIF(H313:AU313,"&lt;&gt;"))</f>
        <v/>
      </c>
      <c r="H313" s="243"/>
      <c r="I313" s="243"/>
      <c r="J313" s="243"/>
      <c r="K313" s="243"/>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57"/>
    </row>
    <row r="314" spans="1:47" ht="60" customHeight="1" x14ac:dyDescent="0.35">
      <c r="A314" s="253" t="s">
        <v>5366</v>
      </c>
      <c r="B314" s="231" t="s">
        <v>2860</v>
      </c>
      <c r="C314" s="232" t="s">
        <v>5446</v>
      </c>
      <c r="D314" s="235" t="s">
        <v>5447</v>
      </c>
      <c r="E314" s="236" t="s">
        <v>4844</v>
      </c>
      <c r="F314" s="239" t="s">
        <v>5427</v>
      </c>
      <c r="G314" s="242" t="str">
        <f>IF(COUNTIF(H314:AU314,"&lt;&gt;")=0,"",SUMPRODUCT(((Recommendations[ImplStatus]="Implemented")+(Recommendations[ImplStatus]="Compensated"))*ISNUMBER(MATCH(Recommendations[Id],H314:AU314,0)))/COUNTIF(H314:AU314,"&lt;&gt;"))</f>
        <v/>
      </c>
      <c r="H314" s="243"/>
      <c r="I314" s="243"/>
      <c r="J314" s="243"/>
      <c r="K314" s="243"/>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57"/>
    </row>
    <row r="315" spans="1:47" ht="60" customHeight="1" x14ac:dyDescent="0.35">
      <c r="A315" s="253" t="s">
        <v>5366</v>
      </c>
      <c r="B315" s="231" t="s">
        <v>2860</v>
      </c>
      <c r="C315" s="232" t="s">
        <v>5448</v>
      </c>
      <c r="D315" s="235" t="s">
        <v>5449</v>
      </c>
      <c r="E315" s="236" t="s">
        <v>4844</v>
      </c>
      <c r="F315" s="239" t="s">
        <v>5427</v>
      </c>
      <c r="G315" s="242">
        <f>IF(COUNTIF(H315:AU315,"&lt;&gt;")=0,"",SUMPRODUCT(((Recommendations[ImplStatus]="Implemented")+(Recommendations[ImplStatus]="Compensated"))*ISNUMBER(MATCH(Recommendations[Id],H315:AU315,0)))/COUNTIF(H315:AU315,"&lt;&gt;"))</f>
        <v>0</v>
      </c>
      <c r="H315" s="243" t="s">
        <v>754</v>
      </c>
      <c r="I315" s="243" t="s">
        <v>760</v>
      </c>
      <c r="J315" s="243" t="s">
        <v>765</v>
      </c>
      <c r="K315" s="243"/>
      <c r="L315" s="243"/>
      <c r="M315" s="243"/>
      <c r="N315" s="243"/>
      <c r="O315" s="243"/>
      <c r="P315" s="243"/>
      <c r="Q315" s="243"/>
      <c r="R315" s="243"/>
      <c r="S315" s="243"/>
      <c r="T315" s="243"/>
      <c r="U315" s="243"/>
      <c r="V315" s="243"/>
      <c r="W315" s="243"/>
      <c r="X315" s="243"/>
      <c r="Y315" s="243"/>
      <c r="Z315" s="243"/>
      <c r="AA315" s="243"/>
      <c r="AB315" s="243"/>
      <c r="AC315" s="243"/>
      <c r="AD315" s="243"/>
      <c r="AE315" s="243"/>
      <c r="AF315" s="243"/>
      <c r="AG315" s="243"/>
      <c r="AH315" s="243"/>
      <c r="AI315" s="243"/>
      <c r="AJ315" s="243"/>
      <c r="AK315" s="243"/>
      <c r="AL315" s="243"/>
      <c r="AM315" s="243"/>
      <c r="AN315" s="243"/>
      <c r="AO315" s="243"/>
      <c r="AP315" s="243"/>
      <c r="AQ315" s="243"/>
      <c r="AR315" s="243"/>
      <c r="AS315" s="243"/>
      <c r="AT315" s="243"/>
      <c r="AU315" s="257"/>
    </row>
    <row r="316" spans="1:47" ht="60" customHeight="1" x14ac:dyDescent="0.35">
      <c r="A316" s="253" t="s">
        <v>5366</v>
      </c>
      <c r="B316" s="231" t="s">
        <v>2860</v>
      </c>
      <c r="C316" s="232" t="s">
        <v>5450</v>
      </c>
      <c r="D316" s="235" t="s">
        <v>5451</v>
      </c>
      <c r="E316" s="236" t="s">
        <v>4844</v>
      </c>
      <c r="F316" s="239" t="s">
        <v>5427</v>
      </c>
      <c r="G316" s="242" t="str">
        <f>IF(COUNTIF(H316:AU316,"&lt;&gt;")=0,"",SUMPRODUCT(((Recommendations[ImplStatus]="Implemented")+(Recommendations[ImplStatus]="Compensated"))*ISNUMBER(MATCH(Recommendations[Id],H316:AU316,0)))/COUNTIF(H316:AU316,"&lt;&gt;"))</f>
        <v/>
      </c>
      <c r="H316" s="243"/>
      <c r="I316" s="243"/>
      <c r="J316" s="243"/>
      <c r="K316" s="243"/>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57"/>
    </row>
    <row r="317" spans="1:47" ht="60" customHeight="1" x14ac:dyDescent="0.35">
      <c r="A317" s="253" t="s">
        <v>5366</v>
      </c>
      <c r="B317" s="231" t="s">
        <v>2860</v>
      </c>
      <c r="C317" s="232" t="s">
        <v>5452</v>
      </c>
      <c r="D317" s="235" t="s">
        <v>5453</v>
      </c>
      <c r="E317" s="236" t="s">
        <v>4911</v>
      </c>
      <c r="F317" s="239" t="s">
        <v>5385</v>
      </c>
      <c r="G317" s="242" t="str">
        <f>IF(COUNTIF(H317:AU317,"&lt;&gt;")=0,"",SUMPRODUCT(((Recommendations[ImplStatus]="Implemented")+(Recommendations[ImplStatus]="Compensated"))*ISNUMBER(MATCH(Recommendations[Id],H317:AU317,0)))/COUNTIF(H317:AU317,"&lt;&gt;"))</f>
        <v/>
      </c>
      <c r="H317" s="243"/>
      <c r="I317" s="243"/>
      <c r="J317" s="243"/>
      <c r="K317" s="243"/>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57"/>
    </row>
    <row r="318" spans="1:47" ht="60" customHeight="1" x14ac:dyDescent="0.35">
      <c r="A318" s="253" t="s">
        <v>5366</v>
      </c>
      <c r="B318" s="231" t="s">
        <v>2860</v>
      </c>
      <c r="C318" s="232" t="s">
        <v>5454</v>
      </c>
      <c r="D318" s="235" t="s">
        <v>5455</v>
      </c>
      <c r="E318" s="236" t="s">
        <v>4959</v>
      </c>
      <c r="F318" s="239" t="s">
        <v>5385</v>
      </c>
      <c r="G318" s="242" t="str">
        <f>IF(COUNTIF(H318:AU318,"&lt;&gt;")=0,"",SUMPRODUCT(((Recommendations[ImplStatus]="Implemented")+(Recommendations[ImplStatus]="Compensated"))*ISNUMBER(MATCH(Recommendations[Id],H318:AU318,0)))/COUNTIF(H318:AU318,"&lt;&gt;"))</f>
        <v/>
      </c>
      <c r="H318" s="243"/>
      <c r="I318" s="243"/>
      <c r="J318" s="243"/>
      <c r="K318" s="243"/>
      <c r="L318" s="243"/>
      <c r="M318" s="243"/>
      <c r="N318" s="243"/>
      <c r="O318" s="243"/>
      <c r="P318" s="243"/>
      <c r="Q318" s="243"/>
      <c r="R318" s="243"/>
      <c r="S318" s="243"/>
      <c r="T318" s="243"/>
      <c r="U318" s="243"/>
      <c r="V318" s="243"/>
      <c r="W318" s="243"/>
      <c r="X318" s="243"/>
      <c r="Y318" s="243"/>
      <c r="Z318" s="243"/>
      <c r="AA318" s="243"/>
      <c r="AB318" s="243"/>
      <c r="AC318" s="243"/>
      <c r="AD318" s="243"/>
      <c r="AE318" s="243"/>
      <c r="AF318" s="243"/>
      <c r="AG318" s="243"/>
      <c r="AH318" s="243"/>
      <c r="AI318" s="243"/>
      <c r="AJ318" s="243"/>
      <c r="AK318" s="243"/>
      <c r="AL318" s="243"/>
      <c r="AM318" s="243"/>
      <c r="AN318" s="243"/>
      <c r="AO318" s="243"/>
      <c r="AP318" s="243"/>
      <c r="AQ318" s="243"/>
      <c r="AR318" s="243"/>
      <c r="AS318" s="243"/>
      <c r="AT318" s="243"/>
      <c r="AU318" s="257"/>
    </row>
    <row r="319" spans="1:47" ht="60" customHeight="1" x14ac:dyDescent="0.35">
      <c r="A319" s="253" t="s">
        <v>5366</v>
      </c>
      <c r="B319" s="231" t="s">
        <v>2860</v>
      </c>
      <c r="C319" s="232" t="s">
        <v>5456</v>
      </c>
      <c r="D319" s="235" t="s">
        <v>5457</v>
      </c>
      <c r="E319" s="236" t="s">
        <v>4959</v>
      </c>
      <c r="F319" s="239" t="s">
        <v>5385</v>
      </c>
      <c r="G319" s="242">
        <f>IF(COUNTIF(H319:AU319,"&lt;&gt;")=0,"",SUMPRODUCT(((Recommendations[ImplStatus]="Implemented")+(Recommendations[ImplStatus]="Compensated"))*ISNUMBER(MATCH(Recommendations[Id],H319:AU319,0)))/COUNTIF(H319:AU319,"&lt;&gt;"))</f>
        <v>0</v>
      </c>
      <c r="H319" s="243" t="s">
        <v>310</v>
      </c>
      <c r="I319" s="243"/>
      <c r="J319" s="243"/>
      <c r="K319" s="243"/>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57"/>
    </row>
    <row r="320" spans="1:47" ht="60" customHeight="1" outlineLevel="2" x14ac:dyDescent="0.35">
      <c r="A320" s="252" t="s">
        <v>5366</v>
      </c>
      <c r="B320" s="230" t="s">
        <v>5458</v>
      </c>
      <c r="C320" s="230"/>
      <c r="D320" s="234"/>
      <c r="E320" s="230"/>
      <c r="F320" s="238"/>
      <c r="G320" s="241" t="str">
        <f>IF(COUNTIF(H320:AU320,"&lt;&gt;")=0,"",SUMPRODUCT(((Recommendations[ImplStatus]="Implemented")+(Recommendations[ImplStatus]="Compensated"))*ISNUMBER(MATCH(Recommendations[Id],H320:AU320,0)))/COUNTIF(H320:AU320,"&lt;&gt;"))</f>
        <v/>
      </c>
      <c r="H320" s="238"/>
      <c r="I320" s="238"/>
      <c r="J320" s="238"/>
      <c r="K320" s="238"/>
      <c r="L320" s="238"/>
      <c r="M320" s="238"/>
      <c r="N320" s="238"/>
      <c r="O320" s="238"/>
      <c r="P320" s="238"/>
      <c r="Q320" s="238"/>
      <c r="R320" s="238"/>
      <c r="S320" s="238"/>
      <c r="T320" s="238"/>
      <c r="U320" s="238"/>
      <c r="V320" s="238"/>
      <c r="W320" s="238"/>
      <c r="X320" s="238"/>
      <c r="Y320" s="238"/>
      <c r="Z320" s="238"/>
      <c r="AA320" s="238"/>
      <c r="AB320" s="238"/>
      <c r="AC320" s="238"/>
      <c r="AD320" s="238"/>
      <c r="AE320" s="238"/>
      <c r="AF320" s="238"/>
      <c r="AG320" s="238"/>
      <c r="AH320" s="238"/>
      <c r="AI320" s="238"/>
      <c r="AJ320" s="238"/>
      <c r="AK320" s="238"/>
      <c r="AL320" s="238"/>
      <c r="AM320" s="238"/>
      <c r="AN320" s="238"/>
      <c r="AO320" s="238"/>
      <c r="AP320" s="238"/>
      <c r="AQ320" s="238"/>
      <c r="AR320" s="238"/>
      <c r="AS320" s="238"/>
      <c r="AT320" s="238"/>
      <c r="AU320" s="256"/>
    </row>
    <row r="321" spans="1:47" ht="60" customHeight="1" x14ac:dyDescent="0.35">
      <c r="A321" s="253" t="s">
        <v>5366</v>
      </c>
      <c r="B321" s="231" t="s">
        <v>5458</v>
      </c>
      <c r="C321" s="232" t="s">
        <v>5459</v>
      </c>
      <c r="D321" s="235" t="s">
        <v>5460</v>
      </c>
      <c r="E321" s="236" t="s">
        <v>4844</v>
      </c>
      <c r="F321" s="239" t="s">
        <v>5461</v>
      </c>
      <c r="G321" s="242" t="str">
        <f>IF(COUNTIF(H321:AU321,"&lt;&gt;")=0,"",SUMPRODUCT(((Recommendations[ImplStatus]="Implemented")+(Recommendations[ImplStatus]="Compensated"))*ISNUMBER(MATCH(Recommendations[Id],H321:AU321,0)))/COUNTIF(H321:AU321,"&lt;&gt;"))</f>
        <v/>
      </c>
      <c r="H321" s="243"/>
      <c r="I321" s="243"/>
      <c r="J321" s="243"/>
      <c r="K321" s="243"/>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57"/>
    </row>
    <row r="322" spans="1:47" ht="60" customHeight="1" x14ac:dyDescent="0.35">
      <c r="A322" s="253" t="s">
        <v>5366</v>
      </c>
      <c r="B322" s="231" t="s">
        <v>5458</v>
      </c>
      <c r="C322" s="232" t="s">
        <v>5462</v>
      </c>
      <c r="D322" s="235" t="s">
        <v>5463</v>
      </c>
      <c r="E322" s="236" t="s">
        <v>4844</v>
      </c>
      <c r="F322" s="239" t="s">
        <v>5461</v>
      </c>
      <c r="G322" s="242" t="str">
        <f>IF(COUNTIF(H322:AU322,"&lt;&gt;")=0,"",SUMPRODUCT(((Recommendations[ImplStatus]="Implemented")+(Recommendations[ImplStatus]="Compensated"))*ISNUMBER(MATCH(Recommendations[Id],H322:AU322,0)))/COUNTIF(H322:AU322,"&lt;&gt;"))</f>
        <v/>
      </c>
      <c r="H322" s="243"/>
      <c r="I322" s="243"/>
      <c r="J322" s="243"/>
      <c r="K322" s="243"/>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57"/>
    </row>
    <row r="323" spans="1:47" ht="60" customHeight="1" x14ac:dyDescent="0.35">
      <c r="A323" s="253" t="s">
        <v>5366</v>
      </c>
      <c r="B323" s="231" t="s">
        <v>5458</v>
      </c>
      <c r="C323" s="232" t="s">
        <v>5464</v>
      </c>
      <c r="D323" s="235" t="s">
        <v>5465</v>
      </c>
      <c r="E323" s="236" t="s">
        <v>4844</v>
      </c>
      <c r="F323" s="239" t="s">
        <v>5461</v>
      </c>
      <c r="G323" s="242" t="str">
        <f>IF(COUNTIF(H323:AU323,"&lt;&gt;")=0,"",SUMPRODUCT(((Recommendations[ImplStatus]="Implemented")+(Recommendations[ImplStatus]="Compensated"))*ISNUMBER(MATCH(Recommendations[Id],H323:AU323,0)))/COUNTIF(H323:AU323,"&lt;&gt;"))</f>
        <v/>
      </c>
      <c r="H323" s="243"/>
      <c r="I323" s="243"/>
      <c r="J323" s="243"/>
      <c r="K323" s="243"/>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57"/>
    </row>
    <row r="324" spans="1:47" ht="60" customHeight="1" x14ac:dyDescent="0.35">
      <c r="A324" s="253" t="s">
        <v>5366</v>
      </c>
      <c r="B324" s="231" t="s">
        <v>5458</v>
      </c>
      <c r="C324" s="232" t="s">
        <v>5466</v>
      </c>
      <c r="D324" s="235" t="s">
        <v>5467</v>
      </c>
      <c r="E324" s="236" t="s">
        <v>4844</v>
      </c>
      <c r="F324" s="239" t="s">
        <v>5461</v>
      </c>
      <c r="G324" s="242" t="str">
        <f>IF(COUNTIF(H324:AU324,"&lt;&gt;")=0,"",SUMPRODUCT(((Recommendations[ImplStatus]="Implemented")+(Recommendations[ImplStatus]="Compensated"))*ISNUMBER(MATCH(Recommendations[Id],H324:AU324,0)))/COUNTIF(H324:AU324,"&lt;&gt;"))</f>
        <v/>
      </c>
      <c r="H324" s="243"/>
      <c r="I324" s="243"/>
      <c r="J324" s="243"/>
      <c r="K324" s="243"/>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57"/>
    </row>
    <row r="325" spans="1:47" ht="60" customHeight="1" x14ac:dyDescent="0.35">
      <c r="A325" s="253" t="s">
        <v>5366</v>
      </c>
      <c r="B325" s="231" t="s">
        <v>5458</v>
      </c>
      <c r="C325" s="232" t="s">
        <v>5468</v>
      </c>
      <c r="D325" s="235" t="s">
        <v>5469</v>
      </c>
      <c r="E325" s="236" t="s">
        <v>4844</v>
      </c>
      <c r="F325" s="239" t="s">
        <v>5461</v>
      </c>
      <c r="G325" s="242" t="str">
        <f>IF(COUNTIF(H325:AU325,"&lt;&gt;")=0,"",SUMPRODUCT(((Recommendations[ImplStatus]="Implemented")+(Recommendations[ImplStatus]="Compensated"))*ISNUMBER(MATCH(Recommendations[Id],H325:AU325,0)))/COUNTIF(H325:AU325,"&lt;&gt;"))</f>
        <v/>
      </c>
      <c r="H325" s="243"/>
      <c r="I325" s="243"/>
      <c r="J325" s="243"/>
      <c r="K325" s="243"/>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57"/>
    </row>
    <row r="326" spans="1:47" ht="60" customHeight="1" x14ac:dyDescent="0.35">
      <c r="A326" s="253" t="s">
        <v>5366</v>
      </c>
      <c r="B326" s="231" t="s">
        <v>5458</v>
      </c>
      <c r="C326" s="232" t="s">
        <v>5470</v>
      </c>
      <c r="D326" s="235" t="s">
        <v>5471</v>
      </c>
      <c r="E326" s="236" t="s">
        <v>4844</v>
      </c>
      <c r="F326" s="239" t="s">
        <v>5461</v>
      </c>
      <c r="G326" s="242" t="str">
        <f>IF(COUNTIF(H326:AU326,"&lt;&gt;")=0,"",SUMPRODUCT(((Recommendations[ImplStatus]="Implemented")+(Recommendations[ImplStatus]="Compensated"))*ISNUMBER(MATCH(Recommendations[Id],H326:AU326,0)))/COUNTIF(H326:AU326,"&lt;&gt;"))</f>
        <v/>
      </c>
      <c r="H326" s="243"/>
      <c r="I326" s="243"/>
      <c r="J326" s="243"/>
      <c r="K326" s="243"/>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57"/>
    </row>
    <row r="327" spans="1:47" ht="60" customHeight="1" x14ac:dyDescent="0.35">
      <c r="A327" s="253" t="s">
        <v>5366</v>
      </c>
      <c r="B327" s="231" t="s">
        <v>5458</v>
      </c>
      <c r="C327" s="232" t="s">
        <v>5472</v>
      </c>
      <c r="D327" s="235" t="s">
        <v>5473</v>
      </c>
      <c r="E327" s="236" t="s">
        <v>4844</v>
      </c>
      <c r="F327" s="239" t="s">
        <v>5461</v>
      </c>
      <c r="G327" s="242" t="str">
        <f>IF(COUNTIF(H327:AU327,"&lt;&gt;")=0,"",SUMPRODUCT(((Recommendations[ImplStatus]="Implemented")+(Recommendations[ImplStatus]="Compensated"))*ISNUMBER(MATCH(Recommendations[Id],H327:AU327,0)))/COUNTIF(H327:AU327,"&lt;&gt;"))</f>
        <v/>
      </c>
      <c r="H327" s="243"/>
      <c r="I327" s="243"/>
      <c r="J327" s="243"/>
      <c r="K327" s="243"/>
      <c r="L327" s="243"/>
      <c r="M327" s="243"/>
      <c r="N327" s="243"/>
      <c r="O327" s="243"/>
      <c r="P327" s="243"/>
      <c r="Q327" s="243"/>
      <c r="R327" s="243"/>
      <c r="S327" s="243"/>
      <c r="T327" s="243"/>
      <c r="U327" s="243"/>
      <c r="V327" s="243"/>
      <c r="W327" s="243"/>
      <c r="X327" s="243"/>
      <c r="Y327" s="243"/>
      <c r="Z327" s="243"/>
      <c r="AA327" s="243"/>
      <c r="AB327" s="243"/>
      <c r="AC327" s="243"/>
      <c r="AD327" s="243"/>
      <c r="AE327" s="243"/>
      <c r="AF327" s="243"/>
      <c r="AG327" s="243"/>
      <c r="AH327" s="243"/>
      <c r="AI327" s="243"/>
      <c r="AJ327" s="243"/>
      <c r="AK327" s="243"/>
      <c r="AL327" s="243"/>
      <c r="AM327" s="243"/>
      <c r="AN327" s="243"/>
      <c r="AO327" s="243"/>
      <c r="AP327" s="243"/>
      <c r="AQ327" s="243"/>
      <c r="AR327" s="243"/>
      <c r="AS327" s="243"/>
      <c r="AT327" s="243"/>
      <c r="AU327" s="257"/>
    </row>
    <row r="328" spans="1:47" ht="60" customHeight="1" x14ac:dyDescent="0.35">
      <c r="A328" s="253" t="s">
        <v>5366</v>
      </c>
      <c r="B328" s="231" t="s">
        <v>5458</v>
      </c>
      <c r="C328" s="232" t="s">
        <v>5474</v>
      </c>
      <c r="D328" s="235" t="s">
        <v>5475</v>
      </c>
      <c r="E328" s="236" t="s">
        <v>4844</v>
      </c>
      <c r="F328" s="239" t="s">
        <v>5461</v>
      </c>
      <c r="G328" s="242" t="str">
        <f>IF(COUNTIF(H328:AU328,"&lt;&gt;")=0,"",SUMPRODUCT(((Recommendations[ImplStatus]="Implemented")+(Recommendations[ImplStatus]="Compensated"))*ISNUMBER(MATCH(Recommendations[Id],H328:AU328,0)))/COUNTIF(H328:AU328,"&lt;&gt;"))</f>
        <v/>
      </c>
      <c r="H328" s="243"/>
      <c r="I328" s="243"/>
      <c r="J328" s="243"/>
      <c r="K328" s="243"/>
      <c r="L328" s="243"/>
      <c r="M328" s="243"/>
      <c r="N328" s="243"/>
      <c r="O328" s="243"/>
      <c r="P328" s="243"/>
      <c r="Q328" s="243"/>
      <c r="R328" s="243"/>
      <c r="S328" s="243"/>
      <c r="T328" s="243"/>
      <c r="U328" s="243"/>
      <c r="V328" s="243"/>
      <c r="W328" s="243"/>
      <c r="X328" s="243"/>
      <c r="Y328" s="243"/>
      <c r="Z328" s="243"/>
      <c r="AA328" s="243"/>
      <c r="AB328" s="243"/>
      <c r="AC328" s="243"/>
      <c r="AD328" s="243"/>
      <c r="AE328" s="243"/>
      <c r="AF328" s="243"/>
      <c r="AG328" s="243"/>
      <c r="AH328" s="243"/>
      <c r="AI328" s="243"/>
      <c r="AJ328" s="243"/>
      <c r="AK328" s="243"/>
      <c r="AL328" s="243"/>
      <c r="AM328" s="243"/>
      <c r="AN328" s="243"/>
      <c r="AO328" s="243"/>
      <c r="AP328" s="243"/>
      <c r="AQ328" s="243"/>
      <c r="AR328" s="243"/>
      <c r="AS328" s="243"/>
      <c r="AT328" s="243"/>
      <c r="AU328" s="257"/>
    </row>
    <row r="329" spans="1:47" ht="60" customHeight="1" x14ac:dyDescent="0.35">
      <c r="A329" s="253" t="s">
        <v>5366</v>
      </c>
      <c r="B329" s="231" t="s">
        <v>5458</v>
      </c>
      <c r="C329" s="232" t="s">
        <v>5476</v>
      </c>
      <c r="D329" s="235" t="s">
        <v>5477</v>
      </c>
      <c r="E329" s="236" t="s">
        <v>4844</v>
      </c>
      <c r="F329" s="239" t="s">
        <v>5461</v>
      </c>
      <c r="G329" s="242" t="str">
        <f>IF(COUNTIF(H329:AU329,"&lt;&gt;")=0,"",SUMPRODUCT(((Recommendations[ImplStatus]="Implemented")+(Recommendations[ImplStatus]="Compensated"))*ISNUMBER(MATCH(Recommendations[Id],H329:AU329,0)))/COUNTIF(H329:AU329,"&lt;&gt;"))</f>
        <v/>
      </c>
      <c r="H329" s="243"/>
      <c r="I329" s="243"/>
      <c r="J329" s="243"/>
      <c r="K329" s="243"/>
      <c r="L329" s="243"/>
      <c r="M329" s="243"/>
      <c r="N329" s="243"/>
      <c r="O329" s="243"/>
      <c r="P329" s="243"/>
      <c r="Q329" s="243"/>
      <c r="R329" s="243"/>
      <c r="S329" s="243"/>
      <c r="T329" s="243"/>
      <c r="U329" s="243"/>
      <c r="V329" s="243"/>
      <c r="W329" s="243"/>
      <c r="X329" s="243"/>
      <c r="Y329" s="243"/>
      <c r="Z329" s="243"/>
      <c r="AA329" s="243"/>
      <c r="AB329" s="243"/>
      <c r="AC329" s="243"/>
      <c r="AD329" s="243"/>
      <c r="AE329" s="243"/>
      <c r="AF329" s="243"/>
      <c r="AG329" s="243"/>
      <c r="AH329" s="243"/>
      <c r="AI329" s="243"/>
      <c r="AJ329" s="243"/>
      <c r="AK329" s="243"/>
      <c r="AL329" s="243"/>
      <c r="AM329" s="243"/>
      <c r="AN329" s="243"/>
      <c r="AO329" s="243"/>
      <c r="AP329" s="243"/>
      <c r="AQ329" s="243"/>
      <c r="AR329" s="243"/>
      <c r="AS329" s="243"/>
      <c r="AT329" s="243"/>
      <c r="AU329" s="257"/>
    </row>
    <row r="330" spans="1:47" ht="60" customHeight="1" x14ac:dyDescent="0.35">
      <c r="A330" s="253" t="s">
        <v>5366</v>
      </c>
      <c r="B330" s="231" t="s">
        <v>5458</v>
      </c>
      <c r="C330" s="232" t="s">
        <v>5478</v>
      </c>
      <c r="D330" s="235" t="s">
        <v>5479</v>
      </c>
      <c r="E330" s="236" t="s">
        <v>4844</v>
      </c>
      <c r="F330" s="239" t="s">
        <v>5461</v>
      </c>
      <c r="G330" s="242" t="str">
        <f>IF(COUNTIF(H330:AU330,"&lt;&gt;")=0,"",SUMPRODUCT(((Recommendations[ImplStatus]="Implemented")+(Recommendations[ImplStatus]="Compensated"))*ISNUMBER(MATCH(Recommendations[Id],H330:AU330,0)))/COUNTIF(H330:AU330,"&lt;&gt;"))</f>
        <v/>
      </c>
      <c r="H330" s="243"/>
      <c r="I330" s="243"/>
      <c r="J330" s="243"/>
      <c r="K330" s="243"/>
      <c r="L330" s="243"/>
      <c r="M330" s="243"/>
      <c r="N330" s="243"/>
      <c r="O330" s="243"/>
      <c r="P330" s="243"/>
      <c r="Q330" s="243"/>
      <c r="R330" s="243"/>
      <c r="S330" s="243"/>
      <c r="T330" s="243"/>
      <c r="U330" s="243"/>
      <c r="V330" s="243"/>
      <c r="W330" s="243"/>
      <c r="X330" s="243"/>
      <c r="Y330" s="243"/>
      <c r="Z330" s="243"/>
      <c r="AA330" s="243"/>
      <c r="AB330" s="243"/>
      <c r="AC330" s="243"/>
      <c r="AD330" s="243"/>
      <c r="AE330" s="243"/>
      <c r="AF330" s="243"/>
      <c r="AG330" s="243"/>
      <c r="AH330" s="243"/>
      <c r="AI330" s="243"/>
      <c r="AJ330" s="243"/>
      <c r="AK330" s="243"/>
      <c r="AL330" s="243"/>
      <c r="AM330" s="243"/>
      <c r="AN330" s="243"/>
      <c r="AO330" s="243"/>
      <c r="AP330" s="243"/>
      <c r="AQ330" s="243"/>
      <c r="AR330" s="243"/>
      <c r="AS330" s="243"/>
      <c r="AT330" s="243"/>
      <c r="AU330" s="257"/>
    </row>
    <row r="331" spans="1:47" ht="60" customHeight="1" x14ac:dyDescent="0.35">
      <c r="A331" s="253" t="s">
        <v>5366</v>
      </c>
      <c r="B331" s="231" t="s">
        <v>5458</v>
      </c>
      <c r="C331" s="232" t="s">
        <v>5480</v>
      </c>
      <c r="D331" s="235" t="s">
        <v>5481</v>
      </c>
      <c r="E331" s="236" t="s">
        <v>4844</v>
      </c>
      <c r="F331" s="239" t="s">
        <v>5461</v>
      </c>
      <c r="G331" s="242" t="str">
        <f>IF(COUNTIF(H331:AU331,"&lt;&gt;")=0,"",SUMPRODUCT(((Recommendations[ImplStatus]="Implemented")+(Recommendations[ImplStatus]="Compensated"))*ISNUMBER(MATCH(Recommendations[Id],H331:AU331,0)))/COUNTIF(H331:AU331,"&lt;&gt;"))</f>
        <v/>
      </c>
      <c r="H331" s="243"/>
      <c r="I331" s="243"/>
      <c r="J331" s="243"/>
      <c r="K331" s="243"/>
      <c r="L331" s="243"/>
      <c r="M331" s="243"/>
      <c r="N331" s="243"/>
      <c r="O331" s="243"/>
      <c r="P331" s="243"/>
      <c r="Q331" s="243"/>
      <c r="R331" s="243"/>
      <c r="S331" s="243"/>
      <c r="T331" s="243"/>
      <c r="U331" s="243"/>
      <c r="V331" s="243"/>
      <c r="W331" s="243"/>
      <c r="X331" s="243"/>
      <c r="Y331" s="243"/>
      <c r="Z331" s="243"/>
      <c r="AA331" s="243"/>
      <c r="AB331" s="243"/>
      <c r="AC331" s="243"/>
      <c r="AD331" s="243"/>
      <c r="AE331" s="243"/>
      <c r="AF331" s="243"/>
      <c r="AG331" s="243"/>
      <c r="AH331" s="243"/>
      <c r="AI331" s="243"/>
      <c r="AJ331" s="243"/>
      <c r="AK331" s="243"/>
      <c r="AL331" s="243"/>
      <c r="AM331" s="243"/>
      <c r="AN331" s="243"/>
      <c r="AO331" s="243"/>
      <c r="AP331" s="243"/>
      <c r="AQ331" s="243"/>
      <c r="AR331" s="243"/>
      <c r="AS331" s="243"/>
      <c r="AT331" s="243"/>
      <c r="AU331" s="257"/>
    </row>
    <row r="332" spans="1:47" ht="60" customHeight="1" x14ac:dyDescent="0.35">
      <c r="A332" s="253" t="s">
        <v>5366</v>
      </c>
      <c r="B332" s="231" t="s">
        <v>5458</v>
      </c>
      <c r="C332" s="232" t="s">
        <v>5482</v>
      </c>
      <c r="D332" s="235" t="s">
        <v>5483</v>
      </c>
      <c r="E332" s="236" t="s">
        <v>4844</v>
      </c>
      <c r="F332" s="239" t="s">
        <v>5461</v>
      </c>
      <c r="G332" s="242" t="str">
        <f>IF(COUNTIF(H332:AU332,"&lt;&gt;")=0,"",SUMPRODUCT(((Recommendations[ImplStatus]="Implemented")+(Recommendations[ImplStatus]="Compensated"))*ISNUMBER(MATCH(Recommendations[Id],H332:AU332,0)))/COUNTIF(H332:AU332,"&lt;&gt;"))</f>
        <v/>
      </c>
      <c r="H332" s="243"/>
      <c r="I332" s="243"/>
      <c r="J332" s="243"/>
      <c r="K332" s="243"/>
      <c r="L332" s="243"/>
      <c r="M332" s="243"/>
      <c r="N332" s="243"/>
      <c r="O332" s="243"/>
      <c r="P332" s="243"/>
      <c r="Q332" s="243"/>
      <c r="R332" s="243"/>
      <c r="S332" s="243"/>
      <c r="T332" s="243"/>
      <c r="U332" s="243"/>
      <c r="V332" s="243"/>
      <c r="W332" s="243"/>
      <c r="X332" s="243"/>
      <c r="Y332" s="243"/>
      <c r="Z332" s="243"/>
      <c r="AA332" s="243"/>
      <c r="AB332" s="243"/>
      <c r="AC332" s="243"/>
      <c r="AD332" s="243"/>
      <c r="AE332" s="243"/>
      <c r="AF332" s="243"/>
      <c r="AG332" s="243"/>
      <c r="AH332" s="243"/>
      <c r="AI332" s="243"/>
      <c r="AJ332" s="243"/>
      <c r="AK332" s="243"/>
      <c r="AL332" s="243"/>
      <c r="AM332" s="243"/>
      <c r="AN332" s="243"/>
      <c r="AO332" s="243"/>
      <c r="AP332" s="243"/>
      <c r="AQ332" s="243"/>
      <c r="AR332" s="243"/>
      <c r="AS332" s="243"/>
      <c r="AT332" s="243"/>
      <c r="AU332" s="257"/>
    </row>
    <row r="333" spans="1:47" ht="60" customHeight="1" x14ac:dyDescent="0.35">
      <c r="A333" s="253" t="s">
        <v>5366</v>
      </c>
      <c r="B333" s="231" t="s">
        <v>5458</v>
      </c>
      <c r="C333" s="232" t="s">
        <v>5484</v>
      </c>
      <c r="D333" s="235" t="s">
        <v>5485</v>
      </c>
      <c r="E333" s="236" t="s">
        <v>4844</v>
      </c>
      <c r="F333" s="239" t="s">
        <v>5461</v>
      </c>
      <c r="G333" s="242" t="str">
        <f>IF(COUNTIF(H333:AU333,"&lt;&gt;")=0,"",SUMPRODUCT(((Recommendations[ImplStatus]="Implemented")+(Recommendations[ImplStatus]="Compensated"))*ISNUMBER(MATCH(Recommendations[Id],H333:AU333,0)))/COUNTIF(H333:AU333,"&lt;&gt;"))</f>
        <v/>
      </c>
      <c r="H333" s="243"/>
      <c r="I333" s="243"/>
      <c r="J333" s="243"/>
      <c r="K333" s="243"/>
      <c r="L333" s="243"/>
      <c r="M333" s="243"/>
      <c r="N333" s="243"/>
      <c r="O333" s="243"/>
      <c r="P333" s="243"/>
      <c r="Q333" s="243"/>
      <c r="R333" s="243"/>
      <c r="S333" s="243"/>
      <c r="T333" s="243"/>
      <c r="U333" s="243"/>
      <c r="V333" s="243"/>
      <c r="W333" s="243"/>
      <c r="X333" s="243"/>
      <c r="Y333" s="243"/>
      <c r="Z333" s="243"/>
      <c r="AA333" s="243"/>
      <c r="AB333" s="243"/>
      <c r="AC333" s="243"/>
      <c r="AD333" s="243"/>
      <c r="AE333" s="243"/>
      <c r="AF333" s="243"/>
      <c r="AG333" s="243"/>
      <c r="AH333" s="243"/>
      <c r="AI333" s="243"/>
      <c r="AJ333" s="243"/>
      <c r="AK333" s="243"/>
      <c r="AL333" s="243"/>
      <c r="AM333" s="243"/>
      <c r="AN333" s="243"/>
      <c r="AO333" s="243"/>
      <c r="AP333" s="243"/>
      <c r="AQ333" s="243"/>
      <c r="AR333" s="243"/>
      <c r="AS333" s="243"/>
      <c r="AT333" s="243"/>
      <c r="AU333" s="257"/>
    </row>
    <row r="334" spans="1:47" ht="60" customHeight="1" x14ac:dyDescent="0.35">
      <c r="A334" s="253" t="s">
        <v>5366</v>
      </c>
      <c r="B334" s="231" t="s">
        <v>5458</v>
      </c>
      <c r="C334" s="232" t="s">
        <v>5486</v>
      </c>
      <c r="D334" s="235" t="s">
        <v>5487</v>
      </c>
      <c r="E334" s="236" t="s">
        <v>4844</v>
      </c>
      <c r="F334" s="239" t="s">
        <v>5461</v>
      </c>
      <c r="G334" s="242" t="str">
        <f>IF(COUNTIF(H334:AU334,"&lt;&gt;")=0,"",SUMPRODUCT(((Recommendations[ImplStatus]="Implemented")+(Recommendations[ImplStatus]="Compensated"))*ISNUMBER(MATCH(Recommendations[Id],H334:AU334,0)))/COUNTIF(H334:AU334,"&lt;&gt;"))</f>
        <v/>
      </c>
      <c r="H334" s="243"/>
      <c r="I334" s="243"/>
      <c r="J334" s="243"/>
      <c r="K334" s="243"/>
      <c r="L334" s="243"/>
      <c r="M334" s="243"/>
      <c r="N334" s="243"/>
      <c r="O334" s="243"/>
      <c r="P334" s="243"/>
      <c r="Q334" s="243"/>
      <c r="R334" s="243"/>
      <c r="S334" s="243"/>
      <c r="T334" s="243"/>
      <c r="U334" s="243"/>
      <c r="V334" s="243"/>
      <c r="W334" s="243"/>
      <c r="X334" s="243"/>
      <c r="Y334" s="243"/>
      <c r="Z334" s="243"/>
      <c r="AA334" s="243"/>
      <c r="AB334" s="243"/>
      <c r="AC334" s="243"/>
      <c r="AD334" s="243"/>
      <c r="AE334" s="243"/>
      <c r="AF334" s="243"/>
      <c r="AG334" s="243"/>
      <c r="AH334" s="243"/>
      <c r="AI334" s="243"/>
      <c r="AJ334" s="243"/>
      <c r="AK334" s="243"/>
      <c r="AL334" s="243"/>
      <c r="AM334" s="243"/>
      <c r="AN334" s="243"/>
      <c r="AO334" s="243"/>
      <c r="AP334" s="243"/>
      <c r="AQ334" s="243"/>
      <c r="AR334" s="243"/>
      <c r="AS334" s="243"/>
      <c r="AT334" s="243"/>
      <c r="AU334" s="257"/>
    </row>
    <row r="335" spans="1:47" ht="60" customHeight="1" x14ac:dyDescent="0.35">
      <c r="A335" s="253" t="s">
        <v>5366</v>
      </c>
      <c r="B335" s="231" t="s">
        <v>5458</v>
      </c>
      <c r="C335" s="232" t="s">
        <v>5488</v>
      </c>
      <c r="D335" s="235" t="s">
        <v>5489</v>
      </c>
      <c r="E335" s="236" t="s">
        <v>4844</v>
      </c>
      <c r="F335" s="239" t="s">
        <v>5461</v>
      </c>
      <c r="G335" s="242" t="str">
        <f>IF(COUNTIF(H335:AU335,"&lt;&gt;")=0,"",SUMPRODUCT(((Recommendations[ImplStatus]="Implemented")+(Recommendations[ImplStatus]="Compensated"))*ISNUMBER(MATCH(Recommendations[Id],H335:AU335,0)))/COUNTIF(H335:AU335,"&lt;&gt;"))</f>
        <v/>
      </c>
      <c r="H335" s="243"/>
      <c r="I335" s="243"/>
      <c r="J335" s="243"/>
      <c r="K335" s="243"/>
      <c r="L335" s="243"/>
      <c r="M335" s="243"/>
      <c r="N335" s="243"/>
      <c r="O335" s="243"/>
      <c r="P335" s="243"/>
      <c r="Q335" s="243"/>
      <c r="R335" s="243"/>
      <c r="S335" s="243"/>
      <c r="T335" s="243"/>
      <c r="U335" s="243"/>
      <c r="V335" s="243"/>
      <c r="W335" s="243"/>
      <c r="X335" s="243"/>
      <c r="Y335" s="243"/>
      <c r="Z335" s="243"/>
      <c r="AA335" s="243"/>
      <c r="AB335" s="243"/>
      <c r="AC335" s="243"/>
      <c r="AD335" s="243"/>
      <c r="AE335" s="243"/>
      <c r="AF335" s="243"/>
      <c r="AG335" s="243"/>
      <c r="AH335" s="243"/>
      <c r="AI335" s="243"/>
      <c r="AJ335" s="243"/>
      <c r="AK335" s="243"/>
      <c r="AL335" s="243"/>
      <c r="AM335" s="243"/>
      <c r="AN335" s="243"/>
      <c r="AO335" s="243"/>
      <c r="AP335" s="243"/>
      <c r="AQ335" s="243"/>
      <c r="AR335" s="243"/>
      <c r="AS335" s="243"/>
      <c r="AT335" s="243"/>
      <c r="AU335" s="257"/>
    </row>
    <row r="336" spans="1:47" ht="60" customHeight="1" x14ac:dyDescent="0.35">
      <c r="A336" s="253" t="s">
        <v>5366</v>
      </c>
      <c r="B336" s="231" t="s">
        <v>5458</v>
      </c>
      <c r="C336" s="232" t="s">
        <v>5490</v>
      </c>
      <c r="D336" s="235" t="s">
        <v>5491</v>
      </c>
      <c r="E336" s="236" t="s">
        <v>4959</v>
      </c>
      <c r="F336" s="239" t="s">
        <v>5461</v>
      </c>
      <c r="G336" s="242" t="str">
        <f>IF(COUNTIF(H336:AU336,"&lt;&gt;")=0,"",SUMPRODUCT(((Recommendations[ImplStatus]="Implemented")+(Recommendations[ImplStatus]="Compensated"))*ISNUMBER(MATCH(Recommendations[Id],H336:AU336,0)))/COUNTIF(H336:AU336,"&lt;&gt;"))</f>
        <v/>
      </c>
      <c r="H336" s="243"/>
      <c r="I336" s="243"/>
      <c r="J336" s="243"/>
      <c r="K336" s="243"/>
      <c r="L336" s="243"/>
      <c r="M336" s="243"/>
      <c r="N336" s="243"/>
      <c r="O336" s="243"/>
      <c r="P336" s="243"/>
      <c r="Q336" s="243"/>
      <c r="R336" s="243"/>
      <c r="S336" s="243"/>
      <c r="T336" s="243"/>
      <c r="U336" s="243"/>
      <c r="V336" s="243"/>
      <c r="W336" s="243"/>
      <c r="X336" s="243"/>
      <c r="Y336" s="243"/>
      <c r="Z336" s="243"/>
      <c r="AA336" s="243"/>
      <c r="AB336" s="243"/>
      <c r="AC336" s="243"/>
      <c r="AD336" s="243"/>
      <c r="AE336" s="243"/>
      <c r="AF336" s="243"/>
      <c r="AG336" s="243"/>
      <c r="AH336" s="243"/>
      <c r="AI336" s="243"/>
      <c r="AJ336" s="243"/>
      <c r="AK336" s="243"/>
      <c r="AL336" s="243"/>
      <c r="AM336" s="243"/>
      <c r="AN336" s="243"/>
      <c r="AO336" s="243"/>
      <c r="AP336" s="243"/>
      <c r="AQ336" s="243"/>
      <c r="AR336" s="243"/>
      <c r="AS336" s="243"/>
      <c r="AT336" s="243"/>
      <c r="AU336" s="257"/>
    </row>
    <row r="337" spans="1:47" ht="60" customHeight="1" x14ac:dyDescent="0.35">
      <c r="A337" s="253" t="s">
        <v>5366</v>
      </c>
      <c r="B337" s="231" t="s">
        <v>5458</v>
      </c>
      <c r="C337" s="232" t="s">
        <v>5492</v>
      </c>
      <c r="D337" s="235" t="s">
        <v>5493</v>
      </c>
      <c r="E337" s="236" t="s">
        <v>4959</v>
      </c>
      <c r="F337" s="239" t="s">
        <v>5461</v>
      </c>
      <c r="G337" s="242" t="str">
        <f>IF(COUNTIF(H337:AU337,"&lt;&gt;")=0,"",SUMPRODUCT(((Recommendations[ImplStatus]="Implemented")+(Recommendations[ImplStatus]="Compensated"))*ISNUMBER(MATCH(Recommendations[Id],H337:AU337,0)))/COUNTIF(H337:AU337,"&lt;&gt;"))</f>
        <v/>
      </c>
      <c r="H337" s="243"/>
      <c r="I337" s="243"/>
      <c r="J337" s="243"/>
      <c r="K337" s="243"/>
      <c r="L337" s="243"/>
      <c r="M337" s="243"/>
      <c r="N337" s="243"/>
      <c r="O337" s="243"/>
      <c r="P337" s="243"/>
      <c r="Q337" s="243"/>
      <c r="R337" s="243"/>
      <c r="S337" s="243"/>
      <c r="T337" s="243"/>
      <c r="U337" s="243"/>
      <c r="V337" s="243"/>
      <c r="W337" s="243"/>
      <c r="X337" s="243"/>
      <c r="Y337" s="243"/>
      <c r="Z337" s="243"/>
      <c r="AA337" s="243"/>
      <c r="AB337" s="243"/>
      <c r="AC337" s="243"/>
      <c r="AD337" s="243"/>
      <c r="AE337" s="243"/>
      <c r="AF337" s="243"/>
      <c r="AG337" s="243"/>
      <c r="AH337" s="243"/>
      <c r="AI337" s="243"/>
      <c r="AJ337" s="243"/>
      <c r="AK337" s="243"/>
      <c r="AL337" s="243"/>
      <c r="AM337" s="243"/>
      <c r="AN337" s="243"/>
      <c r="AO337" s="243"/>
      <c r="AP337" s="243"/>
      <c r="AQ337" s="243"/>
      <c r="AR337" s="243"/>
      <c r="AS337" s="243"/>
      <c r="AT337" s="243"/>
      <c r="AU337" s="257"/>
    </row>
    <row r="338" spans="1:47" ht="60" customHeight="1" x14ac:dyDescent="0.35">
      <c r="A338" s="253" t="s">
        <v>5366</v>
      </c>
      <c r="B338" s="231" t="s">
        <v>5458</v>
      </c>
      <c r="C338" s="232" t="s">
        <v>5494</v>
      </c>
      <c r="D338" s="235" t="s">
        <v>5495</v>
      </c>
      <c r="E338" s="236" t="s">
        <v>4844</v>
      </c>
      <c r="F338" s="239" t="s">
        <v>5461</v>
      </c>
      <c r="G338" s="242" t="str">
        <f>IF(COUNTIF(H338:AU338,"&lt;&gt;")=0,"",SUMPRODUCT(((Recommendations[ImplStatus]="Implemented")+(Recommendations[ImplStatus]="Compensated"))*ISNUMBER(MATCH(Recommendations[Id],H338:AU338,0)))/COUNTIF(H338:AU338,"&lt;&gt;"))</f>
        <v/>
      </c>
      <c r="H338" s="243"/>
      <c r="I338" s="243"/>
      <c r="J338" s="243"/>
      <c r="K338" s="243"/>
      <c r="L338" s="243"/>
      <c r="M338" s="243"/>
      <c r="N338" s="243"/>
      <c r="O338" s="243"/>
      <c r="P338" s="243"/>
      <c r="Q338" s="243"/>
      <c r="R338" s="243"/>
      <c r="S338" s="243"/>
      <c r="T338" s="243"/>
      <c r="U338" s="243"/>
      <c r="V338" s="243"/>
      <c r="W338" s="243"/>
      <c r="X338" s="243"/>
      <c r="Y338" s="243"/>
      <c r="Z338" s="243"/>
      <c r="AA338" s="243"/>
      <c r="AB338" s="243"/>
      <c r="AC338" s="243"/>
      <c r="AD338" s="243"/>
      <c r="AE338" s="243"/>
      <c r="AF338" s="243"/>
      <c r="AG338" s="243"/>
      <c r="AH338" s="243"/>
      <c r="AI338" s="243"/>
      <c r="AJ338" s="243"/>
      <c r="AK338" s="243"/>
      <c r="AL338" s="243"/>
      <c r="AM338" s="243"/>
      <c r="AN338" s="243"/>
      <c r="AO338" s="243"/>
      <c r="AP338" s="243"/>
      <c r="AQ338" s="243"/>
      <c r="AR338" s="243"/>
      <c r="AS338" s="243"/>
      <c r="AT338" s="243"/>
      <c r="AU338" s="257"/>
    </row>
    <row r="339" spans="1:47" ht="60" customHeight="1" x14ac:dyDescent="0.35">
      <c r="A339" s="253" t="s">
        <v>5366</v>
      </c>
      <c r="B339" s="231" t="s">
        <v>5458</v>
      </c>
      <c r="C339" s="232" t="s">
        <v>5496</v>
      </c>
      <c r="D339" s="235" t="s">
        <v>5497</v>
      </c>
      <c r="E339" s="236" t="s">
        <v>4844</v>
      </c>
      <c r="F339" s="239" t="s">
        <v>5461</v>
      </c>
      <c r="G339" s="242" t="str">
        <f>IF(COUNTIF(H339:AU339,"&lt;&gt;")=0,"",SUMPRODUCT(((Recommendations[ImplStatus]="Implemented")+(Recommendations[ImplStatus]="Compensated"))*ISNUMBER(MATCH(Recommendations[Id],H339:AU339,0)))/COUNTIF(H339:AU339,"&lt;&gt;"))</f>
        <v/>
      </c>
      <c r="H339" s="243"/>
      <c r="I339" s="243"/>
      <c r="J339" s="243"/>
      <c r="K339" s="243"/>
      <c r="L339" s="243"/>
      <c r="M339" s="243"/>
      <c r="N339" s="243"/>
      <c r="O339" s="243"/>
      <c r="P339" s="243"/>
      <c r="Q339" s="243"/>
      <c r="R339" s="243"/>
      <c r="S339" s="243"/>
      <c r="T339" s="243"/>
      <c r="U339" s="243"/>
      <c r="V339" s="243"/>
      <c r="W339" s="243"/>
      <c r="X339" s="243"/>
      <c r="Y339" s="243"/>
      <c r="Z339" s="243"/>
      <c r="AA339" s="243"/>
      <c r="AB339" s="243"/>
      <c r="AC339" s="243"/>
      <c r="AD339" s="243"/>
      <c r="AE339" s="243"/>
      <c r="AF339" s="243"/>
      <c r="AG339" s="243"/>
      <c r="AH339" s="243"/>
      <c r="AI339" s="243"/>
      <c r="AJ339" s="243"/>
      <c r="AK339" s="243"/>
      <c r="AL339" s="243"/>
      <c r="AM339" s="243"/>
      <c r="AN339" s="243"/>
      <c r="AO339" s="243"/>
      <c r="AP339" s="243"/>
      <c r="AQ339" s="243"/>
      <c r="AR339" s="243"/>
      <c r="AS339" s="243"/>
      <c r="AT339" s="243"/>
      <c r="AU339" s="257"/>
    </row>
    <row r="340" spans="1:47" ht="60" customHeight="1" outlineLevel="2" x14ac:dyDescent="0.35">
      <c r="A340" s="252" t="s">
        <v>5366</v>
      </c>
      <c r="B340" s="230" t="s">
        <v>5498</v>
      </c>
      <c r="C340" s="230"/>
      <c r="D340" s="234"/>
      <c r="E340" s="230"/>
      <c r="F340" s="238"/>
      <c r="G340" s="241" t="str">
        <f>IF(COUNTIF(H340:AU340,"&lt;&gt;")=0,"",SUMPRODUCT(((Recommendations[ImplStatus]="Implemented")+(Recommendations[ImplStatus]="Compensated"))*ISNUMBER(MATCH(Recommendations[Id],H340:AU340,0)))/COUNTIF(H340:AU340,"&lt;&gt;"))</f>
        <v/>
      </c>
      <c r="H340" s="238"/>
      <c r="I340" s="238"/>
      <c r="J340" s="238"/>
      <c r="K340" s="238"/>
      <c r="L340" s="238"/>
      <c r="M340" s="238"/>
      <c r="N340" s="238"/>
      <c r="O340" s="238"/>
      <c r="P340" s="238"/>
      <c r="Q340" s="238"/>
      <c r="R340" s="238"/>
      <c r="S340" s="238"/>
      <c r="T340" s="238"/>
      <c r="U340" s="238"/>
      <c r="V340" s="238"/>
      <c r="W340" s="238"/>
      <c r="X340" s="238"/>
      <c r="Y340" s="238"/>
      <c r="Z340" s="238"/>
      <c r="AA340" s="238"/>
      <c r="AB340" s="238"/>
      <c r="AC340" s="238"/>
      <c r="AD340" s="238"/>
      <c r="AE340" s="238"/>
      <c r="AF340" s="238"/>
      <c r="AG340" s="238"/>
      <c r="AH340" s="238"/>
      <c r="AI340" s="238"/>
      <c r="AJ340" s="238"/>
      <c r="AK340" s="238"/>
      <c r="AL340" s="238"/>
      <c r="AM340" s="238"/>
      <c r="AN340" s="238"/>
      <c r="AO340" s="238"/>
      <c r="AP340" s="238"/>
      <c r="AQ340" s="238"/>
      <c r="AR340" s="238"/>
      <c r="AS340" s="238"/>
      <c r="AT340" s="238"/>
      <c r="AU340" s="256"/>
    </row>
    <row r="341" spans="1:47" ht="60" customHeight="1" x14ac:dyDescent="0.35">
      <c r="A341" s="253" t="s">
        <v>5366</v>
      </c>
      <c r="B341" s="231" t="s">
        <v>5498</v>
      </c>
      <c r="C341" s="232" t="s">
        <v>5499</v>
      </c>
      <c r="D341" s="235" t="s">
        <v>5500</v>
      </c>
      <c r="E341" s="236" t="s">
        <v>4815</v>
      </c>
      <c r="F341" s="239" t="s">
        <v>5385</v>
      </c>
      <c r="G341" s="242" t="str">
        <f>IF(COUNTIF(H341:AU341,"&lt;&gt;")=0,"",SUMPRODUCT(((Recommendations[ImplStatus]="Implemented")+(Recommendations[ImplStatus]="Compensated"))*ISNUMBER(MATCH(Recommendations[Id],H341:AU341,0)))/COUNTIF(H341:AU341,"&lt;&gt;"))</f>
        <v/>
      </c>
      <c r="H341" s="243"/>
      <c r="I341" s="243"/>
      <c r="J341" s="243"/>
      <c r="K341" s="243"/>
      <c r="L341" s="243"/>
      <c r="M341" s="243"/>
      <c r="N341" s="243"/>
      <c r="O341" s="243"/>
      <c r="P341" s="243"/>
      <c r="Q341" s="243"/>
      <c r="R341" s="243"/>
      <c r="S341" s="243"/>
      <c r="T341" s="243"/>
      <c r="U341" s="243"/>
      <c r="V341" s="243"/>
      <c r="W341" s="243"/>
      <c r="X341" s="243"/>
      <c r="Y341" s="243"/>
      <c r="Z341" s="243"/>
      <c r="AA341" s="243"/>
      <c r="AB341" s="243"/>
      <c r="AC341" s="243"/>
      <c r="AD341" s="243"/>
      <c r="AE341" s="243"/>
      <c r="AF341" s="243"/>
      <c r="AG341" s="243"/>
      <c r="AH341" s="243"/>
      <c r="AI341" s="243"/>
      <c r="AJ341" s="243"/>
      <c r="AK341" s="243"/>
      <c r="AL341" s="243"/>
      <c r="AM341" s="243"/>
      <c r="AN341" s="243"/>
      <c r="AO341" s="243"/>
      <c r="AP341" s="243"/>
      <c r="AQ341" s="243"/>
      <c r="AR341" s="243"/>
      <c r="AS341" s="243"/>
      <c r="AT341" s="243"/>
      <c r="AU341" s="257"/>
    </row>
    <row r="342" spans="1:47" ht="60" customHeight="1" x14ac:dyDescent="0.35">
      <c r="A342" s="253" t="s">
        <v>5366</v>
      </c>
      <c r="B342" s="231" t="s">
        <v>5498</v>
      </c>
      <c r="C342" s="232" t="s">
        <v>5501</v>
      </c>
      <c r="D342" s="235" t="s">
        <v>5502</v>
      </c>
      <c r="E342" s="236" t="s">
        <v>4815</v>
      </c>
      <c r="F342" s="239" t="s">
        <v>5385</v>
      </c>
      <c r="G342" s="242" t="str">
        <f>IF(COUNTIF(H342:AU342,"&lt;&gt;")=0,"",SUMPRODUCT(((Recommendations[ImplStatus]="Implemented")+(Recommendations[ImplStatus]="Compensated"))*ISNUMBER(MATCH(Recommendations[Id],H342:AU342,0)))/COUNTIF(H342:AU342,"&lt;&gt;"))</f>
        <v/>
      </c>
      <c r="H342" s="243"/>
      <c r="I342" s="243"/>
      <c r="J342" s="243"/>
      <c r="K342" s="243"/>
      <c r="L342" s="243"/>
      <c r="M342" s="243"/>
      <c r="N342" s="243"/>
      <c r="O342" s="243"/>
      <c r="P342" s="243"/>
      <c r="Q342" s="243"/>
      <c r="R342" s="243"/>
      <c r="S342" s="243"/>
      <c r="T342" s="243"/>
      <c r="U342" s="243"/>
      <c r="V342" s="243"/>
      <c r="W342" s="243"/>
      <c r="X342" s="243"/>
      <c r="Y342" s="243"/>
      <c r="Z342" s="243"/>
      <c r="AA342" s="243"/>
      <c r="AB342" s="243"/>
      <c r="AC342" s="243"/>
      <c r="AD342" s="243"/>
      <c r="AE342" s="243"/>
      <c r="AF342" s="243"/>
      <c r="AG342" s="243"/>
      <c r="AH342" s="243"/>
      <c r="AI342" s="243"/>
      <c r="AJ342" s="243"/>
      <c r="AK342" s="243"/>
      <c r="AL342" s="243"/>
      <c r="AM342" s="243"/>
      <c r="AN342" s="243"/>
      <c r="AO342" s="243"/>
      <c r="AP342" s="243"/>
      <c r="AQ342" s="243"/>
      <c r="AR342" s="243"/>
      <c r="AS342" s="243"/>
      <c r="AT342" s="243"/>
      <c r="AU342" s="257"/>
    </row>
    <row r="343" spans="1:47" ht="60" customHeight="1" x14ac:dyDescent="0.35">
      <c r="A343" s="253" t="s">
        <v>5366</v>
      </c>
      <c r="B343" s="231" t="s">
        <v>5498</v>
      </c>
      <c r="C343" s="232" t="s">
        <v>5503</v>
      </c>
      <c r="D343" s="235" t="s">
        <v>5504</v>
      </c>
      <c r="E343" s="236" t="s">
        <v>4911</v>
      </c>
      <c r="F343" s="239" t="s">
        <v>5505</v>
      </c>
      <c r="G343" s="242" t="str">
        <f>IF(COUNTIF(H343:AU343,"&lt;&gt;")=0,"",SUMPRODUCT(((Recommendations[ImplStatus]="Implemented")+(Recommendations[ImplStatus]="Compensated"))*ISNUMBER(MATCH(Recommendations[Id],H343:AU343,0)))/COUNTIF(H343:AU343,"&lt;&gt;"))</f>
        <v/>
      </c>
      <c r="H343" s="243"/>
      <c r="I343" s="243"/>
      <c r="J343" s="243"/>
      <c r="K343" s="243"/>
      <c r="L343" s="243"/>
      <c r="M343" s="243"/>
      <c r="N343" s="243"/>
      <c r="O343" s="243"/>
      <c r="P343" s="243"/>
      <c r="Q343" s="243"/>
      <c r="R343" s="243"/>
      <c r="S343" s="243"/>
      <c r="T343" s="243"/>
      <c r="U343" s="243"/>
      <c r="V343" s="243"/>
      <c r="W343" s="243"/>
      <c r="X343" s="243"/>
      <c r="Y343" s="243"/>
      <c r="Z343" s="243"/>
      <c r="AA343" s="243"/>
      <c r="AB343" s="243"/>
      <c r="AC343" s="243"/>
      <c r="AD343" s="243"/>
      <c r="AE343" s="243"/>
      <c r="AF343" s="243"/>
      <c r="AG343" s="243"/>
      <c r="AH343" s="243"/>
      <c r="AI343" s="243"/>
      <c r="AJ343" s="243"/>
      <c r="AK343" s="243"/>
      <c r="AL343" s="243"/>
      <c r="AM343" s="243"/>
      <c r="AN343" s="243"/>
      <c r="AO343" s="243"/>
      <c r="AP343" s="243"/>
      <c r="AQ343" s="243"/>
      <c r="AR343" s="243"/>
      <c r="AS343" s="243"/>
      <c r="AT343" s="243"/>
      <c r="AU343" s="257"/>
    </row>
    <row r="344" spans="1:47" ht="60" customHeight="1" x14ac:dyDescent="0.35">
      <c r="A344" s="253" t="s">
        <v>5366</v>
      </c>
      <c r="B344" s="231" t="s">
        <v>5498</v>
      </c>
      <c r="C344" s="232" t="s">
        <v>5506</v>
      </c>
      <c r="D344" s="235" t="s">
        <v>5507</v>
      </c>
      <c r="E344" s="236" t="s">
        <v>4844</v>
      </c>
      <c r="F344" s="239" t="s">
        <v>5505</v>
      </c>
      <c r="G344" s="242" t="str">
        <f>IF(COUNTIF(H344:AU344,"&lt;&gt;")=0,"",SUMPRODUCT(((Recommendations[ImplStatus]="Implemented")+(Recommendations[ImplStatus]="Compensated"))*ISNUMBER(MATCH(Recommendations[Id],H344:AU344,0)))/COUNTIF(H344:AU344,"&lt;&gt;"))</f>
        <v/>
      </c>
      <c r="H344" s="243"/>
      <c r="I344" s="243"/>
      <c r="J344" s="243"/>
      <c r="K344" s="243"/>
      <c r="L344" s="243"/>
      <c r="M344" s="243"/>
      <c r="N344" s="243"/>
      <c r="O344" s="243"/>
      <c r="P344" s="243"/>
      <c r="Q344" s="243"/>
      <c r="R344" s="243"/>
      <c r="S344" s="243"/>
      <c r="T344" s="243"/>
      <c r="U344" s="243"/>
      <c r="V344" s="243"/>
      <c r="W344" s="243"/>
      <c r="X344" s="243"/>
      <c r="Y344" s="243"/>
      <c r="Z344" s="243"/>
      <c r="AA344" s="243"/>
      <c r="AB344" s="243"/>
      <c r="AC344" s="243"/>
      <c r="AD344" s="243"/>
      <c r="AE344" s="243"/>
      <c r="AF344" s="243"/>
      <c r="AG344" s="243"/>
      <c r="AH344" s="243"/>
      <c r="AI344" s="243"/>
      <c r="AJ344" s="243"/>
      <c r="AK344" s="243"/>
      <c r="AL344" s="243"/>
      <c r="AM344" s="243"/>
      <c r="AN344" s="243"/>
      <c r="AO344" s="243"/>
      <c r="AP344" s="243"/>
      <c r="AQ344" s="243"/>
      <c r="AR344" s="243"/>
      <c r="AS344" s="243"/>
      <c r="AT344" s="243"/>
      <c r="AU344" s="257"/>
    </row>
    <row r="345" spans="1:47" ht="60" customHeight="1" x14ac:dyDescent="0.35">
      <c r="A345" s="253" t="s">
        <v>5366</v>
      </c>
      <c r="B345" s="231" t="s">
        <v>5498</v>
      </c>
      <c r="C345" s="232" t="s">
        <v>5508</v>
      </c>
      <c r="D345" s="235" t="s">
        <v>5509</v>
      </c>
      <c r="E345" s="236" t="s">
        <v>4844</v>
      </c>
      <c r="F345" s="239" t="s">
        <v>5505</v>
      </c>
      <c r="G345" s="242">
        <f>IF(COUNTIF(H345:AU345,"&lt;&gt;")=0,"",SUMPRODUCT(((Recommendations[ImplStatus]="Implemented")+(Recommendations[ImplStatus]="Compensated"))*ISNUMBER(MATCH(Recommendations[Id],H345:AU345,0)))/COUNTIF(H345:AU345,"&lt;&gt;"))</f>
        <v>0</v>
      </c>
      <c r="H345" s="243" t="s">
        <v>15</v>
      </c>
      <c r="I345" s="243" t="s">
        <v>24</v>
      </c>
      <c r="J345" s="243" t="s">
        <v>28</v>
      </c>
      <c r="K345" s="243" t="s">
        <v>32</v>
      </c>
      <c r="L345" s="243" t="s">
        <v>37</v>
      </c>
      <c r="M345" s="243" t="s">
        <v>42</v>
      </c>
      <c r="N345" s="243" t="s">
        <v>46</v>
      </c>
      <c r="O345" s="243" t="s">
        <v>50</v>
      </c>
      <c r="P345" s="243" t="s">
        <v>85</v>
      </c>
      <c r="Q345" s="243" t="s">
        <v>221</v>
      </c>
      <c r="R345" s="243" t="s">
        <v>229</v>
      </c>
      <c r="S345" s="243" t="s">
        <v>257</v>
      </c>
      <c r="T345" s="243" t="s">
        <v>261</v>
      </c>
      <c r="U345" s="243" t="s">
        <v>563</v>
      </c>
      <c r="V345" s="243" t="s">
        <v>584</v>
      </c>
      <c r="W345" s="243"/>
      <c r="X345" s="243"/>
      <c r="Y345" s="243"/>
      <c r="Z345" s="243"/>
      <c r="AA345" s="243"/>
      <c r="AB345" s="243"/>
      <c r="AC345" s="243"/>
      <c r="AD345" s="243"/>
      <c r="AE345" s="243"/>
      <c r="AF345" s="243"/>
      <c r="AG345" s="243"/>
      <c r="AH345" s="243"/>
      <c r="AI345" s="243"/>
      <c r="AJ345" s="243"/>
      <c r="AK345" s="243"/>
      <c r="AL345" s="243"/>
      <c r="AM345" s="243"/>
      <c r="AN345" s="243"/>
      <c r="AO345" s="243"/>
      <c r="AP345" s="243"/>
      <c r="AQ345" s="243"/>
      <c r="AR345" s="243"/>
      <c r="AS345" s="243"/>
      <c r="AT345" s="243"/>
      <c r="AU345" s="257"/>
    </row>
    <row r="346" spans="1:47" ht="60" customHeight="1" x14ac:dyDescent="0.35">
      <c r="A346" s="253" t="s">
        <v>5366</v>
      </c>
      <c r="B346" s="231" t="s">
        <v>5498</v>
      </c>
      <c r="C346" s="232" t="s">
        <v>5510</v>
      </c>
      <c r="D346" s="235" t="s">
        <v>5511</v>
      </c>
      <c r="E346" s="236" t="s">
        <v>4844</v>
      </c>
      <c r="F346" s="239" t="s">
        <v>5505</v>
      </c>
      <c r="G346" s="242" t="str">
        <f>IF(COUNTIF(H346:AU346,"&lt;&gt;")=0,"",SUMPRODUCT(((Recommendations[ImplStatus]="Implemented")+(Recommendations[ImplStatus]="Compensated"))*ISNUMBER(MATCH(Recommendations[Id],H346:AU346,0)))/COUNTIF(H346:AU346,"&lt;&gt;"))</f>
        <v/>
      </c>
      <c r="H346" s="243"/>
      <c r="I346" s="243"/>
      <c r="J346" s="243"/>
      <c r="K346" s="243"/>
      <c r="L346" s="243"/>
      <c r="M346" s="243"/>
      <c r="N346" s="243"/>
      <c r="O346" s="243"/>
      <c r="P346" s="243"/>
      <c r="Q346" s="243"/>
      <c r="R346" s="243"/>
      <c r="S346" s="243"/>
      <c r="T346" s="243"/>
      <c r="U346" s="243"/>
      <c r="V346" s="243"/>
      <c r="W346" s="243"/>
      <c r="X346" s="243"/>
      <c r="Y346" s="243"/>
      <c r="Z346" s="243"/>
      <c r="AA346" s="243"/>
      <c r="AB346" s="243"/>
      <c r="AC346" s="243"/>
      <c r="AD346" s="243"/>
      <c r="AE346" s="243"/>
      <c r="AF346" s="243"/>
      <c r="AG346" s="243"/>
      <c r="AH346" s="243"/>
      <c r="AI346" s="243"/>
      <c r="AJ346" s="243"/>
      <c r="AK346" s="243"/>
      <c r="AL346" s="243"/>
      <c r="AM346" s="243"/>
      <c r="AN346" s="243"/>
      <c r="AO346" s="243"/>
      <c r="AP346" s="243"/>
      <c r="AQ346" s="243"/>
      <c r="AR346" s="243"/>
      <c r="AS346" s="243"/>
      <c r="AT346" s="243"/>
      <c r="AU346" s="257"/>
    </row>
    <row r="347" spans="1:47" ht="60" customHeight="1" x14ac:dyDescent="0.35">
      <c r="A347" s="253" t="s">
        <v>5366</v>
      </c>
      <c r="B347" s="231" t="s">
        <v>5498</v>
      </c>
      <c r="C347" s="232" t="s">
        <v>5512</v>
      </c>
      <c r="D347" s="235" t="s">
        <v>5513</v>
      </c>
      <c r="E347" s="236" t="s">
        <v>4844</v>
      </c>
      <c r="F347" s="239" t="s">
        <v>5505</v>
      </c>
      <c r="G347" s="242" t="str">
        <f>IF(COUNTIF(H347:AU347,"&lt;&gt;")=0,"",SUMPRODUCT(((Recommendations[ImplStatus]="Implemented")+(Recommendations[ImplStatus]="Compensated"))*ISNUMBER(MATCH(Recommendations[Id],H347:AU347,0)))/COUNTIF(H347:AU347,"&lt;&gt;"))</f>
        <v/>
      </c>
      <c r="H347" s="243"/>
      <c r="I347" s="243"/>
      <c r="J347" s="243"/>
      <c r="K347" s="243"/>
      <c r="L347" s="243"/>
      <c r="M347" s="243"/>
      <c r="N347" s="243"/>
      <c r="O347" s="243"/>
      <c r="P347" s="243"/>
      <c r="Q347" s="243"/>
      <c r="R347" s="243"/>
      <c r="S347" s="243"/>
      <c r="T347" s="243"/>
      <c r="U347" s="243"/>
      <c r="V347" s="243"/>
      <c r="W347" s="243"/>
      <c r="X347" s="243"/>
      <c r="Y347" s="243"/>
      <c r="Z347" s="243"/>
      <c r="AA347" s="243"/>
      <c r="AB347" s="243"/>
      <c r="AC347" s="243"/>
      <c r="AD347" s="243"/>
      <c r="AE347" s="243"/>
      <c r="AF347" s="243"/>
      <c r="AG347" s="243"/>
      <c r="AH347" s="243"/>
      <c r="AI347" s="243"/>
      <c r="AJ347" s="243"/>
      <c r="AK347" s="243"/>
      <c r="AL347" s="243"/>
      <c r="AM347" s="243"/>
      <c r="AN347" s="243"/>
      <c r="AO347" s="243"/>
      <c r="AP347" s="243"/>
      <c r="AQ347" s="243"/>
      <c r="AR347" s="243"/>
      <c r="AS347" s="243"/>
      <c r="AT347" s="243"/>
      <c r="AU347" s="257"/>
    </row>
    <row r="348" spans="1:47" ht="60" customHeight="1" x14ac:dyDescent="0.35">
      <c r="A348" s="253" t="s">
        <v>5366</v>
      </c>
      <c r="B348" s="231" t="s">
        <v>5498</v>
      </c>
      <c r="C348" s="232" t="s">
        <v>5514</v>
      </c>
      <c r="D348" s="235" t="s">
        <v>5515</v>
      </c>
      <c r="E348" s="236" t="s">
        <v>4844</v>
      </c>
      <c r="F348" s="239" t="s">
        <v>5505</v>
      </c>
      <c r="G348" s="242" t="str">
        <f>IF(COUNTIF(H348:AU348,"&lt;&gt;")=0,"",SUMPRODUCT(((Recommendations[ImplStatus]="Implemented")+(Recommendations[ImplStatus]="Compensated"))*ISNUMBER(MATCH(Recommendations[Id],H348:AU348,0)))/COUNTIF(H348:AU348,"&lt;&gt;"))</f>
        <v/>
      </c>
      <c r="H348" s="243"/>
      <c r="I348" s="243"/>
      <c r="J348" s="243"/>
      <c r="K348" s="243"/>
      <c r="L348" s="243"/>
      <c r="M348" s="243"/>
      <c r="N348" s="243"/>
      <c r="O348" s="243"/>
      <c r="P348" s="243"/>
      <c r="Q348" s="243"/>
      <c r="R348" s="243"/>
      <c r="S348" s="243"/>
      <c r="T348" s="243"/>
      <c r="U348" s="243"/>
      <c r="V348" s="243"/>
      <c r="W348" s="243"/>
      <c r="X348" s="243"/>
      <c r="Y348" s="243"/>
      <c r="Z348" s="243"/>
      <c r="AA348" s="243"/>
      <c r="AB348" s="243"/>
      <c r="AC348" s="243"/>
      <c r="AD348" s="243"/>
      <c r="AE348" s="243"/>
      <c r="AF348" s="243"/>
      <c r="AG348" s="243"/>
      <c r="AH348" s="243"/>
      <c r="AI348" s="243"/>
      <c r="AJ348" s="243"/>
      <c r="AK348" s="243"/>
      <c r="AL348" s="243"/>
      <c r="AM348" s="243"/>
      <c r="AN348" s="243"/>
      <c r="AO348" s="243"/>
      <c r="AP348" s="243"/>
      <c r="AQ348" s="243"/>
      <c r="AR348" s="243"/>
      <c r="AS348" s="243"/>
      <c r="AT348" s="243"/>
      <c r="AU348" s="257"/>
    </row>
    <row r="349" spans="1:47" ht="60" customHeight="1" x14ac:dyDescent="0.35">
      <c r="A349" s="253" t="s">
        <v>5366</v>
      </c>
      <c r="B349" s="231" t="s">
        <v>5498</v>
      </c>
      <c r="C349" s="232" t="s">
        <v>5516</v>
      </c>
      <c r="D349" s="235" t="s">
        <v>5517</v>
      </c>
      <c r="E349" s="236" t="s">
        <v>4844</v>
      </c>
      <c r="F349" s="239" t="s">
        <v>5505</v>
      </c>
      <c r="G349" s="242" t="str">
        <f>IF(COUNTIF(H349:AU349,"&lt;&gt;")=0,"",SUMPRODUCT(((Recommendations[ImplStatus]="Implemented")+(Recommendations[ImplStatus]="Compensated"))*ISNUMBER(MATCH(Recommendations[Id],H349:AU349,0)))/COUNTIF(H349:AU349,"&lt;&gt;"))</f>
        <v/>
      </c>
      <c r="H349" s="243"/>
      <c r="I349" s="243"/>
      <c r="J349" s="243"/>
      <c r="K349" s="243"/>
      <c r="L349" s="243"/>
      <c r="M349" s="243"/>
      <c r="N349" s="243"/>
      <c r="O349" s="243"/>
      <c r="P349" s="243"/>
      <c r="Q349" s="243"/>
      <c r="R349" s="243"/>
      <c r="S349" s="243"/>
      <c r="T349" s="243"/>
      <c r="U349" s="243"/>
      <c r="V349" s="243"/>
      <c r="W349" s="243"/>
      <c r="X349" s="243"/>
      <c r="Y349" s="243"/>
      <c r="Z349" s="243"/>
      <c r="AA349" s="243"/>
      <c r="AB349" s="243"/>
      <c r="AC349" s="243"/>
      <c r="AD349" s="243"/>
      <c r="AE349" s="243"/>
      <c r="AF349" s="243"/>
      <c r="AG349" s="243"/>
      <c r="AH349" s="243"/>
      <c r="AI349" s="243"/>
      <c r="AJ349" s="243"/>
      <c r="AK349" s="243"/>
      <c r="AL349" s="243"/>
      <c r="AM349" s="243"/>
      <c r="AN349" s="243"/>
      <c r="AO349" s="243"/>
      <c r="AP349" s="243"/>
      <c r="AQ349" s="243"/>
      <c r="AR349" s="243"/>
      <c r="AS349" s="243"/>
      <c r="AT349" s="243"/>
      <c r="AU349" s="257"/>
    </row>
    <row r="350" spans="1:47" ht="60" customHeight="1" x14ac:dyDescent="0.35">
      <c r="A350" s="253" t="s">
        <v>5366</v>
      </c>
      <c r="B350" s="231" t="s">
        <v>5498</v>
      </c>
      <c r="C350" s="232" t="s">
        <v>5518</v>
      </c>
      <c r="D350" s="235" t="s">
        <v>5519</v>
      </c>
      <c r="E350" s="236" t="s">
        <v>4815</v>
      </c>
      <c r="F350" s="239" t="s">
        <v>5505</v>
      </c>
      <c r="G350" s="242" t="str">
        <f>IF(COUNTIF(H350:AU350,"&lt;&gt;")=0,"",SUMPRODUCT(((Recommendations[ImplStatus]="Implemented")+(Recommendations[ImplStatus]="Compensated"))*ISNUMBER(MATCH(Recommendations[Id],H350:AU350,0)))/COUNTIF(H350:AU350,"&lt;&gt;"))</f>
        <v/>
      </c>
      <c r="H350" s="243"/>
      <c r="I350" s="243"/>
      <c r="J350" s="243"/>
      <c r="K350" s="243"/>
      <c r="L350" s="243"/>
      <c r="M350" s="243"/>
      <c r="N350" s="243"/>
      <c r="O350" s="243"/>
      <c r="P350" s="243"/>
      <c r="Q350" s="243"/>
      <c r="R350" s="243"/>
      <c r="S350" s="243"/>
      <c r="T350" s="243"/>
      <c r="U350" s="243"/>
      <c r="V350" s="243"/>
      <c r="W350" s="243"/>
      <c r="X350" s="243"/>
      <c r="Y350" s="243"/>
      <c r="Z350" s="243"/>
      <c r="AA350" s="243"/>
      <c r="AB350" s="243"/>
      <c r="AC350" s="243"/>
      <c r="AD350" s="243"/>
      <c r="AE350" s="243"/>
      <c r="AF350" s="243"/>
      <c r="AG350" s="243"/>
      <c r="AH350" s="243"/>
      <c r="AI350" s="243"/>
      <c r="AJ350" s="243"/>
      <c r="AK350" s="243"/>
      <c r="AL350" s="243"/>
      <c r="AM350" s="243"/>
      <c r="AN350" s="243"/>
      <c r="AO350" s="243"/>
      <c r="AP350" s="243"/>
      <c r="AQ350" s="243"/>
      <c r="AR350" s="243"/>
      <c r="AS350" s="243"/>
      <c r="AT350" s="243"/>
      <c r="AU350" s="257"/>
    </row>
    <row r="351" spans="1:47" ht="60" customHeight="1" x14ac:dyDescent="0.35">
      <c r="A351" s="253" t="s">
        <v>5366</v>
      </c>
      <c r="B351" s="231" t="s">
        <v>5498</v>
      </c>
      <c r="C351" s="232" t="s">
        <v>5520</v>
      </c>
      <c r="D351" s="235" t="s">
        <v>5521</v>
      </c>
      <c r="E351" s="236" t="s">
        <v>4815</v>
      </c>
      <c r="F351" s="239" t="s">
        <v>5505</v>
      </c>
      <c r="G351" s="242" t="str">
        <f>IF(COUNTIF(H351:AU351,"&lt;&gt;")=0,"",SUMPRODUCT(((Recommendations[ImplStatus]="Implemented")+(Recommendations[ImplStatus]="Compensated"))*ISNUMBER(MATCH(Recommendations[Id],H351:AU351,0)))/COUNTIF(H351:AU351,"&lt;&gt;"))</f>
        <v/>
      </c>
      <c r="H351" s="243"/>
      <c r="I351" s="243"/>
      <c r="J351" s="243"/>
      <c r="K351" s="243"/>
      <c r="L351" s="243"/>
      <c r="M351" s="243"/>
      <c r="N351" s="243"/>
      <c r="O351" s="243"/>
      <c r="P351" s="243"/>
      <c r="Q351" s="243"/>
      <c r="R351" s="243"/>
      <c r="S351" s="243"/>
      <c r="T351" s="243"/>
      <c r="U351" s="243"/>
      <c r="V351" s="243"/>
      <c r="W351" s="243"/>
      <c r="X351" s="243"/>
      <c r="Y351" s="243"/>
      <c r="Z351" s="243"/>
      <c r="AA351" s="243"/>
      <c r="AB351" s="243"/>
      <c r="AC351" s="243"/>
      <c r="AD351" s="243"/>
      <c r="AE351" s="243"/>
      <c r="AF351" s="243"/>
      <c r="AG351" s="243"/>
      <c r="AH351" s="243"/>
      <c r="AI351" s="243"/>
      <c r="AJ351" s="243"/>
      <c r="AK351" s="243"/>
      <c r="AL351" s="243"/>
      <c r="AM351" s="243"/>
      <c r="AN351" s="243"/>
      <c r="AO351" s="243"/>
      <c r="AP351" s="243"/>
      <c r="AQ351" s="243"/>
      <c r="AR351" s="243"/>
      <c r="AS351" s="243"/>
      <c r="AT351" s="243"/>
      <c r="AU351" s="257"/>
    </row>
    <row r="352" spans="1:47" ht="60" customHeight="1" x14ac:dyDescent="0.35">
      <c r="A352" s="253" t="s">
        <v>5366</v>
      </c>
      <c r="B352" s="231" t="s">
        <v>5498</v>
      </c>
      <c r="C352" s="232" t="s">
        <v>5522</v>
      </c>
      <c r="D352" s="235" t="s">
        <v>5523</v>
      </c>
      <c r="E352" s="236" t="s">
        <v>4815</v>
      </c>
      <c r="F352" s="239" t="s">
        <v>5505</v>
      </c>
      <c r="G352" s="242" t="str">
        <f>IF(COUNTIF(H352:AU352,"&lt;&gt;")=0,"",SUMPRODUCT(((Recommendations[ImplStatus]="Implemented")+(Recommendations[ImplStatus]="Compensated"))*ISNUMBER(MATCH(Recommendations[Id],H352:AU352,0)))/COUNTIF(H352:AU352,"&lt;&gt;"))</f>
        <v/>
      </c>
      <c r="H352" s="243"/>
      <c r="I352" s="243"/>
      <c r="J352" s="243"/>
      <c r="K352" s="243"/>
      <c r="L352" s="243"/>
      <c r="M352" s="243"/>
      <c r="N352" s="243"/>
      <c r="O352" s="243"/>
      <c r="P352" s="243"/>
      <c r="Q352" s="243"/>
      <c r="R352" s="243"/>
      <c r="S352" s="243"/>
      <c r="T352" s="243"/>
      <c r="U352" s="243"/>
      <c r="V352" s="243"/>
      <c r="W352" s="243"/>
      <c r="X352" s="243"/>
      <c r="Y352" s="243"/>
      <c r="Z352" s="243"/>
      <c r="AA352" s="243"/>
      <c r="AB352" s="243"/>
      <c r="AC352" s="243"/>
      <c r="AD352" s="243"/>
      <c r="AE352" s="243"/>
      <c r="AF352" s="243"/>
      <c r="AG352" s="243"/>
      <c r="AH352" s="243"/>
      <c r="AI352" s="243"/>
      <c r="AJ352" s="243"/>
      <c r="AK352" s="243"/>
      <c r="AL352" s="243"/>
      <c r="AM352" s="243"/>
      <c r="AN352" s="243"/>
      <c r="AO352" s="243"/>
      <c r="AP352" s="243"/>
      <c r="AQ352" s="243"/>
      <c r="AR352" s="243"/>
      <c r="AS352" s="243"/>
      <c r="AT352" s="243"/>
      <c r="AU352" s="257"/>
    </row>
    <row r="353" spans="1:47" ht="60" customHeight="1" x14ac:dyDescent="0.35">
      <c r="A353" s="253" t="s">
        <v>5366</v>
      </c>
      <c r="B353" s="231" t="s">
        <v>5498</v>
      </c>
      <c r="C353" s="232" t="s">
        <v>5524</v>
      </c>
      <c r="D353" s="235" t="s">
        <v>5525</v>
      </c>
      <c r="E353" s="236" t="s">
        <v>4911</v>
      </c>
      <c r="F353" s="239" t="s">
        <v>5385</v>
      </c>
      <c r="G353" s="242" t="str">
        <f>IF(COUNTIF(H353:AU353,"&lt;&gt;")=0,"",SUMPRODUCT(((Recommendations[ImplStatus]="Implemented")+(Recommendations[ImplStatus]="Compensated"))*ISNUMBER(MATCH(Recommendations[Id],H353:AU353,0)))/COUNTIF(H353:AU353,"&lt;&gt;"))</f>
        <v/>
      </c>
      <c r="H353" s="243"/>
      <c r="I353" s="243"/>
      <c r="J353" s="243"/>
      <c r="K353" s="243"/>
      <c r="L353" s="243"/>
      <c r="M353" s="243"/>
      <c r="N353" s="243"/>
      <c r="O353" s="243"/>
      <c r="P353" s="243"/>
      <c r="Q353" s="243"/>
      <c r="R353" s="243"/>
      <c r="S353" s="243"/>
      <c r="T353" s="243"/>
      <c r="U353" s="243"/>
      <c r="V353" s="243"/>
      <c r="W353" s="243"/>
      <c r="X353" s="243"/>
      <c r="Y353" s="243"/>
      <c r="Z353" s="243"/>
      <c r="AA353" s="243"/>
      <c r="AB353" s="243"/>
      <c r="AC353" s="243"/>
      <c r="AD353" s="243"/>
      <c r="AE353" s="243"/>
      <c r="AF353" s="243"/>
      <c r="AG353" s="243"/>
      <c r="AH353" s="243"/>
      <c r="AI353" s="243"/>
      <c r="AJ353" s="243"/>
      <c r="AK353" s="243"/>
      <c r="AL353" s="243"/>
      <c r="AM353" s="243"/>
      <c r="AN353" s="243"/>
      <c r="AO353" s="243"/>
      <c r="AP353" s="243"/>
      <c r="AQ353" s="243"/>
      <c r="AR353" s="243"/>
      <c r="AS353" s="243"/>
      <c r="AT353" s="243"/>
      <c r="AU353" s="257"/>
    </row>
    <row r="354" spans="1:47" ht="60" customHeight="1" outlineLevel="2" x14ac:dyDescent="0.35">
      <c r="A354" s="252" t="s">
        <v>5366</v>
      </c>
      <c r="B354" s="230" t="s">
        <v>5526</v>
      </c>
      <c r="C354" s="230"/>
      <c r="D354" s="234"/>
      <c r="E354" s="230"/>
      <c r="F354" s="238"/>
      <c r="G354" s="241" t="str">
        <f>IF(COUNTIF(H354:AU354,"&lt;&gt;")=0,"",SUMPRODUCT(((Recommendations[ImplStatus]="Implemented")+(Recommendations[ImplStatus]="Compensated"))*ISNUMBER(MATCH(Recommendations[Id],H354:AU354,0)))/COUNTIF(H354:AU354,"&lt;&gt;"))</f>
        <v/>
      </c>
      <c r="H354" s="238"/>
      <c r="I354" s="238"/>
      <c r="J354" s="238"/>
      <c r="K354" s="238"/>
      <c r="L354" s="238"/>
      <c r="M354" s="238"/>
      <c r="N354" s="238"/>
      <c r="O354" s="238"/>
      <c r="P354" s="238"/>
      <c r="Q354" s="238"/>
      <c r="R354" s="238"/>
      <c r="S354" s="238"/>
      <c r="T354" s="238"/>
      <c r="U354" s="238"/>
      <c r="V354" s="238"/>
      <c r="W354" s="238"/>
      <c r="X354" s="238"/>
      <c r="Y354" s="238"/>
      <c r="Z354" s="238"/>
      <c r="AA354" s="238"/>
      <c r="AB354" s="238"/>
      <c r="AC354" s="238"/>
      <c r="AD354" s="238"/>
      <c r="AE354" s="238"/>
      <c r="AF354" s="238"/>
      <c r="AG354" s="238"/>
      <c r="AH354" s="238"/>
      <c r="AI354" s="238"/>
      <c r="AJ354" s="238"/>
      <c r="AK354" s="238"/>
      <c r="AL354" s="238"/>
      <c r="AM354" s="238"/>
      <c r="AN354" s="238"/>
      <c r="AO354" s="238"/>
      <c r="AP354" s="238"/>
      <c r="AQ354" s="238"/>
      <c r="AR354" s="238"/>
      <c r="AS354" s="238"/>
      <c r="AT354" s="238"/>
      <c r="AU354" s="256"/>
    </row>
    <row r="355" spans="1:47" ht="60" customHeight="1" x14ac:dyDescent="0.35">
      <c r="A355" s="253" t="s">
        <v>5366</v>
      </c>
      <c r="B355" s="231" t="s">
        <v>5526</v>
      </c>
      <c r="C355" s="232" t="s">
        <v>5527</v>
      </c>
      <c r="D355" s="235" t="s">
        <v>5528</v>
      </c>
      <c r="E355" s="236" t="s">
        <v>4911</v>
      </c>
      <c r="F355" s="239" t="s">
        <v>5529</v>
      </c>
      <c r="G355" s="242" t="str">
        <f>IF(COUNTIF(H355:AU355,"&lt;&gt;")=0,"",SUMPRODUCT(((Recommendations[ImplStatus]="Implemented")+(Recommendations[ImplStatus]="Compensated"))*ISNUMBER(MATCH(Recommendations[Id],H355:AU355,0)))/COUNTIF(H355:AU355,"&lt;&gt;"))</f>
        <v/>
      </c>
      <c r="H355" s="243"/>
      <c r="I355" s="243"/>
      <c r="J355" s="243"/>
      <c r="K355" s="243"/>
      <c r="L355" s="243"/>
      <c r="M355" s="243"/>
      <c r="N355" s="243"/>
      <c r="O355" s="243"/>
      <c r="P355" s="243"/>
      <c r="Q355" s="243"/>
      <c r="R355" s="243"/>
      <c r="S355" s="243"/>
      <c r="T355" s="243"/>
      <c r="U355" s="243"/>
      <c r="V355" s="243"/>
      <c r="W355" s="243"/>
      <c r="X355" s="243"/>
      <c r="Y355" s="243"/>
      <c r="Z355" s="243"/>
      <c r="AA355" s="243"/>
      <c r="AB355" s="243"/>
      <c r="AC355" s="243"/>
      <c r="AD355" s="243"/>
      <c r="AE355" s="243"/>
      <c r="AF355" s="243"/>
      <c r="AG355" s="243"/>
      <c r="AH355" s="243"/>
      <c r="AI355" s="243"/>
      <c r="AJ355" s="243"/>
      <c r="AK355" s="243"/>
      <c r="AL355" s="243"/>
      <c r="AM355" s="243"/>
      <c r="AN355" s="243"/>
      <c r="AO355" s="243"/>
      <c r="AP355" s="243"/>
      <c r="AQ355" s="243"/>
      <c r="AR355" s="243"/>
      <c r="AS355" s="243"/>
      <c r="AT355" s="243"/>
      <c r="AU355" s="257"/>
    </row>
    <row r="356" spans="1:47" ht="60" customHeight="1" x14ac:dyDescent="0.35">
      <c r="A356" s="253" t="s">
        <v>5366</v>
      </c>
      <c r="B356" s="231" t="s">
        <v>5526</v>
      </c>
      <c r="C356" s="232" t="s">
        <v>5530</v>
      </c>
      <c r="D356" s="235" t="s">
        <v>5531</v>
      </c>
      <c r="E356" s="236" t="s">
        <v>4911</v>
      </c>
      <c r="F356" s="239" t="s">
        <v>5529</v>
      </c>
      <c r="G356" s="242">
        <f>IF(COUNTIF(H356:AU356,"&lt;&gt;")=0,"",SUMPRODUCT(((Recommendations[ImplStatus]="Implemented")+(Recommendations[ImplStatus]="Compensated"))*ISNUMBER(MATCH(Recommendations[Id],H356:AU356,0)))/COUNTIF(H356:AU356,"&lt;&gt;"))</f>
        <v>0</v>
      </c>
      <c r="H356" s="243" t="s">
        <v>310</v>
      </c>
      <c r="I356" s="243" t="s">
        <v>314</v>
      </c>
      <c r="J356" s="243" t="s">
        <v>317</v>
      </c>
      <c r="K356" s="243" t="s">
        <v>321</v>
      </c>
      <c r="L356" s="243" t="s">
        <v>324</v>
      </c>
      <c r="M356" s="243" t="s">
        <v>328</v>
      </c>
      <c r="N356" s="243" t="s">
        <v>331</v>
      </c>
      <c r="O356" s="243" t="s">
        <v>334</v>
      </c>
      <c r="P356" s="243" t="s">
        <v>337</v>
      </c>
      <c r="Q356" s="243" t="s">
        <v>340</v>
      </c>
      <c r="R356" s="243" t="s">
        <v>344</v>
      </c>
      <c r="S356" s="243" t="s">
        <v>347</v>
      </c>
      <c r="T356" s="243" t="s">
        <v>350</v>
      </c>
      <c r="U356" s="243" t="s">
        <v>353</v>
      </c>
      <c r="V356" s="243" t="s">
        <v>357</v>
      </c>
      <c r="W356" s="243" t="s">
        <v>360</v>
      </c>
      <c r="X356" s="243" t="s">
        <v>363</v>
      </c>
      <c r="Y356" s="243" t="s">
        <v>366</v>
      </c>
      <c r="Z356" s="243" t="s">
        <v>370</v>
      </c>
      <c r="AA356" s="243" t="s">
        <v>374</v>
      </c>
      <c r="AB356" s="243" t="s">
        <v>377</v>
      </c>
      <c r="AC356" s="243" t="s">
        <v>380</v>
      </c>
      <c r="AD356" s="243" t="s">
        <v>383</v>
      </c>
      <c r="AE356" s="243" t="s">
        <v>402</v>
      </c>
      <c r="AF356" s="243" t="s">
        <v>405</v>
      </c>
      <c r="AG356" s="243" t="s">
        <v>424</v>
      </c>
      <c r="AH356" s="243" t="s">
        <v>427</v>
      </c>
      <c r="AI356" s="243" t="s">
        <v>452</v>
      </c>
      <c r="AJ356" s="243" t="s">
        <v>455</v>
      </c>
      <c r="AK356" s="243" t="s">
        <v>1698</v>
      </c>
      <c r="AL356" s="243"/>
      <c r="AM356" s="243"/>
      <c r="AN356" s="243"/>
      <c r="AO356" s="243"/>
      <c r="AP356" s="243"/>
      <c r="AQ356" s="243"/>
      <c r="AR356" s="243"/>
      <c r="AS356" s="243"/>
      <c r="AT356" s="243"/>
      <c r="AU356" s="257"/>
    </row>
    <row r="357" spans="1:47" ht="60" customHeight="1" x14ac:dyDescent="0.35">
      <c r="A357" s="253" t="s">
        <v>5366</v>
      </c>
      <c r="B357" s="231" t="s">
        <v>5526</v>
      </c>
      <c r="C357" s="232" t="s">
        <v>5532</v>
      </c>
      <c r="D357" s="235" t="s">
        <v>5533</v>
      </c>
      <c r="E357" s="236" t="s">
        <v>4959</v>
      </c>
      <c r="F357" s="239" t="s">
        <v>5529</v>
      </c>
      <c r="G357" s="242" t="str">
        <f>IF(COUNTIF(H357:AU357,"&lt;&gt;")=0,"",SUMPRODUCT(((Recommendations[ImplStatus]="Implemented")+(Recommendations[ImplStatus]="Compensated"))*ISNUMBER(MATCH(Recommendations[Id],H357:AU357,0)))/COUNTIF(H357:AU357,"&lt;&gt;"))</f>
        <v/>
      </c>
      <c r="H357" s="243"/>
      <c r="I357" s="243"/>
      <c r="J357" s="243"/>
      <c r="K357" s="243"/>
      <c r="L357" s="243"/>
      <c r="M357" s="243"/>
      <c r="N357" s="243"/>
      <c r="O357" s="243"/>
      <c r="P357" s="243"/>
      <c r="Q357" s="243"/>
      <c r="R357" s="243"/>
      <c r="S357" s="243"/>
      <c r="T357" s="243"/>
      <c r="U357" s="243"/>
      <c r="V357" s="243"/>
      <c r="W357" s="243"/>
      <c r="X357" s="243"/>
      <c r="Y357" s="243"/>
      <c r="Z357" s="243"/>
      <c r="AA357" s="243"/>
      <c r="AB357" s="243"/>
      <c r="AC357" s="243"/>
      <c r="AD357" s="243"/>
      <c r="AE357" s="243"/>
      <c r="AF357" s="243"/>
      <c r="AG357" s="243"/>
      <c r="AH357" s="243"/>
      <c r="AI357" s="243"/>
      <c r="AJ357" s="243"/>
      <c r="AK357" s="243"/>
      <c r="AL357" s="243"/>
      <c r="AM357" s="243"/>
      <c r="AN357" s="243"/>
      <c r="AO357" s="243"/>
      <c r="AP357" s="243"/>
      <c r="AQ357" s="243"/>
      <c r="AR357" s="243"/>
      <c r="AS357" s="243"/>
      <c r="AT357" s="243"/>
      <c r="AU357" s="257"/>
    </row>
    <row r="358" spans="1:47" ht="60" customHeight="1" x14ac:dyDescent="0.35">
      <c r="A358" s="253" t="s">
        <v>5366</v>
      </c>
      <c r="B358" s="231" t="s">
        <v>5526</v>
      </c>
      <c r="C358" s="232" t="s">
        <v>5534</v>
      </c>
      <c r="D358" s="235" t="s">
        <v>5535</v>
      </c>
      <c r="E358" s="236" t="s">
        <v>4959</v>
      </c>
      <c r="F358" s="239" t="s">
        <v>5529</v>
      </c>
      <c r="G358" s="242" t="str">
        <f>IF(COUNTIF(H358:AU358,"&lt;&gt;")=0,"",SUMPRODUCT(((Recommendations[ImplStatus]="Implemented")+(Recommendations[ImplStatus]="Compensated"))*ISNUMBER(MATCH(Recommendations[Id],H358:AU358,0)))/COUNTIF(H358:AU358,"&lt;&gt;"))</f>
        <v/>
      </c>
      <c r="H358" s="243"/>
      <c r="I358" s="243"/>
      <c r="J358" s="243"/>
      <c r="K358" s="243"/>
      <c r="L358" s="243"/>
      <c r="M358" s="243"/>
      <c r="N358" s="243"/>
      <c r="O358" s="243"/>
      <c r="P358" s="243"/>
      <c r="Q358" s="243"/>
      <c r="R358" s="243"/>
      <c r="S358" s="243"/>
      <c r="T358" s="243"/>
      <c r="U358" s="243"/>
      <c r="V358" s="243"/>
      <c r="W358" s="243"/>
      <c r="X358" s="243"/>
      <c r="Y358" s="243"/>
      <c r="Z358" s="243"/>
      <c r="AA358" s="243"/>
      <c r="AB358" s="243"/>
      <c r="AC358" s="243"/>
      <c r="AD358" s="243"/>
      <c r="AE358" s="243"/>
      <c r="AF358" s="243"/>
      <c r="AG358" s="243"/>
      <c r="AH358" s="243"/>
      <c r="AI358" s="243"/>
      <c r="AJ358" s="243"/>
      <c r="AK358" s="243"/>
      <c r="AL358" s="243"/>
      <c r="AM358" s="243"/>
      <c r="AN358" s="243"/>
      <c r="AO358" s="243"/>
      <c r="AP358" s="243"/>
      <c r="AQ358" s="243"/>
      <c r="AR358" s="243"/>
      <c r="AS358" s="243"/>
      <c r="AT358" s="243"/>
      <c r="AU358" s="257"/>
    </row>
    <row r="359" spans="1:47" ht="60" customHeight="1" x14ac:dyDescent="0.35">
      <c r="A359" s="253" t="s">
        <v>5366</v>
      </c>
      <c r="B359" s="231" t="s">
        <v>5526</v>
      </c>
      <c r="C359" s="232" t="s">
        <v>5536</v>
      </c>
      <c r="D359" s="235" t="s">
        <v>5537</v>
      </c>
      <c r="E359" s="236" t="s">
        <v>4959</v>
      </c>
      <c r="F359" s="239" t="s">
        <v>5529</v>
      </c>
      <c r="G359" s="242" t="str">
        <f>IF(COUNTIF(H359:AU359,"&lt;&gt;")=0,"",SUMPRODUCT(((Recommendations[ImplStatus]="Implemented")+(Recommendations[ImplStatus]="Compensated"))*ISNUMBER(MATCH(Recommendations[Id],H359:AU359,0)))/COUNTIF(H359:AU359,"&lt;&gt;"))</f>
        <v/>
      </c>
      <c r="H359" s="243"/>
      <c r="I359" s="243"/>
      <c r="J359" s="243"/>
      <c r="K359" s="243"/>
      <c r="L359" s="243"/>
      <c r="M359" s="243"/>
      <c r="N359" s="243"/>
      <c r="O359" s="243"/>
      <c r="P359" s="243"/>
      <c r="Q359" s="243"/>
      <c r="R359" s="243"/>
      <c r="S359" s="243"/>
      <c r="T359" s="243"/>
      <c r="U359" s="243"/>
      <c r="V359" s="243"/>
      <c r="W359" s="243"/>
      <c r="X359" s="243"/>
      <c r="Y359" s="243"/>
      <c r="Z359" s="243"/>
      <c r="AA359" s="243"/>
      <c r="AB359" s="243"/>
      <c r="AC359" s="243"/>
      <c r="AD359" s="243"/>
      <c r="AE359" s="243"/>
      <c r="AF359" s="243"/>
      <c r="AG359" s="243"/>
      <c r="AH359" s="243"/>
      <c r="AI359" s="243"/>
      <c r="AJ359" s="243"/>
      <c r="AK359" s="243"/>
      <c r="AL359" s="243"/>
      <c r="AM359" s="243"/>
      <c r="AN359" s="243"/>
      <c r="AO359" s="243"/>
      <c r="AP359" s="243"/>
      <c r="AQ359" s="243"/>
      <c r="AR359" s="243"/>
      <c r="AS359" s="243"/>
      <c r="AT359" s="243"/>
      <c r="AU359" s="257"/>
    </row>
    <row r="360" spans="1:47" ht="60" customHeight="1" x14ac:dyDescent="0.35">
      <c r="A360" s="253" t="s">
        <v>5366</v>
      </c>
      <c r="B360" s="231" t="s">
        <v>5526</v>
      </c>
      <c r="C360" s="232" t="s">
        <v>5538</v>
      </c>
      <c r="D360" s="235" t="s">
        <v>5539</v>
      </c>
      <c r="E360" s="236" t="s">
        <v>4911</v>
      </c>
      <c r="F360" s="239" t="s">
        <v>5529</v>
      </c>
      <c r="G360" s="242" t="str">
        <f>IF(COUNTIF(H360:AU360,"&lt;&gt;")=0,"",SUMPRODUCT(((Recommendations[ImplStatus]="Implemented")+(Recommendations[ImplStatus]="Compensated"))*ISNUMBER(MATCH(Recommendations[Id],H360:AU360,0)))/COUNTIF(H360:AU360,"&lt;&gt;"))</f>
        <v/>
      </c>
      <c r="H360" s="243"/>
      <c r="I360" s="243"/>
      <c r="J360" s="243"/>
      <c r="K360" s="243"/>
      <c r="L360" s="243"/>
      <c r="M360" s="243"/>
      <c r="N360" s="243"/>
      <c r="O360" s="243"/>
      <c r="P360" s="243"/>
      <c r="Q360" s="243"/>
      <c r="R360" s="243"/>
      <c r="S360" s="243"/>
      <c r="T360" s="243"/>
      <c r="U360" s="243"/>
      <c r="V360" s="243"/>
      <c r="W360" s="243"/>
      <c r="X360" s="243"/>
      <c r="Y360" s="243"/>
      <c r="Z360" s="243"/>
      <c r="AA360" s="243"/>
      <c r="AB360" s="243"/>
      <c r="AC360" s="243"/>
      <c r="AD360" s="243"/>
      <c r="AE360" s="243"/>
      <c r="AF360" s="243"/>
      <c r="AG360" s="243"/>
      <c r="AH360" s="243"/>
      <c r="AI360" s="243"/>
      <c r="AJ360" s="243"/>
      <c r="AK360" s="243"/>
      <c r="AL360" s="243"/>
      <c r="AM360" s="243"/>
      <c r="AN360" s="243"/>
      <c r="AO360" s="243"/>
      <c r="AP360" s="243"/>
      <c r="AQ360" s="243"/>
      <c r="AR360" s="243"/>
      <c r="AS360" s="243"/>
      <c r="AT360" s="243"/>
      <c r="AU360" s="257"/>
    </row>
    <row r="361" spans="1:47" ht="60" customHeight="1" x14ac:dyDescent="0.35">
      <c r="A361" s="253" t="s">
        <v>5366</v>
      </c>
      <c r="B361" s="231" t="s">
        <v>5526</v>
      </c>
      <c r="C361" s="232" t="s">
        <v>5540</v>
      </c>
      <c r="D361" s="235" t="s">
        <v>5541</v>
      </c>
      <c r="E361" s="236" t="s">
        <v>4844</v>
      </c>
      <c r="F361" s="239" t="s">
        <v>5529</v>
      </c>
      <c r="G361" s="242" t="str">
        <f>IF(COUNTIF(H361:AU361,"&lt;&gt;")=0,"",SUMPRODUCT(((Recommendations[ImplStatus]="Implemented")+(Recommendations[ImplStatus]="Compensated"))*ISNUMBER(MATCH(Recommendations[Id],H361:AU361,0)))/COUNTIF(H361:AU361,"&lt;&gt;"))</f>
        <v/>
      </c>
      <c r="H361" s="243"/>
      <c r="I361" s="243"/>
      <c r="J361" s="243"/>
      <c r="K361" s="243"/>
      <c r="L361" s="243"/>
      <c r="M361" s="243"/>
      <c r="N361" s="243"/>
      <c r="O361" s="243"/>
      <c r="P361" s="243"/>
      <c r="Q361" s="243"/>
      <c r="R361" s="243"/>
      <c r="S361" s="243"/>
      <c r="T361" s="243"/>
      <c r="U361" s="243"/>
      <c r="V361" s="243"/>
      <c r="W361" s="243"/>
      <c r="X361" s="243"/>
      <c r="Y361" s="243"/>
      <c r="Z361" s="243"/>
      <c r="AA361" s="243"/>
      <c r="AB361" s="243"/>
      <c r="AC361" s="243"/>
      <c r="AD361" s="243"/>
      <c r="AE361" s="243"/>
      <c r="AF361" s="243"/>
      <c r="AG361" s="243"/>
      <c r="AH361" s="243"/>
      <c r="AI361" s="243"/>
      <c r="AJ361" s="243"/>
      <c r="AK361" s="243"/>
      <c r="AL361" s="243"/>
      <c r="AM361" s="243"/>
      <c r="AN361" s="243"/>
      <c r="AO361" s="243"/>
      <c r="AP361" s="243"/>
      <c r="AQ361" s="243"/>
      <c r="AR361" s="243"/>
      <c r="AS361" s="243"/>
      <c r="AT361" s="243"/>
      <c r="AU361" s="257"/>
    </row>
    <row r="362" spans="1:47" ht="60" customHeight="1" x14ac:dyDescent="0.35">
      <c r="A362" s="253" t="s">
        <v>5366</v>
      </c>
      <c r="B362" s="231" t="s">
        <v>5526</v>
      </c>
      <c r="C362" s="232" t="s">
        <v>5542</v>
      </c>
      <c r="D362" s="235" t="s">
        <v>5543</v>
      </c>
      <c r="E362" s="236" t="s">
        <v>4959</v>
      </c>
      <c r="F362" s="239" t="s">
        <v>5529</v>
      </c>
      <c r="G362" s="242" t="str">
        <f>IF(COUNTIF(H362:AU362,"&lt;&gt;")=0,"",SUMPRODUCT(((Recommendations[ImplStatus]="Implemented")+(Recommendations[ImplStatus]="Compensated"))*ISNUMBER(MATCH(Recommendations[Id],H362:AU362,0)))/COUNTIF(H362:AU362,"&lt;&gt;"))</f>
        <v/>
      </c>
      <c r="H362" s="243"/>
      <c r="I362" s="243"/>
      <c r="J362" s="243"/>
      <c r="K362" s="243"/>
      <c r="L362" s="243"/>
      <c r="M362" s="243"/>
      <c r="N362" s="243"/>
      <c r="O362" s="243"/>
      <c r="P362" s="243"/>
      <c r="Q362" s="243"/>
      <c r="R362" s="243"/>
      <c r="S362" s="243"/>
      <c r="T362" s="243"/>
      <c r="U362" s="243"/>
      <c r="V362" s="243"/>
      <c r="W362" s="243"/>
      <c r="X362" s="243"/>
      <c r="Y362" s="243"/>
      <c r="Z362" s="243"/>
      <c r="AA362" s="243"/>
      <c r="AB362" s="243"/>
      <c r="AC362" s="243"/>
      <c r="AD362" s="243"/>
      <c r="AE362" s="243"/>
      <c r="AF362" s="243"/>
      <c r="AG362" s="243"/>
      <c r="AH362" s="243"/>
      <c r="AI362" s="243"/>
      <c r="AJ362" s="243"/>
      <c r="AK362" s="243"/>
      <c r="AL362" s="243"/>
      <c r="AM362" s="243"/>
      <c r="AN362" s="243"/>
      <c r="AO362" s="243"/>
      <c r="AP362" s="243"/>
      <c r="AQ362" s="243"/>
      <c r="AR362" s="243"/>
      <c r="AS362" s="243"/>
      <c r="AT362" s="243"/>
      <c r="AU362" s="257"/>
    </row>
    <row r="363" spans="1:47" ht="60" customHeight="1" x14ac:dyDescent="0.35">
      <c r="A363" s="253" t="s">
        <v>5366</v>
      </c>
      <c r="B363" s="231" t="s">
        <v>5526</v>
      </c>
      <c r="C363" s="232" t="s">
        <v>5544</v>
      </c>
      <c r="D363" s="235" t="s">
        <v>5545</v>
      </c>
      <c r="E363" s="236" t="s">
        <v>4959</v>
      </c>
      <c r="F363" s="239" t="s">
        <v>5529</v>
      </c>
      <c r="G363" s="242" t="str">
        <f>IF(COUNTIF(H363:AU363,"&lt;&gt;")=0,"",SUMPRODUCT(((Recommendations[ImplStatus]="Implemented")+(Recommendations[ImplStatus]="Compensated"))*ISNUMBER(MATCH(Recommendations[Id],H363:AU363,0)))/COUNTIF(H363:AU363,"&lt;&gt;"))</f>
        <v/>
      </c>
      <c r="H363" s="243"/>
      <c r="I363" s="243"/>
      <c r="J363" s="243"/>
      <c r="K363" s="243"/>
      <c r="L363" s="243"/>
      <c r="M363" s="243"/>
      <c r="N363" s="243"/>
      <c r="O363" s="243"/>
      <c r="P363" s="243"/>
      <c r="Q363" s="243"/>
      <c r="R363" s="243"/>
      <c r="S363" s="243"/>
      <c r="T363" s="243"/>
      <c r="U363" s="243"/>
      <c r="V363" s="243"/>
      <c r="W363" s="243"/>
      <c r="X363" s="243"/>
      <c r="Y363" s="243"/>
      <c r="Z363" s="243"/>
      <c r="AA363" s="243"/>
      <c r="AB363" s="243"/>
      <c r="AC363" s="243"/>
      <c r="AD363" s="243"/>
      <c r="AE363" s="243"/>
      <c r="AF363" s="243"/>
      <c r="AG363" s="243"/>
      <c r="AH363" s="243"/>
      <c r="AI363" s="243"/>
      <c r="AJ363" s="243"/>
      <c r="AK363" s="243"/>
      <c r="AL363" s="243"/>
      <c r="AM363" s="243"/>
      <c r="AN363" s="243"/>
      <c r="AO363" s="243"/>
      <c r="AP363" s="243"/>
      <c r="AQ363" s="243"/>
      <c r="AR363" s="243"/>
      <c r="AS363" s="243"/>
      <c r="AT363" s="243"/>
      <c r="AU363" s="257"/>
    </row>
    <row r="364" spans="1:47" ht="60" customHeight="1" x14ac:dyDescent="0.35">
      <c r="A364" s="253" t="s">
        <v>5366</v>
      </c>
      <c r="B364" s="231" t="s">
        <v>5526</v>
      </c>
      <c r="C364" s="232" t="s">
        <v>5546</v>
      </c>
      <c r="D364" s="235" t="s">
        <v>5547</v>
      </c>
      <c r="E364" s="236" t="s">
        <v>4959</v>
      </c>
      <c r="F364" s="239" t="s">
        <v>5529</v>
      </c>
      <c r="G364" s="242" t="str">
        <f>IF(COUNTIF(H364:AU364,"&lt;&gt;")=0,"",SUMPRODUCT(((Recommendations[ImplStatus]="Implemented")+(Recommendations[ImplStatus]="Compensated"))*ISNUMBER(MATCH(Recommendations[Id],H364:AU364,0)))/COUNTIF(H364:AU364,"&lt;&gt;"))</f>
        <v/>
      </c>
      <c r="H364" s="243"/>
      <c r="I364" s="243"/>
      <c r="J364" s="243"/>
      <c r="K364" s="243"/>
      <c r="L364" s="243"/>
      <c r="M364" s="243"/>
      <c r="N364" s="243"/>
      <c r="O364" s="243"/>
      <c r="P364" s="243"/>
      <c r="Q364" s="243"/>
      <c r="R364" s="243"/>
      <c r="S364" s="243"/>
      <c r="T364" s="243"/>
      <c r="U364" s="243"/>
      <c r="V364" s="243"/>
      <c r="W364" s="243"/>
      <c r="X364" s="243"/>
      <c r="Y364" s="243"/>
      <c r="Z364" s="243"/>
      <c r="AA364" s="243"/>
      <c r="AB364" s="243"/>
      <c r="AC364" s="243"/>
      <c r="AD364" s="243"/>
      <c r="AE364" s="243"/>
      <c r="AF364" s="243"/>
      <c r="AG364" s="243"/>
      <c r="AH364" s="243"/>
      <c r="AI364" s="243"/>
      <c r="AJ364" s="243"/>
      <c r="AK364" s="243"/>
      <c r="AL364" s="243"/>
      <c r="AM364" s="243"/>
      <c r="AN364" s="243"/>
      <c r="AO364" s="243"/>
      <c r="AP364" s="243"/>
      <c r="AQ364" s="243"/>
      <c r="AR364" s="243"/>
      <c r="AS364" s="243"/>
      <c r="AT364" s="243"/>
      <c r="AU364" s="257"/>
    </row>
    <row r="365" spans="1:47" ht="60" customHeight="1" x14ac:dyDescent="0.35">
      <c r="A365" s="253" t="s">
        <v>5366</v>
      </c>
      <c r="B365" s="231" t="s">
        <v>5526</v>
      </c>
      <c r="C365" s="232" t="s">
        <v>5548</v>
      </c>
      <c r="D365" s="235" t="s">
        <v>5549</v>
      </c>
      <c r="E365" s="236" t="s">
        <v>4959</v>
      </c>
      <c r="F365" s="239" t="s">
        <v>5529</v>
      </c>
      <c r="G365" s="242" t="str">
        <f>IF(COUNTIF(H365:AU365,"&lt;&gt;")=0,"",SUMPRODUCT(((Recommendations[ImplStatus]="Implemented")+(Recommendations[ImplStatus]="Compensated"))*ISNUMBER(MATCH(Recommendations[Id],H365:AU365,0)))/COUNTIF(H365:AU365,"&lt;&gt;"))</f>
        <v/>
      </c>
      <c r="H365" s="243"/>
      <c r="I365" s="243"/>
      <c r="J365" s="243"/>
      <c r="K365" s="243"/>
      <c r="L365" s="243"/>
      <c r="M365" s="243"/>
      <c r="N365" s="243"/>
      <c r="O365" s="243"/>
      <c r="P365" s="243"/>
      <c r="Q365" s="243"/>
      <c r="R365" s="243"/>
      <c r="S365" s="243"/>
      <c r="T365" s="243"/>
      <c r="U365" s="243"/>
      <c r="V365" s="243"/>
      <c r="W365" s="243"/>
      <c r="X365" s="243"/>
      <c r="Y365" s="243"/>
      <c r="Z365" s="243"/>
      <c r="AA365" s="243"/>
      <c r="AB365" s="243"/>
      <c r="AC365" s="243"/>
      <c r="AD365" s="243"/>
      <c r="AE365" s="243"/>
      <c r="AF365" s="243"/>
      <c r="AG365" s="243"/>
      <c r="AH365" s="243"/>
      <c r="AI365" s="243"/>
      <c r="AJ365" s="243"/>
      <c r="AK365" s="243"/>
      <c r="AL365" s="243"/>
      <c r="AM365" s="243"/>
      <c r="AN365" s="243"/>
      <c r="AO365" s="243"/>
      <c r="AP365" s="243"/>
      <c r="AQ365" s="243"/>
      <c r="AR365" s="243"/>
      <c r="AS365" s="243"/>
      <c r="AT365" s="243"/>
      <c r="AU365" s="257"/>
    </row>
    <row r="366" spans="1:47" ht="60" customHeight="1" x14ac:dyDescent="0.35">
      <c r="A366" s="253" t="s">
        <v>5366</v>
      </c>
      <c r="B366" s="231" t="s">
        <v>5526</v>
      </c>
      <c r="C366" s="232" t="s">
        <v>5550</v>
      </c>
      <c r="D366" s="235" t="s">
        <v>5551</v>
      </c>
      <c r="E366" s="236" t="s">
        <v>4959</v>
      </c>
      <c r="F366" s="239" t="s">
        <v>5529</v>
      </c>
      <c r="G366" s="242" t="str">
        <f>IF(COUNTIF(H366:AU366,"&lt;&gt;")=0,"",SUMPRODUCT(((Recommendations[ImplStatus]="Implemented")+(Recommendations[ImplStatus]="Compensated"))*ISNUMBER(MATCH(Recommendations[Id],H366:AU366,0)))/COUNTIF(H366:AU366,"&lt;&gt;"))</f>
        <v/>
      </c>
      <c r="H366" s="243"/>
      <c r="I366" s="243"/>
      <c r="J366" s="243"/>
      <c r="K366" s="243"/>
      <c r="L366" s="243"/>
      <c r="M366" s="243"/>
      <c r="N366" s="243"/>
      <c r="O366" s="243"/>
      <c r="P366" s="243"/>
      <c r="Q366" s="243"/>
      <c r="R366" s="243"/>
      <c r="S366" s="243"/>
      <c r="T366" s="243"/>
      <c r="U366" s="243"/>
      <c r="V366" s="243"/>
      <c r="W366" s="243"/>
      <c r="X366" s="243"/>
      <c r="Y366" s="243"/>
      <c r="Z366" s="243"/>
      <c r="AA366" s="243"/>
      <c r="AB366" s="243"/>
      <c r="AC366" s="243"/>
      <c r="AD366" s="243"/>
      <c r="AE366" s="243"/>
      <c r="AF366" s="243"/>
      <c r="AG366" s="243"/>
      <c r="AH366" s="243"/>
      <c r="AI366" s="243"/>
      <c r="AJ366" s="243"/>
      <c r="AK366" s="243"/>
      <c r="AL366" s="243"/>
      <c r="AM366" s="243"/>
      <c r="AN366" s="243"/>
      <c r="AO366" s="243"/>
      <c r="AP366" s="243"/>
      <c r="AQ366" s="243"/>
      <c r="AR366" s="243"/>
      <c r="AS366" s="243"/>
      <c r="AT366" s="243"/>
      <c r="AU366" s="257"/>
    </row>
    <row r="367" spans="1:47" ht="60" customHeight="1" x14ac:dyDescent="0.35">
      <c r="A367" s="253" t="s">
        <v>5366</v>
      </c>
      <c r="B367" s="231" t="s">
        <v>5526</v>
      </c>
      <c r="C367" s="232" t="s">
        <v>5552</v>
      </c>
      <c r="D367" s="235" t="s">
        <v>5553</v>
      </c>
      <c r="E367" s="236" t="s">
        <v>4959</v>
      </c>
      <c r="F367" s="239" t="s">
        <v>5529</v>
      </c>
      <c r="G367" s="242" t="str">
        <f>IF(COUNTIF(H367:AU367,"&lt;&gt;")=0,"",SUMPRODUCT(((Recommendations[ImplStatus]="Implemented")+(Recommendations[ImplStatus]="Compensated"))*ISNUMBER(MATCH(Recommendations[Id],H367:AU367,0)))/COUNTIF(H367:AU367,"&lt;&gt;"))</f>
        <v/>
      </c>
      <c r="H367" s="243"/>
      <c r="I367" s="243"/>
      <c r="J367" s="243"/>
      <c r="K367" s="243"/>
      <c r="L367" s="243"/>
      <c r="M367" s="243"/>
      <c r="N367" s="243"/>
      <c r="O367" s="243"/>
      <c r="P367" s="243"/>
      <c r="Q367" s="243"/>
      <c r="R367" s="243"/>
      <c r="S367" s="243"/>
      <c r="T367" s="243"/>
      <c r="U367" s="243"/>
      <c r="V367" s="243"/>
      <c r="W367" s="243"/>
      <c r="X367" s="243"/>
      <c r="Y367" s="243"/>
      <c r="Z367" s="243"/>
      <c r="AA367" s="243"/>
      <c r="AB367" s="243"/>
      <c r="AC367" s="243"/>
      <c r="AD367" s="243"/>
      <c r="AE367" s="243"/>
      <c r="AF367" s="243"/>
      <c r="AG367" s="243"/>
      <c r="AH367" s="243"/>
      <c r="AI367" s="243"/>
      <c r="AJ367" s="243"/>
      <c r="AK367" s="243"/>
      <c r="AL367" s="243"/>
      <c r="AM367" s="243"/>
      <c r="AN367" s="243"/>
      <c r="AO367" s="243"/>
      <c r="AP367" s="243"/>
      <c r="AQ367" s="243"/>
      <c r="AR367" s="243"/>
      <c r="AS367" s="243"/>
      <c r="AT367" s="243"/>
      <c r="AU367" s="257"/>
    </row>
    <row r="368" spans="1:47" ht="60" customHeight="1" x14ac:dyDescent="0.35">
      <c r="A368" s="253" t="s">
        <v>5366</v>
      </c>
      <c r="B368" s="231" t="s">
        <v>5526</v>
      </c>
      <c r="C368" s="232" t="s">
        <v>5554</v>
      </c>
      <c r="D368" s="235" t="s">
        <v>5555</v>
      </c>
      <c r="E368" s="236" t="s">
        <v>4959</v>
      </c>
      <c r="F368" s="239" t="s">
        <v>5529</v>
      </c>
      <c r="G368" s="242">
        <f>IF(COUNTIF(H368:AU368,"&lt;&gt;")=0,"",SUMPRODUCT(((Recommendations[ImplStatus]="Implemented")+(Recommendations[ImplStatus]="Compensated"))*ISNUMBER(MATCH(Recommendations[Id],H368:AU368,0)))/COUNTIF(H368:AU368,"&lt;&gt;"))</f>
        <v>0</v>
      </c>
      <c r="H368" s="243" t="s">
        <v>399</v>
      </c>
      <c r="I368" s="243" t="s">
        <v>421</v>
      </c>
      <c r="J368" s="243" t="s">
        <v>449</v>
      </c>
      <c r="K368" s="243" t="s">
        <v>892</v>
      </c>
      <c r="L368" s="243" t="s">
        <v>898</v>
      </c>
      <c r="M368" s="243" t="s">
        <v>904</v>
      </c>
      <c r="N368" s="243"/>
      <c r="O368" s="243"/>
      <c r="P368" s="243"/>
      <c r="Q368" s="243"/>
      <c r="R368" s="243"/>
      <c r="S368" s="243"/>
      <c r="T368" s="243"/>
      <c r="U368" s="243"/>
      <c r="V368" s="243"/>
      <c r="W368" s="243"/>
      <c r="X368" s="243"/>
      <c r="Y368" s="243"/>
      <c r="Z368" s="243"/>
      <c r="AA368" s="243"/>
      <c r="AB368" s="243"/>
      <c r="AC368" s="243"/>
      <c r="AD368" s="243"/>
      <c r="AE368" s="243"/>
      <c r="AF368" s="243"/>
      <c r="AG368" s="243"/>
      <c r="AH368" s="243"/>
      <c r="AI368" s="243"/>
      <c r="AJ368" s="243"/>
      <c r="AK368" s="243"/>
      <c r="AL368" s="243"/>
      <c r="AM368" s="243"/>
      <c r="AN368" s="243"/>
      <c r="AO368" s="243"/>
      <c r="AP368" s="243"/>
      <c r="AQ368" s="243"/>
      <c r="AR368" s="243"/>
      <c r="AS368" s="243"/>
      <c r="AT368" s="243"/>
      <c r="AU368" s="257"/>
    </row>
    <row r="369" spans="1:47" ht="60" customHeight="1" x14ac:dyDescent="0.35">
      <c r="A369" s="253" t="s">
        <v>5366</v>
      </c>
      <c r="B369" s="231" t="s">
        <v>5526</v>
      </c>
      <c r="C369" s="232" t="s">
        <v>5556</v>
      </c>
      <c r="D369" s="235" t="s">
        <v>5557</v>
      </c>
      <c r="E369" s="236" t="s">
        <v>4959</v>
      </c>
      <c r="F369" s="239" t="s">
        <v>5529</v>
      </c>
      <c r="G369" s="242" t="str">
        <f>IF(COUNTIF(H369:AU369,"&lt;&gt;")=0,"",SUMPRODUCT(((Recommendations[ImplStatus]="Implemented")+(Recommendations[ImplStatus]="Compensated"))*ISNUMBER(MATCH(Recommendations[Id],H369:AU369,0)))/COUNTIF(H369:AU369,"&lt;&gt;"))</f>
        <v/>
      </c>
      <c r="H369" s="243"/>
      <c r="I369" s="243"/>
      <c r="J369" s="243"/>
      <c r="K369" s="243"/>
      <c r="L369" s="243"/>
      <c r="M369" s="243"/>
      <c r="N369" s="243"/>
      <c r="O369" s="243"/>
      <c r="P369" s="243"/>
      <c r="Q369" s="243"/>
      <c r="R369" s="243"/>
      <c r="S369" s="243"/>
      <c r="T369" s="243"/>
      <c r="U369" s="243"/>
      <c r="V369" s="243"/>
      <c r="W369" s="243"/>
      <c r="X369" s="243"/>
      <c r="Y369" s="243"/>
      <c r="Z369" s="243"/>
      <c r="AA369" s="243"/>
      <c r="AB369" s="243"/>
      <c r="AC369" s="243"/>
      <c r="AD369" s="243"/>
      <c r="AE369" s="243"/>
      <c r="AF369" s="243"/>
      <c r="AG369" s="243"/>
      <c r="AH369" s="243"/>
      <c r="AI369" s="243"/>
      <c r="AJ369" s="243"/>
      <c r="AK369" s="243"/>
      <c r="AL369" s="243"/>
      <c r="AM369" s="243"/>
      <c r="AN369" s="243"/>
      <c r="AO369" s="243"/>
      <c r="AP369" s="243"/>
      <c r="AQ369" s="243"/>
      <c r="AR369" s="243"/>
      <c r="AS369" s="243"/>
      <c r="AT369" s="243"/>
      <c r="AU369" s="257"/>
    </row>
    <row r="370" spans="1:47" ht="60" customHeight="1" outlineLevel="1" x14ac:dyDescent="0.35">
      <c r="A370" s="251" t="s">
        <v>5558</v>
      </c>
      <c r="B370" s="229"/>
      <c r="C370" s="229"/>
      <c r="D370" s="233"/>
      <c r="E370" s="229"/>
      <c r="F370" s="237"/>
      <c r="G370" s="240" t="str">
        <f>IF(COUNTIF(H370:AU370,"&lt;&gt;")=0,"",SUMPRODUCT(((Recommendations[ImplStatus]="Implemented")+(Recommendations[ImplStatus]="Compensated"))*ISNUMBER(MATCH(Recommendations[Id],H370:AU370,0)))/COUNTIF(H370:AU370,"&lt;&gt;"))</f>
        <v/>
      </c>
      <c r="H370" s="237"/>
      <c r="I370" s="237"/>
      <c r="J370" s="237"/>
      <c r="K370" s="237"/>
      <c r="L370" s="237"/>
      <c r="M370" s="237"/>
      <c r="N370" s="237"/>
      <c r="O370" s="237"/>
      <c r="P370" s="237"/>
      <c r="Q370" s="237"/>
      <c r="R370" s="237"/>
      <c r="S370" s="237"/>
      <c r="T370" s="237"/>
      <c r="U370" s="237"/>
      <c r="V370" s="237"/>
      <c r="W370" s="237"/>
      <c r="X370" s="237"/>
      <c r="Y370" s="237"/>
      <c r="Z370" s="237"/>
      <c r="AA370" s="237"/>
      <c r="AB370" s="237"/>
      <c r="AC370" s="237"/>
      <c r="AD370" s="237"/>
      <c r="AE370" s="237"/>
      <c r="AF370" s="237"/>
      <c r="AG370" s="237"/>
      <c r="AH370" s="237"/>
      <c r="AI370" s="237"/>
      <c r="AJ370" s="237"/>
      <c r="AK370" s="237"/>
      <c r="AL370" s="237"/>
      <c r="AM370" s="237"/>
      <c r="AN370" s="237"/>
      <c r="AO370" s="237"/>
      <c r="AP370" s="237"/>
      <c r="AQ370" s="237"/>
      <c r="AR370" s="237"/>
      <c r="AS370" s="237"/>
      <c r="AT370" s="237"/>
      <c r="AU370" s="255"/>
    </row>
    <row r="371" spans="1:47" ht="60" customHeight="1" outlineLevel="2" x14ac:dyDescent="0.35">
      <c r="A371" s="252" t="s">
        <v>5558</v>
      </c>
      <c r="B371" s="230" t="s">
        <v>5559</v>
      </c>
      <c r="C371" s="230"/>
      <c r="D371" s="234"/>
      <c r="E371" s="230"/>
      <c r="F371" s="238"/>
      <c r="G371" s="241" t="str">
        <f>IF(COUNTIF(H371:AU371,"&lt;&gt;")=0,"",SUMPRODUCT(((Recommendations[ImplStatus]="Implemented")+(Recommendations[ImplStatus]="Compensated"))*ISNUMBER(MATCH(Recommendations[Id],H371:AU371,0)))/COUNTIF(H371:AU371,"&lt;&gt;"))</f>
        <v/>
      </c>
      <c r="H371" s="238"/>
      <c r="I371" s="238"/>
      <c r="J371" s="238"/>
      <c r="K371" s="238"/>
      <c r="L371" s="238"/>
      <c r="M371" s="238"/>
      <c r="N371" s="238"/>
      <c r="O371" s="238"/>
      <c r="P371" s="238"/>
      <c r="Q371" s="238"/>
      <c r="R371" s="238"/>
      <c r="S371" s="238"/>
      <c r="T371" s="238"/>
      <c r="U371" s="238"/>
      <c r="V371" s="238"/>
      <c r="W371" s="238"/>
      <c r="X371" s="238"/>
      <c r="Y371" s="238"/>
      <c r="Z371" s="238"/>
      <c r="AA371" s="238"/>
      <c r="AB371" s="238"/>
      <c r="AC371" s="238"/>
      <c r="AD371" s="238"/>
      <c r="AE371" s="238"/>
      <c r="AF371" s="238"/>
      <c r="AG371" s="238"/>
      <c r="AH371" s="238"/>
      <c r="AI371" s="238"/>
      <c r="AJ371" s="238"/>
      <c r="AK371" s="238"/>
      <c r="AL371" s="238"/>
      <c r="AM371" s="238"/>
      <c r="AN371" s="238"/>
      <c r="AO371" s="238"/>
      <c r="AP371" s="238"/>
      <c r="AQ371" s="238"/>
      <c r="AR371" s="238"/>
      <c r="AS371" s="238"/>
      <c r="AT371" s="238"/>
      <c r="AU371" s="256"/>
    </row>
    <row r="372" spans="1:47" ht="60" customHeight="1" x14ac:dyDescent="0.35">
      <c r="A372" s="253" t="s">
        <v>5558</v>
      </c>
      <c r="B372" s="231" t="s">
        <v>5559</v>
      </c>
      <c r="C372" s="232" t="s">
        <v>5560</v>
      </c>
      <c r="D372" s="235" t="s">
        <v>5561</v>
      </c>
      <c r="E372" s="236" t="s">
        <v>4815</v>
      </c>
      <c r="F372" s="239" t="s">
        <v>5562</v>
      </c>
      <c r="G372" s="242" t="str">
        <f>IF(COUNTIF(H372:AU372,"&lt;&gt;")=0,"",SUMPRODUCT(((Recommendations[ImplStatus]="Implemented")+(Recommendations[ImplStatus]="Compensated"))*ISNUMBER(MATCH(Recommendations[Id],H372:AU372,0)))/COUNTIF(H372:AU372,"&lt;&gt;"))</f>
        <v/>
      </c>
      <c r="H372" s="243"/>
      <c r="I372" s="243"/>
      <c r="J372" s="243"/>
      <c r="K372" s="243"/>
      <c r="L372" s="243"/>
      <c r="M372" s="243"/>
      <c r="N372" s="243"/>
      <c r="O372" s="243"/>
      <c r="P372" s="243"/>
      <c r="Q372" s="243"/>
      <c r="R372" s="243"/>
      <c r="S372" s="243"/>
      <c r="T372" s="243"/>
      <c r="U372" s="243"/>
      <c r="V372" s="243"/>
      <c r="W372" s="243"/>
      <c r="X372" s="243"/>
      <c r="Y372" s="243"/>
      <c r="Z372" s="243"/>
      <c r="AA372" s="243"/>
      <c r="AB372" s="243"/>
      <c r="AC372" s="243"/>
      <c r="AD372" s="243"/>
      <c r="AE372" s="243"/>
      <c r="AF372" s="243"/>
      <c r="AG372" s="243"/>
      <c r="AH372" s="243"/>
      <c r="AI372" s="243"/>
      <c r="AJ372" s="243"/>
      <c r="AK372" s="243"/>
      <c r="AL372" s="243"/>
      <c r="AM372" s="243"/>
      <c r="AN372" s="243"/>
      <c r="AO372" s="243"/>
      <c r="AP372" s="243"/>
      <c r="AQ372" s="243"/>
      <c r="AR372" s="243"/>
      <c r="AS372" s="243"/>
      <c r="AT372" s="243"/>
      <c r="AU372" s="257"/>
    </row>
    <row r="373" spans="1:47" ht="60" customHeight="1" x14ac:dyDescent="0.35">
      <c r="A373" s="253" t="s">
        <v>5558</v>
      </c>
      <c r="B373" s="231" t="s">
        <v>5559</v>
      </c>
      <c r="C373" s="232" t="s">
        <v>5563</v>
      </c>
      <c r="D373" s="235" t="s">
        <v>5564</v>
      </c>
      <c r="E373" s="236" t="s">
        <v>4815</v>
      </c>
      <c r="F373" s="239" t="s">
        <v>5565</v>
      </c>
      <c r="G373" s="242" t="str">
        <f>IF(COUNTIF(H373:AU373,"&lt;&gt;")=0,"",SUMPRODUCT(((Recommendations[ImplStatus]="Implemented")+(Recommendations[ImplStatus]="Compensated"))*ISNUMBER(MATCH(Recommendations[Id],H373:AU373,0)))/COUNTIF(H373:AU373,"&lt;&gt;"))</f>
        <v/>
      </c>
      <c r="H373" s="243"/>
      <c r="I373" s="243"/>
      <c r="J373" s="243"/>
      <c r="K373" s="243"/>
      <c r="L373" s="243"/>
      <c r="M373" s="243"/>
      <c r="N373" s="243"/>
      <c r="O373" s="243"/>
      <c r="P373" s="243"/>
      <c r="Q373" s="243"/>
      <c r="R373" s="243"/>
      <c r="S373" s="243"/>
      <c r="T373" s="243"/>
      <c r="U373" s="243"/>
      <c r="V373" s="243"/>
      <c r="W373" s="243"/>
      <c r="X373" s="243"/>
      <c r="Y373" s="243"/>
      <c r="Z373" s="243"/>
      <c r="AA373" s="243"/>
      <c r="AB373" s="243"/>
      <c r="AC373" s="243"/>
      <c r="AD373" s="243"/>
      <c r="AE373" s="243"/>
      <c r="AF373" s="243"/>
      <c r="AG373" s="243"/>
      <c r="AH373" s="243"/>
      <c r="AI373" s="243"/>
      <c r="AJ373" s="243"/>
      <c r="AK373" s="243"/>
      <c r="AL373" s="243"/>
      <c r="AM373" s="243"/>
      <c r="AN373" s="243"/>
      <c r="AO373" s="243"/>
      <c r="AP373" s="243"/>
      <c r="AQ373" s="243"/>
      <c r="AR373" s="243"/>
      <c r="AS373" s="243"/>
      <c r="AT373" s="243"/>
      <c r="AU373" s="257"/>
    </row>
    <row r="374" spans="1:47" ht="60" customHeight="1" x14ac:dyDescent="0.35">
      <c r="A374" s="253" t="s">
        <v>5558</v>
      </c>
      <c r="B374" s="231" t="s">
        <v>5559</v>
      </c>
      <c r="C374" s="232" t="s">
        <v>5566</v>
      </c>
      <c r="D374" s="235" t="s">
        <v>5567</v>
      </c>
      <c r="E374" s="236" t="s">
        <v>4844</v>
      </c>
      <c r="F374" s="239" t="s">
        <v>5565</v>
      </c>
      <c r="G374" s="242" t="str">
        <f>IF(COUNTIF(H374:AU374,"&lt;&gt;")=0,"",SUMPRODUCT(((Recommendations[ImplStatus]="Implemented")+(Recommendations[ImplStatus]="Compensated"))*ISNUMBER(MATCH(Recommendations[Id],H374:AU374,0)))/COUNTIF(H374:AU374,"&lt;&gt;"))</f>
        <v/>
      </c>
      <c r="H374" s="243"/>
      <c r="I374" s="243"/>
      <c r="J374" s="243"/>
      <c r="K374" s="243"/>
      <c r="L374" s="243"/>
      <c r="M374" s="243"/>
      <c r="N374" s="243"/>
      <c r="O374" s="243"/>
      <c r="P374" s="243"/>
      <c r="Q374" s="243"/>
      <c r="R374" s="243"/>
      <c r="S374" s="243"/>
      <c r="T374" s="243"/>
      <c r="U374" s="243"/>
      <c r="V374" s="243"/>
      <c r="W374" s="243"/>
      <c r="X374" s="243"/>
      <c r="Y374" s="243"/>
      <c r="Z374" s="243"/>
      <c r="AA374" s="243"/>
      <c r="AB374" s="243"/>
      <c r="AC374" s="243"/>
      <c r="AD374" s="243"/>
      <c r="AE374" s="243"/>
      <c r="AF374" s="243"/>
      <c r="AG374" s="243"/>
      <c r="AH374" s="243"/>
      <c r="AI374" s="243"/>
      <c r="AJ374" s="243"/>
      <c r="AK374" s="243"/>
      <c r="AL374" s="243"/>
      <c r="AM374" s="243"/>
      <c r="AN374" s="243"/>
      <c r="AO374" s="243"/>
      <c r="AP374" s="243"/>
      <c r="AQ374" s="243"/>
      <c r="AR374" s="243"/>
      <c r="AS374" s="243"/>
      <c r="AT374" s="243"/>
      <c r="AU374" s="257"/>
    </row>
    <row r="375" spans="1:47" ht="60" customHeight="1" x14ac:dyDescent="0.35">
      <c r="A375" s="253" t="s">
        <v>5558</v>
      </c>
      <c r="B375" s="231" t="s">
        <v>5559</v>
      </c>
      <c r="C375" s="232" t="s">
        <v>5568</v>
      </c>
      <c r="D375" s="235" t="s">
        <v>5569</v>
      </c>
      <c r="E375" s="236" t="s">
        <v>4844</v>
      </c>
      <c r="F375" s="239" t="s">
        <v>5565</v>
      </c>
      <c r="G375" s="242" t="str">
        <f>IF(COUNTIF(H375:AU375,"&lt;&gt;")=0,"",SUMPRODUCT(((Recommendations[ImplStatus]="Implemented")+(Recommendations[ImplStatus]="Compensated"))*ISNUMBER(MATCH(Recommendations[Id],H375:AU375,0)))/COUNTIF(H375:AU375,"&lt;&gt;"))</f>
        <v/>
      </c>
      <c r="H375" s="243"/>
      <c r="I375" s="243"/>
      <c r="J375" s="243"/>
      <c r="K375" s="243"/>
      <c r="L375" s="243"/>
      <c r="M375" s="243"/>
      <c r="N375" s="243"/>
      <c r="O375" s="243"/>
      <c r="P375" s="243"/>
      <c r="Q375" s="243"/>
      <c r="R375" s="243"/>
      <c r="S375" s="243"/>
      <c r="T375" s="243"/>
      <c r="U375" s="243"/>
      <c r="V375" s="243"/>
      <c r="W375" s="243"/>
      <c r="X375" s="243"/>
      <c r="Y375" s="243"/>
      <c r="Z375" s="243"/>
      <c r="AA375" s="243"/>
      <c r="AB375" s="243"/>
      <c r="AC375" s="243"/>
      <c r="AD375" s="243"/>
      <c r="AE375" s="243"/>
      <c r="AF375" s="243"/>
      <c r="AG375" s="243"/>
      <c r="AH375" s="243"/>
      <c r="AI375" s="243"/>
      <c r="AJ375" s="243"/>
      <c r="AK375" s="243"/>
      <c r="AL375" s="243"/>
      <c r="AM375" s="243"/>
      <c r="AN375" s="243"/>
      <c r="AO375" s="243"/>
      <c r="AP375" s="243"/>
      <c r="AQ375" s="243"/>
      <c r="AR375" s="243"/>
      <c r="AS375" s="243"/>
      <c r="AT375" s="243"/>
      <c r="AU375" s="257"/>
    </row>
    <row r="376" spans="1:47" ht="60" customHeight="1" x14ac:dyDescent="0.35">
      <c r="A376" s="253" t="s">
        <v>5558</v>
      </c>
      <c r="B376" s="231" t="s">
        <v>5559</v>
      </c>
      <c r="C376" s="232" t="s">
        <v>5570</v>
      </c>
      <c r="D376" s="235" t="s">
        <v>5571</v>
      </c>
      <c r="E376" s="236" t="s">
        <v>4844</v>
      </c>
      <c r="F376" s="239" t="s">
        <v>5427</v>
      </c>
      <c r="G376" s="242" t="str">
        <f>IF(COUNTIF(H376:AU376,"&lt;&gt;")=0,"",SUMPRODUCT(((Recommendations[ImplStatus]="Implemented")+(Recommendations[ImplStatus]="Compensated"))*ISNUMBER(MATCH(Recommendations[Id],H376:AU376,0)))/COUNTIF(H376:AU376,"&lt;&gt;"))</f>
        <v/>
      </c>
      <c r="H376" s="243"/>
      <c r="I376" s="243"/>
      <c r="J376" s="243"/>
      <c r="K376" s="243"/>
      <c r="L376" s="243"/>
      <c r="M376" s="243"/>
      <c r="N376" s="243"/>
      <c r="O376" s="243"/>
      <c r="P376" s="243"/>
      <c r="Q376" s="243"/>
      <c r="R376" s="243"/>
      <c r="S376" s="243"/>
      <c r="T376" s="243"/>
      <c r="U376" s="243"/>
      <c r="V376" s="243"/>
      <c r="W376" s="243"/>
      <c r="X376" s="243"/>
      <c r="Y376" s="243"/>
      <c r="Z376" s="243"/>
      <c r="AA376" s="243"/>
      <c r="AB376" s="243"/>
      <c r="AC376" s="243"/>
      <c r="AD376" s="243"/>
      <c r="AE376" s="243"/>
      <c r="AF376" s="243"/>
      <c r="AG376" s="243"/>
      <c r="AH376" s="243"/>
      <c r="AI376" s="243"/>
      <c r="AJ376" s="243"/>
      <c r="AK376" s="243"/>
      <c r="AL376" s="243"/>
      <c r="AM376" s="243"/>
      <c r="AN376" s="243"/>
      <c r="AO376" s="243"/>
      <c r="AP376" s="243"/>
      <c r="AQ376" s="243"/>
      <c r="AR376" s="243"/>
      <c r="AS376" s="243"/>
      <c r="AT376" s="243"/>
      <c r="AU376" s="257"/>
    </row>
    <row r="377" spans="1:47" ht="60" customHeight="1" x14ac:dyDescent="0.35">
      <c r="A377" s="253" t="s">
        <v>5558</v>
      </c>
      <c r="B377" s="231" t="s">
        <v>5559</v>
      </c>
      <c r="C377" s="232" t="s">
        <v>5572</v>
      </c>
      <c r="D377" s="235" t="s">
        <v>5573</v>
      </c>
      <c r="E377" s="236" t="s">
        <v>4911</v>
      </c>
      <c r="F377" s="239" t="s">
        <v>5385</v>
      </c>
      <c r="G377" s="242" t="str">
        <f>IF(COUNTIF(H377:AU377,"&lt;&gt;")=0,"",SUMPRODUCT(((Recommendations[ImplStatus]="Implemented")+(Recommendations[ImplStatus]="Compensated"))*ISNUMBER(MATCH(Recommendations[Id],H377:AU377,0)))/COUNTIF(H377:AU377,"&lt;&gt;"))</f>
        <v/>
      </c>
      <c r="H377" s="243"/>
      <c r="I377" s="243"/>
      <c r="J377" s="243"/>
      <c r="K377" s="243"/>
      <c r="L377" s="243"/>
      <c r="M377" s="243"/>
      <c r="N377" s="243"/>
      <c r="O377" s="243"/>
      <c r="P377" s="243"/>
      <c r="Q377" s="243"/>
      <c r="R377" s="243"/>
      <c r="S377" s="243"/>
      <c r="T377" s="243"/>
      <c r="U377" s="243"/>
      <c r="V377" s="243"/>
      <c r="W377" s="243"/>
      <c r="X377" s="243"/>
      <c r="Y377" s="243"/>
      <c r="Z377" s="243"/>
      <c r="AA377" s="243"/>
      <c r="AB377" s="243"/>
      <c r="AC377" s="243"/>
      <c r="AD377" s="243"/>
      <c r="AE377" s="243"/>
      <c r="AF377" s="243"/>
      <c r="AG377" s="243"/>
      <c r="AH377" s="243"/>
      <c r="AI377" s="243"/>
      <c r="AJ377" s="243"/>
      <c r="AK377" s="243"/>
      <c r="AL377" s="243"/>
      <c r="AM377" s="243"/>
      <c r="AN377" s="243"/>
      <c r="AO377" s="243"/>
      <c r="AP377" s="243"/>
      <c r="AQ377" s="243"/>
      <c r="AR377" s="243"/>
      <c r="AS377" s="243"/>
      <c r="AT377" s="243"/>
      <c r="AU377" s="257"/>
    </row>
    <row r="378" spans="1:47" ht="60" customHeight="1" x14ac:dyDescent="0.35">
      <c r="A378" s="253" t="s">
        <v>5558</v>
      </c>
      <c r="B378" s="231" t="s">
        <v>5559</v>
      </c>
      <c r="C378" s="232" t="s">
        <v>5574</v>
      </c>
      <c r="D378" s="235" t="s">
        <v>5575</v>
      </c>
      <c r="E378" s="236" t="s">
        <v>4911</v>
      </c>
      <c r="F378" s="239" t="s">
        <v>5565</v>
      </c>
      <c r="G378" s="242" t="str">
        <f>IF(COUNTIF(H378:AU378,"&lt;&gt;")=0,"",SUMPRODUCT(((Recommendations[ImplStatus]="Implemented")+(Recommendations[ImplStatus]="Compensated"))*ISNUMBER(MATCH(Recommendations[Id],H378:AU378,0)))/COUNTIF(H378:AU378,"&lt;&gt;"))</f>
        <v/>
      </c>
      <c r="H378" s="243"/>
      <c r="I378" s="243"/>
      <c r="J378" s="243"/>
      <c r="K378" s="243"/>
      <c r="L378" s="243"/>
      <c r="M378" s="243"/>
      <c r="N378" s="243"/>
      <c r="O378" s="243"/>
      <c r="P378" s="243"/>
      <c r="Q378" s="243"/>
      <c r="R378" s="243"/>
      <c r="S378" s="243"/>
      <c r="T378" s="243"/>
      <c r="U378" s="243"/>
      <c r="V378" s="243"/>
      <c r="W378" s="243"/>
      <c r="X378" s="243"/>
      <c r="Y378" s="243"/>
      <c r="Z378" s="243"/>
      <c r="AA378" s="243"/>
      <c r="AB378" s="243"/>
      <c r="AC378" s="243"/>
      <c r="AD378" s="243"/>
      <c r="AE378" s="243"/>
      <c r="AF378" s="243"/>
      <c r="AG378" s="243"/>
      <c r="AH378" s="243"/>
      <c r="AI378" s="243"/>
      <c r="AJ378" s="243"/>
      <c r="AK378" s="243"/>
      <c r="AL378" s="243"/>
      <c r="AM378" s="243"/>
      <c r="AN378" s="243"/>
      <c r="AO378" s="243"/>
      <c r="AP378" s="243"/>
      <c r="AQ378" s="243"/>
      <c r="AR378" s="243"/>
      <c r="AS378" s="243"/>
      <c r="AT378" s="243"/>
      <c r="AU378" s="257"/>
    </row>
    <row r="379" spans="1:47" ht="60" customHeight="1" x14ac:dyDescent="0.35">
      <c r="A379" s="253" t="s">
        <v>5558</v>
      </c>
      <c r="B379" s="231" t="s">
        <v>5559</v>
      </c>
      <c r="C379" s="232" t="s">
        <v>5576</v>
      </c>
      <c r="D379" s="235" t="s">
        <v>5577</v>
      </c>
      <c r="E379" s="236" t="s">
        <v>4911</v>
      </c>
      <c r="F379" s="239" t="s">
        <v>5562</v>
      </c>
      <c r="G379" s="242" t="str">
        <f>IF(COUNTIF(H379:AU379,"&lt;&gt;")=0,"",SUMPRODUCT(((Recommendations[ImplStatus]="Implemented")+(Recommendations[ImplStatus]="Compensated"))*ISNUMBER(MATCH(Recommendations[Id],H379:AU379,0)))/COUNTIF(H379:AU379,"&lt;&gt;"))</f>
        <v/>
      </c>
      <c r="H379" s="243"/>
      <c r="I379" s="243"/>
      <c r="J379" s="243"/>
      <c r="K379" s="243"/>
      <c r="L379" s="243"/>
      <c r="M379" s="243"/>
      <c r="N379" s="243"/>
      <c r="O379" s="243"/>
      <c r="P379" s="243"/>
      <c r="Q379" s="243"/>
      <c r="R379" s="243"/>
      <c r="S379" s="243"/>
      <c r="T379" s="243"/>
      <c r="U379" s="243"/>
      <c r="V379" s="243"/>
      <c r="W379" s="243"/>
      <c r="X379" s="243"/>
      <c r="Y379" s="243"/>
      <c r="Z379" s="243"/>
      <c r="AA379" s="243"/>
      <c r="AB379" s="243"/>
      <c r="AC379" s="243"/>
      <c r="AD379" s="243"/>
      <c r="AE379" s="243"/>
      <c r="AF379" s="243"/>
      <c r="AG379" s="243"/>
      <c r="AH379" s="243"/>
      <c r="AI379" s="243"/>
      <c r="AJ379" s="243"/>
      <c r="AK379" s="243"/>
      <c r="AL379" s="243"/>
      <c r="AM379" s="243"/>
      <c r="AN379" s="243"/>
      <c r="AO379" s="243"/>
      <c r="AP379" s="243"/>
      <c r="AQ379" s="243"/>
      <c r="AR379" s="243"/>
      <c r="AS379" s="243"/>
      <c r="AT379" s="243"/>
      <c r="AU379" s="257"/>
    </row>
    <row r="380" spans="1:47" ht="60" customHeight="1" x14ac:dyDescent="0.35">
      <c r="A380" s="253" t="s">
        <v>5558</v>
      </c>
      <c r="B380" s="231" t="s">
        <v>5559</v>
      </c>
      <c r="C380" s="232" t="s">
        <v>5578</v>
      </c>
      <c r="D380" s="235" t="s">
        <v>5579</v>
      </c>
      <c r="E380" s="236" t="s">
        <v>4911</v>
      </c>
      <c r="F380" s="239" t="s">
        <v>5562</v>
      </c>
      <c r="G380" s="242" t="str">
        <f>IF(COUNTIF(H380:AU380,"&lt;&gt;")=0,"",SUMPRODUCT(((Recommendations[ImplStatus]="Implemented")+(Recommendations[ImplStatus]="Compensated"))*ISNUMBER(MATCH(Recommendations[Id],H380:AU380,0)))/COUNTIF(H380:AU380,"&lt;&gt;"))</f>
        <v/>
      </c>
      <c r="H380" s="243"/>
      <c r="I380" s="243"/>
      <c r="J380" s="243"/>
      <c r="K380" s="243"/>
      <c r="L380" s="243"/>
      <c r="M380" s="243"/>
      <c r="N380" s="243"/>
      <c r="O380" s="243"/>
      <c r="P380" s="243"/>
      <c r="Q380" s="243"/>
      <c r="R380" s="243"/>
      <c r="S380" s="243"/>
      <c r="T380" s="243"/>
      <c r="U380" s="243"/>
      <c r="V380" s="243"/>
      <c r="W380" s="243"/>
      <c r="X380" s="243"/>
      <c r="Y380" s="243"/>
      <c r="Z380" s="243"/>
      <c r="AA380" s="243"/>
      <c r="AB380" s="243"/>
      <c r="AC380" s="243"/>
      <c r="AD380" s="243"/>
      <c r="AE380" s="243"/>
      <c r="AF380" s="243"/>
      <c r="AG380" s="243"/>
      <c r="AH380" s="243"/>
      <c r="AI380" s="243"/>
      <c r="AJ380" s="243"/>
      <c r="AK380" s="243"/>
      <c r="AL380" s="243"/>
      <c r="AM380" s="243"/>
      <c r="AN380" s="243"/>
      <c r="AO380" s="243"/>
      <c r="AP380" s="243"/>
      <c r="AQ380" s="243"/>
      <c r="AR380" s="243"/>
      <c r="AS380" s="243"/>
      <c r="AT380" s="243"/>
      <c r="AU380" s="257"/>
    </row>
    <row r="381" spans="1:47" ht="60" customHeight="1" x14ac:dyDescent="0.35">
      <c r="A381" s="253" t="s">
        <v>5558</v>
      </c>
      <c r="B381" s="231" t="s">
        <v>5559</v>
      </c>
      <c r="C381" s="232" t="s">
        <v>5580</v>
      </c>
      <c r="D381" s="235" t="s">
        <v>5581</v>
      </c>
      <c r="E381" s="236" t="s">
        <v>4911</v>
      </c>
      <c r="F381" s="239" t="s">
        <v>5562</v>
      </c>
      <c r="G381" s="242" t="str">
        <f>IF(COUNTIF(H381:AU381,"&lt;&gt;")=0,"",SUMPRODUCT(((Recommendations[ImplStatus]="Implemented")+(Recommendations[ImplStatus]="Compensated"))*ISNUMBER(MATCH(Recommendations[Id],H381:AU381,0)))/COUNTIF(H381:AU381,"&lt;&gt;"))</f>
        <v/>
      </c>
      <c r="H381" s="243"/>
      <c r="I381" s="243"/>
      <c r="J381" s="243"/>
      <c r="K381" s="243"/>
      <c r="L381" s="243"/>
      <c r="M381" s="243"/>
      <c r="N381" s="243"/>
      <c r="O381" s="243"/>
      <c r="P381" s="243"/>
      <c r="Q381" s="243"/>
      <c r="R381" s="243"/>
      <c r="S381" s="243"/>
      <c r="T381" s="243"/>
      <c r="U381" s="243"/>
      <c r="V381" s="243"/>
      <c r="W381" s="243"/>
      <c r="X381" s="243"/>
      <c r="Y381" s="243"/>
      <c r="Z381" s="243"/>
      <c r="AA381" s="243"/>
      <c r="AB381" s="243"/>
      <c r="AC381" s="243"/>
      <c r="AD381" s="243"/>
      <c r="AE381" s="243"/>
      <c r="AF381" s="243"/>
      <c r="AG381" s="243"/>
      <c r="AH381" s="243"/>
      <c r="AI381" s="243"/>
      <c r="AJ381" s="243"/>
      <c r="AK381" s="243"/>
      <c r="AL381" s="243"/>
      <c r="AM381" s="243"/>
      <c r="AN381" s="243"/>
      <c r="AO381" s="243"/>
      <c r="AP381" s="243"/>
      <c r="AQ381" s="243"/>
      <c r="AR381" s="243"/>
      <c r="AS381" s="243"/>
      <c r="AT381" s="243"/>
      <c r="AU381" s="257"/>
    </row>
    <row r="382" spans="1:47" ht="60" customHeight="1" x14ac:dyDescent="0.35">
      <c r="A382" s="253" t="s">
        <v>5558</v>
      </c>
      <c r="B382" s="231" t="s">
        <v>5559</v>
      </c>
      <c r="C382" s="232" t="s">
        <v>5582</v>
      </c>
      <c r="D382" s="235" t="s">
        <v>5583</v>
      </c>
      <c r="E382" s="236" t="s">
        <v>4959</v>
      </c>
      <c r="F382" s="239" t="s">
        <v>5562</v>
      </c>
      <c r="G382" s="242" t="str">
        <f>IF(COUNTIF(H382:AU382,"&lt;&gt;")=0,"",SUMPRODUCT(((Recommendations[ImplStatus]="Implemented")+(Recommendations[ImplStatus]="Compensated"))*ISNUMBER(MATCH(Recommendations[Id],H382:AU382,0)))/COUNTIF(H382:AU382,"&lt;&gt;"))</f>
        <v/>
      </c>
      <c r="H382" s="243"/>
      <c r="I382" s="243"/>
      <c r="J382" s="243"/>
      <c r="K382" s="243"/>
      <c r="L382" s="243"/>
      <c r="M382" s="243"/>
      <c r="N382" s="243"/>
      <c r="O382" s="243"/>
      <c r="P382" s="243"/>
      <c r="Q382" s="243"/>
      <c r="R382" s="243"/>
      <c r="S382" s="243"/>
      <c r="T382" s="243"/>
      <c r="U382" s="243"/>
      <c r="V382" s="243"/>
      <c r="W382" s="243"/>
      <c r="X382" s="243"/>
      <c r="Y382" s="243"/>
      <c r="Z382" s="243"/>
      <c r="AA382" s="243"/>
      <c r="AB382" s="243"/>
      <c r="AC382" s="243"/>
      <c r="AD382" s="243"/>
      <c r="AE382" s="243"/>
      <c r="AF382" s="243"/>
      <c r="AG382" s="243"/>
      <c r="AH382" s="243"/>
      <c r="AI382" s="243"/>
      <c r="AJ382" s="243"/>
      <c r="AK382" s="243"/>
      <c r="AL382" s="243"/>
      <c r="AM382" s="243"/>
      <c r="AN382" s="243"/>
      <c r="AO382" s="243"/>
      <c r="AP382" s="243"/>
      <c r="AQ382" s="243"/>
      <c r="AR382" s="243"/>
      <c r="AS382" s="243"/>
      <c r="AT382" s="243"/>
      <c r="AU382" s="257"/>
    </row>
    <row r="383" spans="1:47" ht="60" customHeight="1" x14ac:dyDescent="0.35">
      <c r="A383" s="253" t="s">
        <v>5558</v>
      </c>
      <c r="B383" s="231" t="s">
        <v>5559</v>
      </c>
      <c r="C383" s="232" t="s">
        <v>5584</v>
      </c>
      <c r="D383" s="235" t="s">
        <v>5585</v>
      </c>
      <c r="E383" s="236" t="s">
        <v>4959</v>
      </c>
      <c r="F383" s="239" t="s">
        <v>5562</v>
      </c>
      <c r="G383" s="242" t="str">
        <f>IF(COUNTIF(H383:AU383,"&lt;&gt;")=0,"",SUMPRODUCT(((Recommendations[ImplStatus]="Implemented")+(Recommendations[ImplStatus]="Compensated"))*ISNUMBER(MATCH(Recommendations[Id],H383:AU383,0)))/COUNTIF(H383:AU383,"&lt;&gt;"))</f>
        <v/>
      </c>
      <c r="H383" s="243"/>
      <c r="I383" s="243"/>
      <c r="J383" s="243"/>
      <c r="K383" s="243"/>
      <c r="L383" s="243"/>
      <c r="M383" s="243"/>
      <c r="N383" s="243"/>
      <c r="O383" s="243"/>
      <c r="P383" s="243"/>
      <c r="Q383" s="243"/>
      <c r="R383" s="243"/>
      <c r="S383" s="243"/>
      <c r="T383" s="243"/>
      <c r="U383" s="243"/>
      <c r="V383" s="243"/>
      <c r="W383" s="243"/>
      <c r="X383" s="243"/>
      <c r="Y383" s="243"/>
      <c r="Z383" s="243"/>
      <c r="AA383" s="243"/>
      <c r="AB383" s="243"/>
      <c r="AC383" s="243"/>
      <c r="AD383" s="243"/>
      <c r="AE383" s="243"/>
      <c r="AF383" s="243"/>
      <c r="AG383" s="243"/>
      <c r="AH383" s="243"/>
      <c r="AI383" s="243"/>
      <c r="AJ383" s="243"/>
      <c r="AK383" s="243"/>
      <c r="AL383" s="243"/>
      <c r="AM383" s="243"/>
      <c r="AN383" s="243"/>
      <c r="AO383" s="243"/>
      <c r="AP383" s="243"/>
      <c r="AQ383" s="243"/>
      <c r="AR383" s="243"/>
      <c r="AS383" s="243"/>
      <c r="AT383" s="243"/>
      <c r="AU383" s="257"/>
    </row>
    <row r="384" spans="1:47" ht="60" customHeight="1" x14ac:dyDescent="0.35">
      <c r="A384" s="253" t="s">
        <v>5558</v>
      </c>
      <c r="B384" s="231" t="s">
        <v>5559</v>
      </c>
      <c r="C384" s="232" t="s">
        <v>5586</v>
      </c>
      <c r="D384" s="235" t="s">
        <v>5587</v>
      </c>
      <c r="E384" s="236" t="s">
        <v>4959</v>
      </c>
      <c r="F384" s="239" t="s">
        <v>5562</v>
      </c>
      <c r="G384" s="242" t="str">
        <f>IF(COUNTIF(H384:AU384,"&lt;&gt;")=0,"",SUMPRODUCT(((Recommendations[ImplStatus]="Implemented")+(Recommendations[ImplStatus]="Compensated"))*ISNUMBER(MATCH(Recommendations[Id],H384:AU384,0)))/COUNTIF(H384:AU384,"&lt;&gt;"))</f>
        <v/>
      </c>
      <c r="H384" s="243"/>
      <c r="I384" s="243"/>
      <c r="J384" s="243"/>
      <c r="K384" s="243"/>
      <c r="L384" s="243"/>
      <c r="M384" s="243"/>
      <c r="N384" s="243"/>
      <c r="O384" s="243"/>
      <c r="P384" s="243"/>
      <c r="Q384" s="243"/>
      <c r="R384" s="243"/>
      <c r="S384" s="243"/>
      <c r="T384" s="243"/>
      <c r="U384" s="243"/>
      <c r="V384" s="243"/>
      <c r="W384" s="243"/>
      <c r="X384" s="243"/>
      <c r="Y384" s="243"/>
      <c r="Z384" s="243"/>
      <c r="AA384" s="243"/>
      <c r="AB384" s="243"/>
      <c r="AC384" s="243"/>
      <c r="AD384" s="243"/>
      <c r="AE384" s="243"/>
      <c r="AF384" s="243"/>
      <c r="AG384" s="243"/>
      <c r="AH384" s="243"/>
      <c r="AI384" s="243"/>
      <c r="AJ384" s="243"/>
      <c r="AK384" s="243"/>
      <c r="AL384" s="243"/>
      <c r="AM384" s="243"/>
      <c r="AN384" s="243"/>
      <c r="AO384" s="243"/>
      <c r="AP384" s="243"/>
      <c r="AQ384" s="243"/>
      <c r="AR384" s="243"/>
      <c r="AS384" s="243"/>
      <c r="AT384" s="243"/>
      <c r="AU384" s="257"/>
    </row>
    <row r="385" spans="1:47" ht="60" customHeight="1" x14ac:dyDescent="0.35">
      <c r="A385" s="253" t="s">
        <v>5558</v>
      </c>
      <c r="B385" s="231" t="s">
        <v>5559</v>
      </c>
      <c r="C385" s="232" t="s">
        <v>5588</v>
      </c>
      <c r="D385" s="235" t="s">
        <v>5589</v>
      </c>
      <c r="E385" s="236" t="s">
        <v>4911</v>
      </c>
      <c r="F385" s="239" t="s">
        <v>5562</v>
      </c>
      <c r="G385" s="242" t="str">
        <f>IF(COUNTIF(H385:AU385,"&lt;&gt;")=0,"",SUMPRODUCT(((Recommendations[ImplStatus]="Implemented")+(Recommendations[ImplStatus]="Compensated"))*ISNUMBER(MATCH(Recommendations[Id],H385:AU385,0)))/COUNTIF(H385:AU385,"&lt;&gt;"))</f>
        <v/>
      </c>
      <c r="H385" s="243"/>
      <c r="I385" s="243"/>
      <c r="J385" s="243"/>
      <c r="K385" s="243"/>
      <c r="L385" s="243"/>
      <c r="M385" s="243"/>
      <c r="N385" s="243"/>
      <c r="O385" s="243"/>
      <c r="P385" s="243"/>
      <c r="Q385" s="243"/>
      <c r="R385" s="243"/>
      <c r="S385" s="243"/>
      <c r="T385" s="243"/>
      <c r="U385" s="243"/>
      <c r="V385" s="243"/>
      <c r="W385" s="243"/>
      <c r="X385" s="243"/>
      <c r="Y385" s="243"/>
      <c r="Z385" s="243"/>
      <c r="AA385" s="243"/>
      <c r="AB385" s="243"/>
      <c r="AC385" s="243"/>
      <c r="AD385" s="243"/>
      <c r="AE385" s="243"/>
      <c r="AF385" s="243"/>
      <c r="AG385" s="243"/>
      <c r="AH385" s="243"/>
      <c r="AI385" s="243"/>
      <c r="AJ385" s="243"/>
      <c r="AK385" s="243"/>
      <c r="AL385" s="243"/>
      <c r="AM385" s="243"/>
      <c r="AN385" s="243"/>
      <c r="AO385" s="243"/>
      <c r="AP385" s="243"/>
      <c r="AQ385" s="243"/>
      <c r="AR385" s="243"/>
      <c r="AS385" s="243"/>
      <c r="AT385" s="243"/>
      <c r="AU385" s="257"/>
    </row>
    <row r="386" spans="1:47" ht="60" customHeight="1" outlineLevel="2" x14ac:dyDescent="0.35">
      <c r="A386" s="252" t="s">
        <v>5558</v>
      </c>
      <c r="B386" s="230" t="s">
        <v>5590</v>
      </c>
      <c r="C386" s="230"/>
      <c r="D386" s="234"/>
      <c r="E386" s="230"/>
      <c r="F386" s="238"/>
      <c r="G386" s="241" t="str">
        <f>IF(COUNTIF(H386:AU386,"&lt;&gt;")=0,"",SUMPRODUCT(((Recommendations[ImplStatus]="Implemented")+(Recommendations[ImplStatus]="Compensated"))*ISNUMBER(MATCH(Recommendations[Id],H386:AU386,0)))/COUNTIF(H386:AU386,"&lt;&gt;"))</f>
        <v/>
      </c>
      <c r="H386" s="238"/>
      <c r="I386" s="238"/>
      <c r="J386" s="238"/>
      <c r="K386" s="238"/>
      <c r="L386" s="238"/>
      <c r="M386" s="238"/>
      <c r="N386" s="238"/>
      <c r="O386" s="238"/>
      <c r="P386" s="238"/>
      <c r="Q386" s="238"/>
      <c r="R386" s="238"/>
      <c r="S386" s="238"/>
      <c r="T386" s="238"/>
      <c r="U386" s="238"/>
      <c r="V386" s="238"/>
      <c r="W386" s="238"/>
      <c r="X386" s="238"/>
      <c r="Y386" s="238"/>
      <c r="Z386" s="238"/>
      <c r="AA386" s="238"/>
      <c r="AB386" s="238"/>
      <c r="AC386" s="238"/>
      <c r="AD386" s="238"/>
      <c r="AE386" s="238"/>
      <c r="AF386" s="238"/>
      <c r="AG386" s="238"/>
      <c r="AH386" s="238"/>
      <c r="AI386" s="238"/>
      <c r="AJ386" s="238"/>
      <c r="AK386" s="238"/>
      <c r="AL386" s="238"/>
      <c r="AM386" s="238"/>
      <c r="AN386" s="238"/>
      <c r="AO386" s="238"/>
      <c r="AP386" s="238"/>
      <c r="AQ386" s="238"/>
      <c r="AR386" s="238"/>
      <c r="AS386" s="238"/>
      <c r="AT386" s="238"/>
      <c r="AU386" s="256"/>
    </row>
    <row r="387" spans="1:47" ht="60" customHeight="1" x14ac:dyDescent="0.35">
      <c r="A387" s="253" t="s">
        <v>5558</v>
      </c>
      <c r="B387" s="231" t="s">
        <v>5590</v>
      </c>
      <c r="C387" s="232" t="s">
        <v>5591</v>
      </c>
      <c r="D387" s="235" t="s">
        <v>5592</v>
      </c>
      <c r="E387" s="236" t="s">
        <v>4815</v>
      </c>
      <c r="F387" s="239" t="s">
        <v>5593</v>
      </c>
      <c r="G387" s="242" t="str">
        <f>IF(COUNTIF(H387:AU387,"&lt;&gt;")=0,"",SUMPRODUCT(((Recommendations[ImplStatus]="Implemented")+(Recommendations[ImplStatus]="Compensated"))*ISNUMBER(MATCH(Recommendations[Id],H387:AU387,0)))/COUNTIF(H387:AU387,"&lt;&gt;"))</f>
        <v/>
      </c>
      <c r="H387" s="243"/>
      <c r="I387" s="243"/>
      <c r="J387" s="243"/>
      <c r="K387" s="243"/>
      <c r="L387" s="243"/>
      <c r="M387" s="243"/>
      <c r="N387" s="243"/>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57"/>
    </row>
    <row r="388" spans="1:47" ht="60" customHeight="1" x14ac:dyDescent="0.35">
      <c r="A388" s="253" t="s">
        <v>5558</v>
      </c>
      <c r="B388" s="231" t="s">
        <v>5590</v>
      </c>
      <c r="C388" s="232" t="s">
        <v>5594</v>
      </c>
      <c r="D388" s="235" t="s">
        <v>5595</v>
      </c>
      <c r="E388" s="236" t="s">
        <v>4815</v>
      </c>
      <c r="F388" s="239" t="s">
        <v>5593</v>
      </c>
      <c r="G388" s="242" t="str">
        <f>IF(COUNTIF(H388:AU388,"&lt;&gt;")=0,"",SUMPRODUCT(((Recommendations[ImplStatus]="Implemented")+(Recommendations[ImplStatus]="Compensated"))*ISNUMBER(MATCH(Recommendations[Id],H388:AU388,0)))/COUNTIF(H388:AU388,"&lt;&gt;"))</f>
        <v/>
      </c>
      <c r="H388" s="243"/>
      <c r="I388" s="243"/>
      <c r="J388" s="243"/>
      <c r="K388" s="243"/>
      <c r="L388" s="243"/>
      <c r="M388" s="243"/>
      <c r="N388" s="243"/>
      <c r="O388" s="243"/>
      <c r="P388" s="243"/>
      <c r="Q388" s="243"/>
      <c r="R388" s="243"/>
      <c r="S388" s="243"/>
      <c r="T388" s="243"/>
      <c r="U388" s="243"/>
      <c r="V388" s="243"/>
      <c r="W388" s="243"/>
      <c r="X388" s="243"/>
      <c r="Y388" s="243"/>
      <c r="Z388" s="243"/>
      <c r="AA388" s="243"/>
      <c r="AB388" s="243"/>
      <c r="AC388" s="243"/>
      <c r="AD388" s="243"/>
      <c r="AE388" s="243"/>
      <c r="AF388" s="243"/>
      <c r="AG388" s="243"/>
      <c r="AH388" s="243"/>
      <c r="AI388" s="243"/>
      <c r="AJ388" s="243"/>
      <c r="AK388" s="243"/>
      <c r="AL388" s="243"/>
      <c r="AM388" s="243"/>
      <c r="AN388" s="243"/>
      <c r="AO388" s="243"/>
      <c r="AP388" s="243"/>
      <c r="AQ388" s="243"/>
      <c r="AR388" s="243"/>
      <c r="AS388" s="243"/>
      <c r="AT388" s="243"/>
      <c r="AU388" s="257"/>
    </row>
    <row r="389" spans="1:47" ht="60" customHeight="1" x14ac:dyDescent="0.35">
      <c r="A389" s="253" t="s">
        <v>5558</v>
      </c>
      <c r="B389" s="231" t="s">
        <v>5590</v>
      </c>
      <c r="C389" s="232" t="s">
        <v>5596</v>
      </c>
      <c r="D389" s="235" t="s">
        <v>5597</v>
      </c>
      <c r="E389" s="236" t="s">
        <v>5094</v>
      </c>
      <c r="F389" s="239" t="s">
        <v>5593</v>
      </c>
      <c r="G389" s="242" t="str">
        <f>IF(COUNTIF(H389:AU389,"&lt;&gt;")=0,"",SUMPRODUCT(((Recommendations[ImplStatus]="Implemented")+(Recommendations[ImplStatus]="Compensated"))*ISNUMBER(MATCH(Recommendations[Id],H389:AU389,0)))/COUNTIF(H389:AU389,"&lt;&gt;"))</f>
        <v/>
      </c>
      <c r="H389" s="243"/>
      <c r="I389" s="243"/>
      <c r="J389" s="243"/>
      <c r="K389" s="243"/>
      <c r="L389" s="243"/>
      <c r="M389" s="243"/>
      <c r="N389" s="243"/>
      <c r="O389" s="243"/>
      <c r="P389" s="243"/>
      <c r="Q389" s="243"/>
      <c r="R389" s="243"/>
      <c r="S389" s="243"/>
      <c r="T389" s="243"/>
      <c r="U389" s="243"/>
      <c r="V389" s="243"/>
      <c r="W389" s="243"/>
      <c r="X389" s="243"/>
      <c r="Y389" s="243"/>
      <c r="Z389" s="243"/>
      <c r="AA389" s="243"/>
      <c r="AB389" s="243"/>
      <c r="AC389" s="243"/>
      <c r="AD389" s="243"/>
      <c r="AE389" s="243"/>
      <c r="AF389" s="243"/>
      <c r="AG389" s="243"/>
      <c r="AH389" s="243"/>
      <c r="AI389" s="243"/>
      <c r="AJ389" s="243"/>
      <c r="AK389" s="243"/>
      <c r="AL389" s="243"/>
      <c r="AM389" s="243"/>
      <c r="AN389" s="243"/>
      <c r="AO389" s="243"/>
      <c r="AP389" s="243"/>
      <c r="AQ389" s="243"/>
      <c r="AR389" s="243"/>
      <c r="AS389" s="243"/>
      <c r="AT389" s="243"/>
      <c r="AU389" s="257"/>
    </row>
    <row r="390" spans="1:47" ht="60" customHeight="1" x14ac:dyDescent="0.35">
      <c r="A390" s="253" t="s">
        <v>5558</v>
      </c>
      <c r="B390" s="231" t="s">
        <v>5590</v>
      </c>
      <c r="C390" s="232" t="s">
        <v>5598</v>
      </c>
      <c r="D390" s="235" t="s">
        <v>5599</v>
      </c>
      <c r="E390" s="236" t="s">
        <v>4911</v>
      </c>
      <c r="F390" s="239" t="s">
        <v>5593</v>
      </c>
      <c r="G390" s="242" t="str">
        <f>IF(COUNTIF(H390:AU390,"&lt;&gt;")=0,"",SUMPRODUCT(((Recommendations[ImplStatus]="Implemented")+(Recommendations[ImplStatus]="Compensated"))*ISNUMBER(MATCH(Recommendations[Id],H390:AU390,0)))/COUNTIF(H390:AU390,"&lt;&gt;"))</f>
        <v/>
      </c>
      <c r="H390" s="243"/>
      <c r="I390" s="243"/>
      <c r="J390" s="243"/>
      <c r="K390" s="243"/>
      <c r="L390" s="243"/>
      <c r="M390" s="243"/>
      <c r="N390" s="243"/>
      <c r="O390" s="243"/>
      <c r="P390" s="243"/>
      <c r="Q390" s="243"/>
      <c r="R390" s="243"/>
      <c r="S390" s="243"/>
      <c r="T390" s="243"/>
      <c r="U390" s="243"/>
      <c r="V390" s="243"/>
      <c r="W390" s="243"/>
      <c r="X390" s="243"/>
      <c r="Y390" s="243"/>
      <c r="Z390" s="243"/>
      <c r="AA390" s="243"/>
      <c r="AB390" s="243"/>
      <c r="AC390" s="243"/>
      <c r="AD390" s="243"/>
      <c r="AE390" s="243"/>
      <c r="AF390" s="243"/>
      <c r="AG390" s="243"/>
      <c r="AH390" s="243"/>
      <c r="AI390" s="243"/>
      <c r="AJ390" s="243"/>
      <c r="AK390" s="243"/>
      <c r="AL390" s="243"/>
      <c r="AM390" s="243"/>
      <c r="AN390" s="243"/>
      <c r="AO390" s="243"/>
      <c r="AP390" s="243"/>
      <c r="AQ390" s="243"/>
      <c r="AR390" s="243"/>
      <c r="AS390" s="243"/>
      <c r="AT390" s="243"/>
      <c r="AU390" s="257"/>
    </row>
    <row r="391" spans="1:47" ht="60" customHeight="1" x14ac:dyDescent="0.35">
      <c r="A391" s="253" t="s">
        <v>5558</v>
      </c>
      <c r="B391" s="231" t="s">
        <v>5590</v>
      </c>
      <c r="C391" s="232" t="s">
        <v>5600</v>
      </c>
      <c r="D391" s="235" t="s">
        <v>5601</v>
      </c>
      <c r="E391" s="236" t="s">
        <v>5094</v>
      </c>
      <c r="F391" s="239" t="s">
        <v>5593</v>
      </c>
      <c r="G391" s="242" t="str">
        <f>IF(COUNTIF(H391:AU391,"&lt;&gt;")=0,"",SUMPRODUCT(((Recommendations[ImplStatus]="Implemented")+(Recommendations[ImplStatus]="Compensated"))*ISNUMBER(MATCH(Recommendations[Id],H391:AU391,0)))/COUNTIF(H391:AU391,"&lt;&gt;"))</f>
        <v/>
      </c>
      <c r="H391" s="243"/>
      <c r="I391" s="243"/>
      <c r="J391" s="243"/>
      <c r="K391" s="243"/>
      <c r="L391" s="243"/>
      <c r="M391" s="243"/>
      <c r="N391" s="243"/>
      <c r="O391" s="243"/>
      <c r="P391" s="243"/>
      <c r="Q391" s="243"/>
      <c r="R391" s="243"/>
      <c r="S391" s="243"/>
      <c r="T391" s="243"/>
      <c r="U391" s="243"/>
      <c r="V391" s="243"/>
      <c r="W391" s="243"/>
      <c r="X391" s="243"/>
      <c r="Y391" s="243"/>
      <c r="Z391" s="243"/>
      <c r="AA391" s="243"/>
      <c r="AB391" s="243"/>
      <c r="AC391" s="243"/>
      <c r="AD391" s="243"/>
      <c r="AE391" s="243"/>
      <c r="AF391" s="243"/>
      <c r="AG391" s="243"/>
      <c r="AH391" s="243"/>
      <c r="AI391" s="243"/>
      <c r="AJ391" s="243"/>
      <c r="AK391" s="243"/>
      <c r="AL391" s="243"/>
      <c r="AM391" s="243"/>
      <c r="AN391" s="243"/>
      <c r="AO391" s="243"/>
      <c r="AP391" s="243"/>
      <c r="AQ391" s="243"/>
      <c r="AR391" s="243"/>
      <c r="AS391" s="243"/>
      <c r="AT391" s="243"/>
      <c r="AU391" s="257"/>
    </row>
    <row r="392" spans="1:47" ht="60" customHeight="1" x14ac:dyDescent="0.35">
      <c r="A392" s="253" t="s">
        <v>5558</v>
      </c>
      <c r="B392" s="231" t="s">
        <v>5590</v>
      </c>
      <c r="C392" s="232" t="s">
        <v>5602</v>
      </c>
      <c r="D392" s="235" t="s">
        <v>5603</v>
      </c>
      <c r="E392" s="236" t="s">
        <v>4844</v>
      </c>
      <c r="F392" s="239" t="s">
        <v>5593</v>
      </c>
      <c r="G392" s="242" t="str">
        <f>IF(COUNTIF(H392:AU392,"&lt;&gt;")=0,"",SUMPRODUCT(((Recommendations[ImplStatus]="Implemented")+(Recommendations[ImplStatus]="Compensated"))*ISNUMBER(MATCH(Recommendations[Id],H392:AU392,0)))/COUNTIF(H392:AU392,"&lt;&gt;"))</f>
        <v/>
      </c>
      <c r="H392" s="243"/>
      <c r="I392" s="243"/>
      <c r="J392" s="243"/>
      <c r="K392" s="243"/>
      <c r="L392" s="243"/>
      <c r="M392" s="243"/>
      <c r="N392" s="243"/>
      <c r="O392" s="243"/>
      <c r="P392" s="243"/>
      <c r="Q392" s="243"/>
      <c r="R392" s="243"/>
      <c r="S392" s="243"/>
      <c r="T392" s="243"/>
      <c r="U392" s="243"/>
      <c r="V392" s="243"/>
      <c r="W392" s="243"/>
      <c r="X392" s="243"/>
      <c r="Y392" s="243"/>
      <c r="Z392" s="243"/>
      <c r="AA392" s="243"/>
      <c r="AB392" s="243"/>
      <c r="AC392" s="243"/>
      <c r="AD392" s="243"/>
      <c r="AE392" s="243"/>
      <c r="AF392" s="243"/>
      <c r="AG392" s="243"/>
      <c r="AH392" s="243"/>
      <c r="AI392" s="243"/>
      <c r="AJ392" s="243"/>
      <c r="AK392" s="243"/>
      <c r="AL392" s="243"/>
      <c r="AM392" s="243"/>
      <c r="AN392" s="243"/>
      <c r="AO392" s="243"/>
      <c r="AP392" s="243"/>
      <c r="AQ392" s="243"/>
      <c r="AR392" s="243"/>
      <c r="AS392" s="243"/>
      <c r="AT392" s="243"/>
      <c r="AU392" s="257"/>
    </row>
    <row r="393" spans="1:47" ht="60" customHeight="1" x14ac:dyDescent="0.35">
      <c r="A393" s="253" t="s">
        <v>5558</v>
      </c>
      <c r="B393" s="231" t="s">
        <v>5590</v>
      </c>
      <c r="C393" s="232" t="s">
        <v>5604</v>
      </c>
      <c r="D393" s="235" t="s">
        <v>5605</v>
      </c>
      <c r="E393" s="236" t="s">
        <v>4844</v>
      </c>
      <c r="F393" s="239" t="s">
        <v>5593</v>
      </c>
      <c r="G393" s="242" t="str">
        <f>IF(COUNTIF(H393:AU393,"&lt;&gt;")=0,"",SUMPRODUCT(((Recommendations[ImplStatus]="Implemented")+(Recommendations[ImplStatus]="Compensated"))*ISNUMBER(MATCH(Recommendations[Id],H393:AU393,0)))/COUNTIF(H393:AU393,"&lt;&gt;"))</f>
        <v/>
      </c>
      <c r="H393" s="243"/>
      <c r="I393" s="243"/>
      <c r="J393" s="243"/>
      <c r="K393" s="243"/>
      <c r="L393" s="243"/>
      <c r="M393" s="243"/>
      <c r="N393" s="243"/>
      <c r="O393" s="243"/>
      <c r="P393" s="243"/>
      <c r="Q393" s="243"/>
      <c r="R393" s="243"/>
      <c r="S393" s="243"/>
      <c r="T393" s="243"/>
      <c r="U393" s="243"/>
      <c r="V393" s="243"/>
      <c r="W393" s="243"/>
      <c r="X393" s="243"/>
      <c r="Y393" s="243"/>
      <c r="Z393" s="243"/>
      <c r="AA393" s="243"/>
      <c r="AB393" s="243"/>
      <c r="AC393" s="243"/>
      <c r="AD393" s="243"/>
      <c r="AE393" s="243"/>
      <c r="AF393" s="243"/>
      <c r="AG393" s="243"/>
      <c r="AH393" s="243"/>
      <c r="AI393" s="243"/>
      <c r="AJ393" s="243"/>
      <c r="AK393" s="243"/>
      <c r="AL393" s="243"/>
      <c r="AM393" s="243"/>
      <c r="AN393" s="243"/>
      <c r="AO393" s="243"/>
      <c r="AP393" s="243"/>
      <c r="AQ393" s="243"/>
      <c r="AR393" s="243"/>
      <c r="AS393" s="243"/>
      <c r="AT393" s="243"/>
      <c r="AU393" s="257"/>
    </row>
    <row r="394" spans="1:47" ht="60" customHeight="1" x14ac:dyDescent="0.35">
      <c r="A394" s="253" t="s">
        <v>5558</v>
      </c>
      <c r="B394" s="231" t="s">
        <v>5590</v>
      </c>
      <c r="C394" s="232" t="s">
        <v>5606</v>
      </c>
      <c r="D394" s="235" t="s">
        <v>5607</v>
      </c>
      <c r="E394" s="236" t="s">
        <v>5094</v>
      </c>
      <c r="F394" s="239" t="s">
        <v>5593</v>
      </c>
      <c r="G394" s="242" t="str">
        <f>IF(COUNTIF(H394:AU394,"&lt;&gt;")=0,"",SUMPRODUCT(((Recommendations[ImplStatus]="Implemented")+(Recommendations[ImplStatus]="Compensated"))*ISNUMBER(MATCH(Recommendations[Id],H394:AU394,0)))/COUNTIF(H394:AU394,"&lt;&gt;"))</f>
        <v/>
      </c>
      <c r="H394" s="243"/>
      <c r="I394" s="243"/>
      <c r="J394" s="243"/>
      <c r="K394" s="243"/>
      <c r="L394" s="243"/>
      <c r="M394" s="243"/>
      <c r="N394" s="243"/>
      <c r="O394" s="243"/>
      <c r="P394" s="243"/>
      <c r="Q394" s="243"/>
      <c r="R394" s="243"/>
      <c r="S394" s="243"/>
      <c r="T394" s="243"/>
      <c r="U394" s="243"/>
      <c r="V394" s="243"/>
      <c r="W394" s="243"/>
      <c r="X394" s="243"/>
      <c r="Y394" s="243"/>
      <c r="Z394" s="243"/>
      <c r="AA394" s="243"/>
      <c r="AB394" s="243"/>
      <c r="AC394" s="243"/>
      <c r="AD394" s="243"/>
      <c r="AE394" s="243"/>
      <c r="AF394" s="243"/>
      <c r="AG394" s="243"/>
      <c r="AH394" s="243"/>
      <c r="AI394" s="243"/>
      <c r="AJ394" s="243"/>
      <c r="AK394" s="243"/>
      <c r="AL394" s="243"/>
      <c r="AM394" s="243"/>
      <c r="AN394" s="243"/>
      <c r="AO394" s="243"/>
      <c r="AP394" s="243"/>
      <c r="AQ394" s="243"/>
      <c r="AR394" s="243"/>
      <c r="AS394" s="243"/>
      <c r="AT394" s="243"/>
      <c r="AU394" s="257"/>
    </row>
    <row r="395" spans="1:47" ht="60" customHeight="1" x14ac:dyDescent="0.35">
      <c r="A395" s="253" t="s">
        <v>5558</v>
      </c>
      <c r="B395" s="231" t="s">
        <v>5590</v>
      </c>
      <c r="C395" s="232" t="s">
        <v>5608</v>
      </c>
      <c r="D395" s="235" t="s">
        <v>5609</v>
      </c>
      <c r="E395" s="236" t="s">
        <v>4911</v>
      </c>
      <c r="F395" s="239" t="s">
        <v>5593</v>
      </c>
      <c r="G395" s="242" t="str">
        <f>IF(COUNTIF(H395:AU395,"&lt;&gt;")=0,"",SUMPRODUCT(((Recommendations[ImplStatus]="Implemented")+(Recommendations[ImplStatus]="Compensated"))*ISNUMBER(MATCH(Recommendations[Id],H395:AU395,0)))/COUNTIF(H395:AU395,"&lt;&gt;"))</f>
        <v/>
      </c>
      <c r="H395" s="243"/>
      <c r="I395" s="243"/>
      <c r="J395" s="243"/>
      <c r="K395" s="243"/>
      <c r="L395" s="243"/>
      <c r="M395" s="243"/>
      <c r="N395" s="243"/>
      <c r="O395" s="243"/>
      <c r="P395" s="243"/>
      <c r="Q395" s="243"/>
      <c r="R395" s="243"/>
      <c r="S395" s="243"/>
      <c r="T395" s="243"/>
      <c r="U395" s="243"/>
      <c r="V395" s="243"/>
      <c r="W395" s="243"/>
      <c r="X395" s="243"/>
      <c r="Y395" s="243"/>
      <c r="Z395" s="243"/>
      <c r="AA395" s="243"/>
      <c r="AB395" s="243"/>
      <c r="AC395" s="243"/>
      <c r="AD395" s="243"/>
      <c r="AE395" s="243"/>
      <c r="AF395" s="243"/>
      <c r="AG395" s="243"/>
      <c r="AH395" s="243"/>
      <c r="AI395" s="243"/>
      <c r="AJ395" s="243"/>
      <c r="AK395" s="243"/>
      <c r="AL395" s="243"/>
      <c r="AM395" s="243"/>
      <c r="AN395" s="243"/>
      <c r="AO395" s="243"/>
      <c r="AP395" s="243"/>
      <c r="AQ395" s="243"/>
      <c r="AR395" s="243"/>
      <c r="AS395" s="243"/>
      <c r="AT395" s="243"/>
      <c r="AU395" s="257"/>
    </row>
    <row r="396" spans="1:47" ht="60" customHeight="1" x14ac:dyDescent="0.35">
      <c r="A396" s="253" t="s">
        <v>5558</v>
      </c>
      <c r="B396" s="231" t="s">
        <v>5590</v>
      </c>
      <c r="C396" s="232" t="s">
        <v>5610</v>
      </c>
      <c r="D396" s="235" t="s">
        <v>5611</v>
      </c>
      <c r="E396" s="236" t="s">
        <v>5094</v>
      </c>
      <c r="F396" s="239" t="s">
        <v>5593</v>
      </c>
      <c r="G396" s="242" t="str">
        <f>IF(COUNTIF(H396:AU396,"&lt;&gt;")=0,"",SUMPRODUCT(((Recommendations[ImplStatus]="Implemented")+(Recommendations[ImplStatus]="Compensated"))*ISNUMBER(MATCH(Recommendations[Id],H396:AU396,0)))/COUNTIF(H396:AU396,"&lt;&gt;"))</f>
        <v/>
      </c>
      <c r="H396" s="243"/>
      <c r="I396" s="243"/>
      <c r="J396" s="243"/>
      <c r="K396" s="243"/>
      <c r="L396" s="243"/>
      <c r="M396" s="243"/>
      <c r="N396" s="243"/>
      <c r="O396" s="243"/>
      <c r="P396" s="243"/>
      <c r="Q396" s="243"/>
      <c r="R396" s="243"/>
      <c r="S396" s="243"/>
      <c r="T396" s="243"/>
      <c r="U396" s="243"/>
      <c r="V396" s="243"/>
      <c r="W396" s="243"/>
      <c r="X396" s="243"/>
      <c r="Y396" s="243"/>
      <c r="Z396" s="243"/>
      <c r="AA396" s="243"/>
      <c r="AB396" s="243"/>
      <c r="AC396" s="243"/>
      <c r="AD396" s="243"/>
      <c r="AE396" s="243"/>
      <c r="AF396" s="243"/>
      <c r="AG396" s="243"/>
      <c r="AH396" s="243"/>
      <c r="AI396" s="243"/>
      <c r="AJ396" s="243"/>
      <c r="AK396" s="243"/>
      <c r="AL396" s="243"/>
      <c r="AM396" s="243"/>
      <c r="AN396" s="243"/>
      <c r="AO396" s="243"/>
      <c r="AP396" s="243"/>
      <c r="AQ396" s="243"/>
      <c r="AR396" s="243"/>
      <c r="AS396" s="243"/>
      <c r="AT396" s="243"/>
      <c r="AU396" s="257"/>
    </row>
    <row r="397" spans="1:47" ht="60" customHeight="1" x14ac:dyDescent="0.35">
      <c r="A397" s="253" t="s">
        <v>5558</v>
      </c>
      <c r="B397" s="231" t="s">
        <v>5590</v>
      </c>
      <c r="C397" s="232" t="s">
        <v>5612</v>
      </c>
      <c r="D397" s="235" t="s">
        <v>5613</v>
      </c>
      <c r="E397" s="236" t="s">
        <v>4844</v>
      </c>
      <c r="F397" s="239" t="s">
        <v>5593</v>
      </c>
      <c r="G397" s="242" t="str">
        <f>IF(COUNTIF(H397:AU397,"&lt;&gt;")=0,"",SUMPRODUCT(((Recommendations[ImplStatus]="Implemented")+(Recommendations[ImplStatus]="Compensated"))*ISNUMBER(MATCH(Recommendations[Id],H397:AU397,0)))/COUNTIF(H397:AU397,"&lt;&gt;"))</f>
        <v/>
      </c>
      <c r="H397" s="243"/>
      <c r="I397" s="243"/>
      <c r="J397" s="243"/>
      <c r="K397" s="243"/>
      <c r="L397" s="243"/>
      <c r="M397" s="243"/>
      <c r="N397" s="243"/>
      <c r="O397" s="243"/>
      <c r="P397" s="243"/>
      <c r="Q397" s="243"/>
      <c r="R397" s="243"/>
      <c r="S397" s="243"/>
      <c r="T397" s="243"/>
      <c r="U397" s="243"/>
      <c r="V397" s="243"/>
      <c r="W397" s="243"/>
      <c r="X397" s="243"/>
      <c r="Y397" s="243"/>
      <c r="Z397" s="243"/>
      <c r="AA397" s="243"/>
      <c r="AB397" s="243"/>
      <c r="AC397" s="243"/>
      <c r="AD397" s="243"/>
      <c r="AE397" s="243"/>
      <c r="AF397" s="243"/>
      <c r="AG397" s="243"/>
      <c r="AH397" s="243"/>
      <c r="AI397" s="243"/>
      <c r="AJ397" s="243"/>
      <c r="AK397" s="243"/>
      <c r="AL397" s="243"/>
      <c r="AM397" s="243"/>
      <c r="AN397" s="243"/>
      <c r="AO397" s="243"/>
      <c r="AP397" s="243"/>
      <c r="AQ397" s="243"/>
      <c r="AR397" s="243"/>
      <c r="AS397" s="243"/>
      <c r="AT397" s="243"/>
      <c r="AU397" s="257"/>
    </row>
    <row r="398" spans="1:47" ht="60" customHeight="1" x14ac:dyDescent="0.35">
      <c r="A398" s="253" t="s">
        <v>5558</v>
      </c>
      <c r="B398" s="231" t="s">
        <v>5590</v>
      </c>
      <c r="C398" s="232" t="s">
        <v>5614</v>
      </c>
      <c r="D398" s="235" t="s">
        <v>5615</v>
      </c>
      <c r="E398" s="236" t="s">
        <v>4959</v>
      </c>
      <c r="F398" s="239" t="s">
        <v>5593</v>
      </c>
      <c r="G398" s="242" t="str">
        <f>IF(COUNTIF(H398:AU398,"&lt;&gt;")=0,"",SUMPRODUCT(((Recommendations[ImplStatus]="Implemented")+(Recommendations[ImplStatus]="Compensated"))*ISNUMBER(MATCH(Recommendations[Id],H398:AU398,0)))/COUNTIF(H398:AU398,"&lt;&gt;"))</f>
        <v/>
      </c>
      <c r="H398" s="243"/>
      <c r="I398" s="243"/>
      <c r="J398" s="243"/>
      <c r="K398" s="243"/>
      <c r="L398" s="243"/>
      <c r="M398" s="243"/>
      <c r="N398" s="243"/>
      <c r="O398" s="243"/>
      <c r="P398" s="243"/>
      <c r="Q398" s="243"/>
      <c r="R398" s="243"/>
      <c r="S398" s="243"/>
      <c r="T398" s="243"/>
      <c r="U398" s="243"/>
      <c r="V398" s="243"/>
      <c r="W398" s="243"/>
      <c r="X398" s="243"/>
      <c r="Y398" s="243"/>
      <c r="Z398" s="243"/>
      <c r="AA398" s="243"/>
      <c r="AB398" s="243"/>
      <c r="AC398" s="243"/>
      <c r="AD398" s="243"/>
      <c r="AE398" s="243"/>
      <c r="AF398" s="243"/>
      <c r="AG398" s="243"/>
      <c r="AH398" s="243"/>
      <c r="AI398" s="243"/>
      <c r="AJ398" s="243"/>
      <c r="AK398" s="243"/>
      <c r="AL398" s="243"/>
      <c r="AM398" s="243"/>
      <c r="AN398" s="243"/>
      <c r="AO398" s="243"/>
      <c r="AP398" s="243"/>
      <c r="AQ398" s="243"/>
      <c r="AR398" s="243"/>
      <c r="AS398" s="243"/>
      <c r="AT398" s="243"/>
      <c r="AU398" s="257"/>
    </row>
    <row r="399" spans="1:47" ht="60" customHeight="1" x14ac:dyDescent="0.35">
      <c r="A399" s="253" t="s">
        <v>5558</v>
      </c>
      <c r="B399" s="231" t="s">
        <v>5590</v>
      </c>
      <c r="C399" s="232" t="s">
        <v>5616</v>
      </c>
      <c r="D399" s="235" t="s">
        <v>5617</v>
      </c>
      <c r="E399" s="236" t="s">
        <v>5094</v>
      </c>
      <c r="F399" s="239" t="s">
        <v>5593</v>
      </c>
      <c r="G399" s="242" t="str">
        <f>IF(COUNTIF(H399:AU399,"&lt;&gt;")=0,"",SUMPRODUCT(((Recommendations[ImplStatus]="Implemented")+(Recommendations[ImplStatus]="Compensated"))*ISNUMBER(MATCH(Recommendations[Id],H399:AU399,0)))/COUNTIF(H399:AU399,"&lt;&gt;"))</f>
        <v/>
      </c>
      <c r="H399" s="243"/>
      <c r="I399" s="243"/>
      <c r="J399" s="243"/>
      <c r="K399" s="243"/>
      <c r="L399" s="243"/>
      <c r="M399" s="243"/>
      <c r="N399" s="243"/>
      <c r="O399" s="243"/>
      <c r="P399" s="243"/>
      <c r="Q399" s="243"/>
      <c r="R399" s="243"/>
      <c r="S399" s="243"/>
      <c r="T399" s="243"/>
      <c r="U399" s="243"/>
      <c r="V399" s="243"/>
      <c r="W399" s="243"/>
      <c r="X399" s="243"/>
      <c r="Y399" s="243"/>
      <c r="Z399" s="243"/>
      <c r="AA399" s="243"/>
      <c r="AB399" s="243"/>
      <c r="AC399" s="243"/>
      <c r="AD399" s="243"/>
      <c r="AE399" s="243"/>
      <c r="AF399" s="243"/>
      <c r="AG399" s="243"/>
      <c r="AH399" s="243"/>
      <c r="AI399" s="243"/>
      <c r="AJ399" s="243"/>
      <c r="AK399" s="243"/>
      <c r="AL399" s="243"/>
      <c r="AM399" s="243"/>
      <c r="AN399" s="243"/>
      <c r="AO399" s="243"/>
      <c r="AP399" s="243"/>
      <c r="AQ399" s="243"/>
      <c r="AR399" s="243"/>
      <c r="AS399" s="243"/>
      <c r="AT399" s="243"/>
      <c r="AU399" s="257"/>
    </row>
    <row r="400" spans="1:47" ht="60" customHeight="1" x14ac:dyDescent="0.35">
      <c r="A400" s="253" t="s">
        <v>5558</v>
      </c>
      <c r="B400" s="231" t="s">
        <v>5590</v>
      </c>
      <c r="C400" s="232" t="s">
        <v>5618</v>
      </c>
      <c r="D400" s="235" t="s">
        <v>5619</v>
      </c>
      <c r="E400" s="236" t="s">
        <v>5094</v>
      </c>
      <c r="F400" s="239" t="s">
        <v>5593</v>
      </c>
      <c r="G400" s="242" t="str">
        <f>IF(COUNTIF(H400:AU400,"&lt;&gt;")=0,"",SUMPRODUCT(((Recommendations[ImplStatus]="Implemented")+(Recommendations[ImplStatus]="Compensated"))*ISNUMBER(MATCH(Recommendations[Id],H400:AU400,0)))/COUNTIF(H400:AU400,"&lt;&gt;"))</f>
        <v/>
      </c>
      <c r="H400" s="243"/>
      <c r="I400" s="243"/>
      <c r="J400" s="243"/>
      <c r="K400" s="243"/>
      <c r="L400" s="243"/>
      <c r="M400" s="243"/>
      <c r="N400" s="243"/>
      <c r="O400" s="243"/>
      <c r="P400" s="243"/>
      <c r="Q400" s="243"/>
      <c r="R400" s="243"/>
      <c r="S400" s="243"/>
      <c r="T400" s="243"/>
      <c r="U400" s="243"/>
      <c r="V400" s="243"/>
      <c r="W400" s="243"/>
      <c r="X400" s="243"/>
      <c r="Y400" s="243"/>
      <c r="Z400" s="243"/>
      <c r="AA400" s="243"/>
      <c r="AB400" s="243"/>
      <c r="AC400" s="243"/>
      <c r="AD400" s="243"/>
      <c r="AE400" s="243"/>
      <c r="AF400" s="243"/>
      <c r="AG400" s="243"/>
      <c r="AH400" s="243"/>
      <c r="AI400" s="243"/>
      <c r="AJ400" s="243"/>
      <c r="AK400" s="243"/>
      <c r="AL400" s="243"/>
      <c r="AM400" s="243"/>
      <c r="AN400" s="243"/>
      <c r="AO400" s="243"/>
      <c r="AP400" s="243"/>
      <c r="AQ400" s="243"/>
      <c r="AR400" s="243"/>
      <c r="AS400" s="243"/>
      <c r="AT400" s="243"/>
      <c r="AU400" s="257"/>
    </row>
    <row r="401" spans="1:47" ht="60" customHeight="1" x14ac:dyDescent="0.35">
      <c r="A401" s="253" t="s">
        <v>5558</v>
      </c>
      <c r="B401" s="231" t="s">
        <v>5590</v>
      </c>
      <c r="C401" s="232" t="s">
        <v>5620</v>
      </c>
      <c r="D401" s="235" t="s">
        <v>5621</v>
      </c>
      <c r="E401" s="236" t="s">
        <v>4844</v>
      </c>
      <c r="F401" s="239" t="s">
        <v>5593</v>
      </c>
      <c r="G401" s="242" t="str">
        <f>IF(COUNTIF(H401:AU401,"&lt;&gt;")=0,"",SUMPRODUCT(((Recommendations[ImplStatus]="Implemented")+(Recommendations[ImplStatus]="Compensated"))*ISNUMBER(MATCH(Recommendations[Id],H401:AU401,0)))/COUNTIF(H401:AU401,"&lt;&gt;"))</f>
        <v/>
      </c>
      <c r="H401" s="243"/>
      <c r="I401" s="243"/>
      <c r="J401" s="243"/>
      <c r="K401" s="243"/>
      <c r="L401" s="243"/>
      <c r="M401" s="243"/>
      <c r="N401" s="243"/>
      <c r="O401" s="243"/>
      <c r="P401" s="243"/>
      <c r="Q401" s="243"/>
      <c r="R401" s="243"/>
      <c r="S401" s="243"/>
      <c r="T401" s="243"/>
      <c r="U401" s="243"/>
      <c r="V401" s="243"/>
      <c r="W401" s="243"/>
      <c r="X401" s="243"/>
      <c r="Y401" s="243"/>
      <c r="Z401" s="243"/>
      <c r="AA401" s="243"/>
      <c r="AB401" s="243"/>
      <c r="AC401" s="243"/>
      <c r="AD401" s="243"/>
      <c r="AE401" s="243"/>
      <c r="AF401" s="243"/>
      <c r="AG401" s="243"/>
      <c r="AH401" s="243"/>
      <c r="AI401" s="243"/>
      <c r="AJ401" s="243"/>
      <c r="AK401" s="243"/>
      <c r="AL401" s="243"/>
      <c r="AM401" s="243"/>
      <c r="AN401" s="243"/>
      <c r="AO401" s="243"/>
      <c r="AP401" s="243"/>
      <c r="AQ401" s="243"/>
      <c r="AR401" s="243"/>
      <c r="AS401" s="243"/>
      <c r="AT401" s="243"/>
      <c r="AU401" s="257"/>
    </row>
    <row r="402" spans="1:47" ht="60" customHeight="1" x14ac:dyDescent="0.35">
      <c r="A402" s="253" t="s">
        <v>5558</v>
      </c>
      <c r="B402" s="231" t="s">
        <v>5590</v>
      </c>
      <c r="C402" s="232" t="s">
        <v>5622</v>
      </c>
      <c r="D402" s="235" t="s">
        <v>5623</v>
      </c>
      <c r="E402" s="236" t="s">
        <v>4844</v>
      </c>
      <c r="F402" s="239" t="s">
        <v>5593</v>
      </c>
      <c r="G402" s="242" t="str">
        <f>IF(COUNTIF(H402:AU402,"&lt;&gt;")=0,"",SUMPRODUCT(((Recommendations[ImplStatus]="Implemented")+(Recommendations[ImplStatus]="Compensated"))*ISNUMBER(MATCH(Recommendations[Id],H402:AU402,0)))/COUNTIF(H402:AU402,"&lt;&gt;"))</f>
        <v/>
      </c>
      <c r="H402" s="243"/>
      <c r="I402" s="243"/>
      <c r="J402" s="243"/>
      <c r="K402" s="243"/>
      <c r="L402" s="243"/>
      <c r="M402" s="243"/>
      <c r="N402" s="243"/>
      <c r="O402" s="243"/>
      <c r="P402" s="243"/>
      <c r="Q402" s="243"/>
      <c r="R402" s="243"/>
      <c r="S402" s="243"/>
      <c r="T402" s="243"/>
      <c r="U402" s="243"/>
      <c r="V402" s="243"/>
      <c r="W402" s="243"/>
      <c r="X402" s="243"/>
      <c r="Y402" s="243"/>
      <c r="Z402" s="243"/>
      <c r="AA402" s="243"/>
      <c r="AB402" s="243"/>
      <c r="AC402" s="243"/>
      <c r="AD402" s="243"/>
      <c r="AE402" s="243"/>
      <c r="AF402" s="243"/>
      <c r="AG402" s="243"/>
      <c r="AH402" s="243"/>
      <c r="AI402" s="243"/>
      <c r="AJ402" s="243"/>
      <c r="AK402" s="243"/>
      <c r="AL402" s="243"/>
      <c r="AM402" s="243"/>
      <c r="AN402" s="243"/>
      <c r="AO402" s="243"/>
      <c r="AP402" s="243"/>
      <c r="AQ402" s="243"/>
      <c r="AR402" s="243"/>
      <c r="AS402" s="243"/>
      <c r="AT402" s="243"/>
      <c r="AU402" s="257"/>
    </row>
    <row r="403" spans="1:47" ht="60" customHeight="1" x14ac:dyDescent="0.35">
      <c r="A403" s="253" t="s">
        <v>5558</v>
      </c>
      <c r="B403" s="231" t="s">
        <v>5590</v>
      </c>
      <c r="C403" s="232" t="s">
        <v>5624</v>
      </c>
      <c r="D403" s="235" t="s">
        <v>5625</v>
      </c>
      <c r="E403" s="236" t="s">
        <v>4844</v>
      </c>
      <c r="F403" s="239" t="s">
        <v>5593</v>
      </c>
      <c r="G403" s="242" t="str">
        <f>IF(COUNTIF(H403:AU403,"&lt;&gt;")=0,"",SUMPRODUCT(((Recommendations[ImplStatus]="Implemented")+(Recommendations[ImplStatus]="Compensated"))*ISNUMBER(MATCH(Recommendations[Id],H403:AU403,0)))/COUNTIF(H403:AU403,"&lt;&gt;"))</f>
        <v/>
      </c>
      <c r="H403" s="243"/>
      <c r="I403" s="243"/>
      <c r="J403" s="243"/>
      <c r="K403" s="243"/>
      <c r="L403" s="243"/>
      <c r="M403" s="243"/>
      <c r="N403" s="243"/>
      <c r="O403" s="243"/>
      <c r="P403" s="243"/>
      <c r="Q403" s="243"/>
      <c r="R403" s="243"/>
      <c r="S403" s="243"/>
      <c r="T403" s="243"/>
      <c r="U403" s="243"/>
      <c r="V403" s="243"/>
      <c r="W403" s="243"/>
      <c r="X403" s="243"/>
      <c r="Y403" s="243"/>
      <c r="Z403" s="243"/>
      <c r="AA403" s="243"/>
      <c r="AB403" s="243"/>
      <c r="AC403" s="243"/>
      <c r="AD403" s="243"/>
      <c r="AE403" s="243"/>
      <c r="AF403" s="243"/>
      <c r="AG403" s="243"/>
      <c r="AH403" s="243"/>
      <c r="AI403" s="243"/>
      <c r="AJ403" s="243"/>
      <c r="AK403" s="243"/>
      <c r="AL403" s="243"/>
      <c r="AM403" s="243"/>
      <c r="AN403" s="243"/>
      <c r="AO403" s="243"/>
      <c r="AP403" s="243"/>
      <c r="AQ403" s="243"/>
      <c r="AR403" s="243"/>
      <c r="AS403" s="243"/>
      <c r="AT403" s="243"/>
      <c r="AU403" s="257"/>
    </row>
    <row r="404" spans="1:47" ht="60" customHeight="1" x14ac:dyDescent="0.35">
      <c r="A404" s="253" t="s">
        <v>5558</v>
      </c>
      <c r="B404" s="231" t="s">
        <v>5590</v>
      </c>
      <c r="C404" s="232" t="s">
        <v>5626</v>
      </c>
      <c r="D404" s="235" t="s">
        <v>5627</v>
      </c>
      <c r="E404" s="236" t="s">
        <v>4959</v>
      </c>
      <c r="F404" s="239" t="s">
        <v>5593</v>
      </c>
      <c r="G404" s="242" t="str">
        <f>IF(COUNTIF(H404:AU404,"&lt;&gt;")=0,"",SUMPRODUCT(((Recommendations[ImplStatus]="Implemented")+(Recommendations[ImplStatus]="Compensated"))*ISNUMBER(MATCH(Recommendations[Id],H404:AU404,0)))/COUNTIF(H404:AU404,"&lt;&gt;"))</f>
        <v/>
      </c>
      <c r="H404" s="243"/>
      <c r="I404" s="243"/>
      <c r="J404" s="243"/>
      <c r="K404" s="243"/>
      <c r="L404" s="243"/>
      <c r="M404" s="243"/>
      <c r="N404" s="243"/>
      <c r="O404" s="243"/>
      <c r="P404" s="243"/>
      <c r="Q404" s="243"/>
      <c r="R404" s="243"/>
      <c r="S404" s="243"/>
      <c r="T404" s="243"/>
      <c r="U404" s="243"/>
      <c r="V404" s="243"/>
      <c r="W404" s="243"/>
      <c r="X404" s="243"/>
      <c r="Y404" s="243"/>
      <c r="Z404" s="243"/>
      <c r="AA404" s="243"/>
      <c r="AB404" s="243"/>
      <c r="AC404" s="243"/>
      <c r="AD404" s="243"/>
      <c r="AE404" s="243"/>
      <c r="AF404" s="243"/>
      <c r="AG404" s="243"/>
      <c r="AH404" s="243"/>
      <c r="AI404" s="243"/>
      <c r="AJ404" s="243"/>
      <c r="AK404" s="243"/>
      <c r="AL404" s="243"/>
      <c r="AM404" s="243"/>
      <c r="AN404" s="243"/>
      <c r="AO404" s="243"/>
      <c r="AP404" s="243"/>
      <c r="AQ404" s="243"/>
      <c r="AR404" s="243"/>
      <c r="AS404" s="243"/>
      <c r="AT404" s="243"/>
      <c r="AU404" s="257"/>
    </row>
    <row r="405" spans="1:47" ht="60" customHeight="1" x14ac:dyDescent="0.35">
      <c r="A405" s="253" t="s">
        <v>5558</v>
      </c>
      <c r="B405" s="231" t="s">
        <v>5590</v>
      </c>
      <c r="C405" s="232" t="s">
        <v>5628</v>
      </c>
      <c r="D405" s="235" t="s">
        <v>5629</v>
      </c>
      <c r="E405" s="236" t="s">
        <v>4959</v>
      </c>
      <c r="F405" s="239" t="s">
        <v>5593</v>
      </c>
      <c r="G405" s="242" t="str">
        <f>IF(COUNTIF(H405:AU405,"&lt;&gt;")=0,"",SUMPRODUCT(((Recommendations[ImplStatus]="Implemented")+(Recommendations[ImplStatus]="Compensated"))*ISNUMBER(MATCH(Recommendations[Id],H405:AU405,0)))/COUNTIF(H405:AU405,"&lt;&gt;"))</f>
        <v/>
      </c>
      <c r="H405" s="243"/>
      <c r="I405" s="243"/>
      <c r="J405" s="243"/>
      <c r="K405" s="243"/>
      <c r="L405" s="243"/>
      <c r="M405" s="243"/>
      <c r="N405" s="243"/>
      <c r="O405" s="243"/>
      <c r="P405" s="243"/>
      <c r="Q405" s="243"/>
      <c r="R405" s="243"/>
      <c r="S405" s="243"/>
      <c r="T405" s="243"/>
      <c r="U405" s="243"/>
      <c r="V405" s="243"/>
      <c r="W405" s="243"/>
      <c r="X405" s="243"/>
      <c r="Y405" s="243"/>
      <c r="Z405" s="243"/>
      <c r="AA405" s="243"/>
      <c r="AB405" s="243"/>
      <c r="AC405" s="243"/>
      <c r="AD405" s="243"/>
      <c r="AE405" s="243"/>
      <c r="AF405" s="243"/>
      <c r="AG405" s="243"/>
      <c r="AH405" s="243"/>
      <c r="AI405" s="243"/>
      <c r="AJ405" s="243"/>
      <c r="AK405" s="243"/>
      <c r="AL405" s="243"/>
      <c r="AM405" s="243"/>
      <c r="AN405" s="243"/>
      <c r="AO405" s="243"/>
      <c r="AP405" s="243"/>
      <c r="AQ405" s="243"/>
      <c r="AR405" s="243"/>
      <c r="AS405" s="243"/>
      <c r="AT405" s="243"/>
      <c r="AU405" s="257"/>
    </row>
    <row r="406" spans="1:47" ht="60" customHeight="1" x14ac:dyDescent="0.35">
      <c r="A406" s="253" t="s">
        <v>5558</v>
      </c>
      <c r="B406" s="231" t="s">
        <v>5590</v>
      </c>
      <c r="C406" s="232" t="s">
        <v>5630</v>
      </c>
      <c r="D406" s="235" t="s">
        <v>5631</v>
      </c>
      <c r="E406" s="236" t="s">
        <v>4959</v>
      </c>
      <c r="F406" s="239" t="s">
        <v>5632</v>
      </c>
      <c r="G406" s="242" t="str">
        <f>IF(COUNTIF(H406:AU406,"&lt;&gt;")=0,"",SUMPRODUCT(((Recommendations[ImplStatus]="Implemented")+(Recommendations[ImplStatus]="Compensated"))*ISNUMBER(MATCH(Recommendations[Id],H406:AU406,0)))/COUNTIF(H406:AU406,"&lt;&gt;"))</f>
        <v/>
      </c>
      <c r="H406" s="243"/>
      <c r="I406" s="243"/>
      <c r="J406" s="243"/>
      <c r="K406" s="243"/>
      <c r="L406" s="243"/>
      <c r="M406" s="243"/>
      <c r="N406" s="243"/>
      <c r="O406" s="243"/>
      <c r="P406" s="243"/>
      <c r="Q406" s="243"/>
      <c r="R406" s="243"/>
      <c r="S406" s="243"/>
      <c r="T406" s="243"/>
      <c r="U406" s="243"/>
      <c r="V406" s="243"/>
      <c r="W406" s="243"/>
      <c r="X406" s="243"/>
      <c r="Y406" s="243"/>
      <c r="Z406" s="243"/>
      <c r="AA406" s="243"/>
      <c r="AB406" s="243"/>
      <c r="AC406" s="243"/>
      <c r="AD406" s="243"/>
      <c r="AE406" s="243"/>
      <c r="AF406" s="243"/>
      <c r="AG406" s="243"/>
      <c r="AH406" s="243"/>
      <c r="AI406" s="243"/>
      <c r="AJ406" s="243"/>
      <c r="AK406" s="243"/>
      <c r="AL406" s="243"/>
      <c r="AM406" s="243"/>
      <c r="AN406" s="243"/>
      <c r="AO406" s="243"/>
      <c r="AP406" s="243"/>
      <c r="AQ406" s="243"/>
      <c r="AR406" s="243"/>
      <c r="AS406" s="243"/>
      <c r="AT406" s="243"/>
      <c r="AU406" s="257"/>
    </row>
    <row r="407" spans="1:47" ht="60" customHeight="1" x14ac:dyDescent="0.35">
      <c r="A407" s="253" t="s">
        <v>5558</v>
      </c>
      <c r="B407" s="231" t="s">
        <v>5590</v>
      </c>
      <c r="C407" s="232" t="s">
        <v>5633</v>
      </c>
      <c r="D407" s="235" t="s">
        <v>5634</v>
      </c>
      <c r="E407" s="236" t="s">
        <v>4959</v>
      </c>
      <c r="F407" s="239" t="s">
        <v>5593</v>
      </c>
      <c r="G407" s="242" t="str">
        <f>IF(COUNTIF(H407:AU407,"&lt;&gt;")=0,"",SUMPRODUCT(((Recommendations[ImplStatus]="Implemented")+(Recommendations[ImplStatus]="Compensated"))*ISNUMBER(MATCH(Recommendations[Id],H407:AU407,0)))/COUNTIF(H407:AU407,"&lt;&gt;"))</f>
        <v/>
      </c>
      <c r="H407" s="243"/>
      <c r="I407" s="243"/>
      <c r="J407" s="243"/>
      <c r="K407" s="243"/>
      <c r="L407" s="243"/>
      <c r="M407" s="243"/>
      <c r="N407" s="243"/>
      <c r="O407" s="243"/>
      <c r="P407" s="243"/>
      <c r="Q407" s="243"/>
      <c r="R407" s="243"/>
      <c r="S407" s="243"/>
      <c r="T407" s="243"/>
      <c r="U407" s="243"/>
      <c r="V407" s="243"/>
      <c r="W407" s="243"/>
      <c r="X407" s="243"/>
      <c r="Y407" s="243"/>
      <c r="Z407" s="243"/>
      <c r="AA407" s="243"/>
      <c r="AB407" s="243"/>
      <c r="AC407" s="243"/>
      <c r="AD407" s="243"/>
      <c r="AE407" s="243"/>
      <c r="AF407" s="243"/>
      <c r="AG407" s="243"/>
      <c r="AH407" s="243"/>
      <c r="AI407" s="243"/>
      <c r="AJ407" s="243"/>
      <c r="AK407" s="243"/>
      <c r="AL407" s="243"/>
      <c r="AM407" s="243"/>
      <c r="AN407" s="243"/>
      <c r="AO407" s="243"/>
      <c r="AP407" s="243"/>
      <c r="AQ407" s="243"/>
      <c r="AR407" s="243"/>
      <c r="AS407" s="243"/>
      <c r="AT407" s="243"/>
      <c r="AU407" s="257"/>
    </row>
    <row r="408" spans="1:47" ht="60" customHeight="1" x14ac:dyDescent="0.35">
      <c r="A408" s="253" t="s">
        <v>5558</v>
      </c>
      <c r="B408" s="231" t="s">
        <v>5590</v>
      </c>
      <c r="C408" s="232" t="s">
        <v>5635</v>
      </c>
      <c r="D408" s="235" t="s">
        <v>5636</v>
      </c>
      <c r="E408" s="236" t="s">
        <v>4959</v>
      </c>
      <c r="F408" s="239" t="s">
        <v>5593</v>
      </c>
      <c r="G408" s="242" t="str">
        <f>IF(COUNTIF(H408:AU408,"&lt;&gt;")=0,"",SUMPRODUCT(((Recommendations[ImplStatus]="Implemented")+(Recommendations[ImplStatus]="Compensated"))*ISNUMBER(MATCH(Recommendations[Id],H408:AU408,0)))/COUNTIF(H408:AU408,"&lt;&gt;"))</f>
        <v/>
      </c>
      <c r="H408" s="243"/>
      <c r="I408" s="243"/>
      <c r="J408" s="243"/>
      <c r="K408" s="243"/>
      <c r="L408" s="243"/>
      <c r="M408" s="243"/>
      <c r="N408" s="243"/>
      <c r="O408" s="243"/>
      <c r="P408" s="243"/>
      <c r="Q408" s="243"/>
      <c r="R408" s="243"/>
      <c r="S408" s="243"/>
      <c r="T408" s="243"/>
      <c r="U408" s="243"/>
      <c r="V408" s="243"/>
      <c r="W408" s="243"/>
      <c r="X408" s="243"/>
      <c r="Y408" s="243"/>
      <c r="Z408" s="243"/>
      <c r="AA408" s="243"/>
      <c r="AB408" s="243"/>
      <c r="AC408" s="243"/>
      <c r="AD408" s="243"/>
      <c r="AE408" s="243"/>
      <c r="AF408" s="243"/>
      <c r="AG408" s="243"/>
      <c r="AH408" s="243"/>
      <c r="AI408" s="243"/>
      <c r="AJ408" s="243"/>
      <c r="AK408" s="243"/>
      <c r="AL408" s="243"/>
      <c r="AM408" s="243"/>
      <c r="AN408" s="243"/>
      <c r="AO408" s="243"/>
      <c r="AP408" s="243"/>
      <c r="AQ408" s="243"/>
      <c r="AR408" s="243"/>
      <c r="AS408" s="243"/>
      <c r="AT408" s="243"/>
      <c r="AU408" s="257"/>
    </row>
    <row r="409" spans="1:47" ht="60" customHeight="1" x14ac:dyDescent="0.35">
      <c r="A409" s="253" t="s">
        <v>5558</v>
      </c>
      <c r="B409" s="231" t="s">
        <v>5590</v>
      </c>
      <c r="C409" s="232" t="s">
        <v>5637</v>
      </c>
      <c r="D409" s="235" t="s">
        <v>5638</v>
      </c>
      <c r="E409" s="236" t="s">
        <v>4959</v>
      </c>
      <c r="F409" s="239" t="s">
        <v>5639</v>
      </c>
      <c r="G409" s="242" t="str">
        <f>IF(COUNTIF(H409:AU409,"&lt;&gt;")=0,"",SUMPRODUCT(((Recommendations[ImplStatus]="Implemented")+(Recommendations[ImplStatus]="Compensated"))*ISNUMBER(MATCH(Recommendations[Id],H409:AU409,0)))/COUNTIF(H409:AU409,"&lt;&gt;"))</f>
        <v/>
      </c>
      <c r="H409" s="243"/>
      <c r="I409" s="243"/>
      <c r="J409" s="243"/>
      <c r="K409" s="243"/>
      <c r="L409" s="243"/>
      <c r="M409" s="243"/>
      <c r="N409" s="243"/>
      <c r="O409" s="243"/>
      <c r="P409" s="243"/>
      <c r="Q409" s="243"/>
      <c r="R409" s="243"/>
      <c r="S409" s="243"/>
      <c r="T409" s="243"/>
      <c r="U409" s="243"/>
      <c r="V409" s="243"/>
      <c r="W409" s="243"/>
      <c r="X409" s="243"/>
      <c r="Y409" s="243"/>
      <c r="Z409" s="243"/>
      <c r="AA409" s="243"/>
      <c r="AB409" s="243"/>
      <c r="AC409" s="243"/>
      <c r="AD409" s="243"/>
      <c r="AE409" s="243"/>
      <c r="AF409" s="243"/>
      <c r="AG409" s="243"/>
      <c r="AH409" s="243"/>
      <c r="AI409" s="243"/>
      <c r="AJ409" s="243"/>
      <c r="AK409" s="243"/>
      <c r="AL409" s="243"/>
      <c r="AM409" s="243"/>
      <c r="AN409" s="243"/>
      <c r="AO409" s="243"/>
      <c r="AP409" s="243"/>
      <c r="AQ409" s="243"/>
      <c r="AR409" s="243"/>
      <c r="AS409" s="243"/>
      <c r="AT409" s="243"/>
      <c r="AU409" s="257"/>
    </row>
    <row r="410" spans="1:47" ht="60" customHeight="1" outlineLevel="2" x14ac:dyDescent="0.35">
      <c r="A410" s="252" t="s">
        <v>5558</v>
      </c>
      <c r="B410" s="230" t="s">
        <v>5640</v>
      </c>
      <c r="C410" s="230"/>
      <c r="D410" s="234"/>
      <c r="E410" s="230"/>
      <c r="F410" s="238"/>
      <c r="G410" s="241" t="str">
        <f>IF(COUNTIF(H410:AU410,"&lt;&gt;")=0,"",SUMPRODUCT(((Recommendations[ImplStatus]="Implemented")+(Recommendations[ImplStatus]="Compensated"))*ISNUMBER(MATCH(Recommendations[Id],H410:AU410,0)))/COUNTIF(H410:AU410,"&lt;&gt;"))</f>
        <v/>
      </c>
      <c r="H410" s="238"/>
      <c r="I410" s="238"/>
      <c r="J410" s="238"/>
      <c r="K410" s="238"/>
      <c r="L410" s="238"/>
      <c r="M410" s="238"/>
      <c r="N410" s="238"/>
      <c r="O410" s="238"/>
      <c r="P410" s="238"/>
      <c r="Q410" s="238"/>
      <c r="R410" s="238"/>
      <c r="S410" s="238"/>
      <c r="T410" s="238"/>
      <c r="U410" s="238"/>
      <c r="V410" s="238"/>
      <c r="W410" s="238"/>
      <c r="X410" s="238"/>
      <c r="Y410" s="238"/>
      <c r="Z410" s="238"/>
      <c r="AA410" s="238"/>
      <c r="AB410" s="238"/>
      <c r="AC410" s="238"/>
      <c r="AD410" s="238"/>
      <c r="AE410" s="238"/>
      <c r="AF410" s="238"/>
      <c r="AG410" s="238"/>
      <c r="AH410" s="238"/>
      <c r="AI410" s="238"/>
      <c r="AJ410" s="238"/>
      <c r="AK410" s="238"/>
      <c r="AL410" s="238"/>
      <c r="AM410" s="238"/>
      <c r="AN410" s="238"/>
      <c r="AO410" s="238"/>
      <c r="AP410" s="238"/>
      <c r="AQ410" s="238"/>
      <c r="AR410" s="238"/>
      <c r="AS410" s="238"/>
      <c r="AT410" s="238"/>
      <c r="AU410" s="256"/>
    </row>
    <row r="411" spans="1:47" ht="60" customHeight="1" x14ac:dyDescent="0.35">
      <c r="A411" s="253" t="s">
        <v>5558</v>
      </c>
      <c r="B411" s="231" t="s">
        <v>5640</v>
      </c>
      <c r="C411" s="232" t="s">
        <v>5641</v>
      </c>
      <c r="D411" s="235" t="s">
        <v>5642</v>
      </c>
      <c r="E411" s="236" t="s">
        <v>4815</v>
      </c>
      <c r="F411" s="239" t="s">
        <v>5565</v>
      </c>
      <c r="G411" s="242" t="str">
        <f>IF(COUNTIF(H411:AU411,"&lt;&gt;")=0,"",SUMPRODUCT(((Recommendations[ImplStatus]="Implemented")+(Recommendations[ImplStatus]="Compensated"))*ISNUMBER(MATCH(Recommendations[Id],H411:AU411,0)))/COUNTIF(H411:AU411,"&lt;&gt;"))</f>
        <v/>
      </c>
      <c r="H411" s="243"/>
      <c r="I411" s="243"/>
      <c r="J411" s="243"/>
      <c r="K411" s="243"/>
      <c r="L411" s="243"/>
      <c r="M411" s="243"/>
      <c r="N411" s="243"/>
      <c r="O411" s="243"/>
      <c r="P411" s="243"/>
      <c r="Q411" s="243"/>
      <c r="R411" s="243"/>
      <c r="S411" s="243"/>
      <c r="T411" s="243"/>
      <c r="U411" s="243"/>
      <c r="V411" s="243"/>
      <c r="W411" s="243"/>
      <c r="X411" s="243"/>
      <c r="Y411" s="243"/>
      <c r="Z411" s="243"/>
      <c r="AA411" s="243"/>
      <c r="AB411" s="243"/>
      <c r="AC411" s="243"/>
      <c r="AD411" s="243"/>
      <c r="AE411" s="243"/>
      <c r="AF411" s="243"/>
      <c r="AG411" s="243"/>
      <c r="AH411" s="243"/>
      <c r="AI411" s="243"/>
      <c r="AJ411" s="243"/>
      <c r="AK411" s="243"/>
      <c r="AL411" s="243"/>
      <c r="AM411" s="243"/>
      <c r="AN411" s="243"/>
      <c r="AO411" s="243"/>
      <c r="AP411" s="243"/>
      <c r="AQ411" s="243"/>
      <c r="AR411" s="243"/>
      <c r="AS411" s="243"/>
      <c r="AT411" s="243"/>
      <c r="AU411" s="257"/>
    </row>
    <row r="412" spans="1:47" ht="60" customHeight="1" x14ac:dyDescent="0.35">
      <c r="A412" s="253" t="s">
        <v>5558</v>
      </c>
      <c r="B412" s="231" t="s">
        <v>5640</v>
      </c>
      <c r="C412" s="232" t="s">
        <v>5643</v>
      </c>
      <c r="D412" s="235" t="s">
        <v>5644</v>
      </c>
      <c r="E412" s="236" t="s">
        <v>4815</v>
      </c>
      <c r="F412" s="239" t="s">
        <v>5565</v>
      </c>
      <c r="G412" s="242" t="str">
        <f>IF(COUNTIF(H412:AU412,"&lt;&gt;")=0,"",SUMPRODUCT(((Recommendations[ImplStatus]="Implemented")+(Recommendations[ImplStatus]="Compensated"))*ISNUMBER(MATCH(Recommendations[Id],H412:AU412,0)))/COUNTIF(H412:AU412,"&lt;&gt;"))</f>
        <v/>
      </c>
      <c r="H412" s="243"/>
      <c r="I412" s="243"/>
      <c r="J412" s="243"/>
      <c r="K412" s="243"/>
      <c r="L412" s="243"/>
      <c r="M412" s="243"/>
      <c r="N412" s="243"/>
      <c r="O412" s="243"/>
      <c r="P412" s="243"/>
      <c r="Q412" s="243"/>
      <c r="R412" s="243"/>
      <c r="S412" s="243"/>
      <c r="T412" s="243"/>
      <c r="U412" s="243"/>
      <c r="V412" s="243"/>
      <c r="W412" s="243"/>
      <c r="X412" s="243"/>
      <c r="Y412" s="243"/>
      <c r="Z412" s="243"/>
      <c r="AA412" s="243"/>
      <c r="AB412" s="243"/>
      <c r="AC412" s="243"/>
      <c r="AD412" s="243"/>
      <c r="AE412" s="243"/>
      <c r="AF412" s="243"/>
      <c r="AG412" s="243"/>
      <c r="AH412" s="243"/>
      <c r="AI412" s="243"/>
      <c r="AJ412" s="243"/>
      <c r="AK412" s="243"/>
      <c r="AL412" s="243"/>
      <c r="AM412" s="243"/>
      <c r="AN412" s="243"/>
      <c r="AO412" s="243"/>
      <c r="AP412" s="243"/>
      <c r="AQ412" s="243"/>
      <c r="AR412" s="243"/>
      <c r="AS412" s="243"/>
      <c r="AT412" s="243"/>
      <c r="AU412" s="257"/>
    </row>
    <row r="413" spans="1:47" ht="60" customHeight="1" x14ac:dyDescent="0.35">
      <c r="A413" s="253" t="s">
        <v>5558</v>
      </c>
      <c r="B413" s="231" t="s">
        <v>5640</v>
      </c>
      <c r="C413" s="232" t="s">
        <v>5645</v>
      </c>
      <c r="D413" s="235" t="s">
        <v>5646</v>
      </c>
      <c r="E413" s="236" t="s">
        <v>4815</v>
      </c>
      <c r="F413" s="239" t="s">
        <v>5565</v>
      </c>
      <c r="G413" s="242" t="str">
        <f>IF(COUNTIF(H413:AU413,"&lt;&gt;")=0,"",SUMPRODUCT(((Recommendations[ImplStatus]="Implemented")+(Recommendations[ImplStatus]="Compensated"))*ISNUMBER(MATCH(Recommendations[Id],H413:AU413,0)))/COUNTIF(H413:AU413,"&lt;&gt;"))</f>
        <v/>
      </c>
      <c r="H413" s="243"/>
      <c r="I413" s="243"/>
      <c r="J413" s="243"/>
      <c r="K413" s="243"/>
      <c r="L413" s="243"/>
      <c r="M413" s="243"/>
      <c r="N413" s="243"/>
      <c r="O413" s="243"/>
      <c r="P413" s="243"/>
      <c r="Q413" s="243"/>
      <c r="R413" s="243"/>
      <c r="S413" s="243"/>
      <c r="T413" s="243"/>
      <c r="U413" s="243"/>
      <c r="V413" s="243"/>
      <c r="W413" s="243"/>
      <c r="X413" s="243"/>
      <c r="Y413" s="243"/>
      <c r="Z413" s="243"/>
      <c r="AA413" s="243"/>
      <c r="AB413" s="243"/>
      <c r="AC413" s="243"/>
      <c r="AD413" s="243"/>
      <c r="AE413" s="243"/>
      <c r="AF413" s="243"/>
      <c r="AG413" s="243"/>
      <c r="AH413" s="243"/>
      <c r="AI413" s="243"/>
      <c r="AJ413" s="243"/>
      <c r="AK413" s="243"/>
      <c r="AL413" s="243"/>
      <c r="AM413" s="243"/>
      <c r="AN413" s="243"/>
      <c r="AO413" s="243"/>
      <c r="AP413" s="243"/>
      <c r="AQ413" s="243"/>
      <c r="AR413" s="243"/>
      <c r="AS413" s="243"/>
      <c r="AT413" s="243"/>
      <c r="AU413" s="257"/>
    </row>
    <row r="414" spans="1:47" ht="60" customHeight="1" x14ac:dyDescent="0.35">
      <c r="A414" s="253" t="s">
        <v>5558</v>
      </c>
      <c r="B414" s="231" t="s">
        <v>5640</v>
      </c>
      <c r="C414" s="232" t="s">
        <v>5647</v>
      </c>
      <c r="D414" s="235" t="s">
        <v>5648</v>
      </c>
      <c r="E414" s="236" t="s">
        <v>4815</v>
      </c>
      <c r="F414" s="239" t="s">
        <v>5565</v>
      </c>
      <c r="G414" s="242" t="str">
        <f>IF(COUNTIF(H414:AU414,"&lt;&gt;")=0,"",SUMPRODUCT(((Recommendations[ImplStatus]="Implemented")+(Recommendations[ImplStatus]="Compensated"))*ISNUMBER(MATCH(Recommendations[Id],H414:AU414,0)))/COUNTIF(H414:AU414,"&lt;&gt;"))</f>
        <v/>
      </c>
      <c r="H414" s="243"/>
      <c r="I414" s="243"/>
      <c r="J414" s="243"/>
      <c r="K414" s="243"/>
      <c r="L414" s="243"/>
      <c r="M414" s="243"/>
      <c r="N414" s="243"/>
      <c r="O414" s="243"/>
      <c r="P414" s="243"/>
      <c r="Q414" s="243"/>
      <c r="R414" s="243"/>
      <c r="S414" s="243"/>
      <c r="T414" s="243"/>
      <c r="U414" s="243"/>
      <c r="V414" s="243"/>
      <c r="W414" s="243"/>
      <c r="X414" s="243"/>
      <c r="Y414" s="243"/>
      <c r="Z414" s="243"/>
      <c r="AA414" s="243"/>
      <c r="AB414" s="243"/>
      <c r="AC414" s="243"/>
      <c r="AD414" s="243"/>
      <c r="AE414" s="243"/>
      <c r="AF414" s="243"/>
      <c r="AG414" s="243"/>
      <c r="AH414" s="243"/>
      <c r="AI414" s="243"/>
      <c r="AJ414" s="243"/>
      <c r="AK414" s="243"/>
      <c r="AL414" s="243"/>
      <c r="AM414" s="243"/>
      <c r="AN414" s="243"/>
      <c r="AO414" s="243"/>
      <c r="AP414" s="243"/>
      <c r="AQ414" s="243"/>
      <c r="AR414" s="243"/>
      <c r="AS414" s="243"/>
      <c r="AT414" s="243"/>
      <c r="AU414" s="257"/>
    </row>
    <row r="415" spans="1:47" ht="60" customHeight="1" x14ac:dyDescent="0.35">
      <c r="A415" s="253" t="s">
        <v>5558</v>
      </c>
      <c r="B415" s="231" t="s">
        <v>5640</v>
      </c>
      <c r="C415" s="232" t="s">
        <v>5649</v>
      </c>
      <c r="D415" s="235" t="s">
        <v>5650</v>
      </c>
      <c r="E415" s="236" t="s">
        <v>4844</v>
      </c>
      <c r="F415" s="239" t="s">
        <v>5565</v>
      </c>
      <c r="G415" s="242" t="str">
        <f>IF(COUNTIF(H415:AU415,"&lt;&gt;")=0,"",SUMPRODUCT(((Recommendations[ImplStatus]="Implemented")+(Recommendations[ImplStatus]="Compensated"))*ISNUMBER(MATCH(Recommendations[Id],H415:AU415,0)))/COUNTIF(H415:AU415,"&lt;&gt;"))</f>
        <v/>
      </c>
      <c r="H415" s="243"/>
      <c r="I415" s="243"/>
      <c r="J415" s="243"/>
      <c r="K415" s="243"/>
      <c r="L415" s="243"/>
      <c r="M415" s="243"/>
      <c r="N415" s="243"/>
      <c r="O415" s="243"/>
      <c r="P415" s="243"/>
      <c r="Q415" s="243"/>
      <c r="R415" s="243"/>
      <c r="S415" s="243"/>
      <c r="T415" s="243"/>
      <c r="U415" s="243"/>
      <c r="V415" s="243"/>
      <c r="W415" s="243"/>
      <c r="X415" s="243"/>
      <c r="Y415" s="243"/>
      <c r="Z415" s="243"/>
      <c r="AA415" s="243"/>
      <c r="AB415" s="243"/>
      <c r="AC415" s="243"/>
      <c r="AD415" s="243"/>
      <c r="AE415" s="243"/>
      <c r="AF415" s="243"/>
      <c r="AG415" s="243"/>
      <c r="AH415" s="243"/>
      <c r="AI415" s="243"/>
      <c r="AJ415" s="243"/>
      <c r="AK415" s="243"/>
      <c r="AL415" s="243"/>
      <c r="AM415" s="243"/>
      <c r="AN415" s="243"/>
      <c r="AO415" s="243"/>
      <c r="AP415" s="243"/>
      <c r="AQ415" s="243"/>
      <c r="AR415" s="243"/>
      <c r="AS415" s="243"/>
      <c r="AT415" s="243"/>
      <c r="AU415" s="257"/>
    </row>
    <row r="416" spans="1:47" ht="60" customHeight="1" x14ac:dyDescent="0.35">
      <c r="A416" s="253" t="s">
        <v>5558</v>
      </c>
      <c r="B416" s="231" t="s">
        <v>5640</v>
      </c>
      <c r="C416" s="232" t="s">
        <v>5651</v>
      </c>
      <c r="D416" s="235" t="s">
        <v>5652</v>
      </c>
      <c r="E416" s="236" t="s">
        <v>4844</v>
      </c>
      <c r="F416" s="239" t="s">
        <v>5653</v>
      </c>
      <c r="G416" s="242" t="str">
        <f>IF(COUNTIF(H416:AU416,"&lt;&gt;")=0,"",SUMPRODUCT(((Recommendations[ImplStatus]="Implemented")+(Recommendations[ImplStatus]="Compensated"))*ISNUMBER(MATCH(Recommendations[Id],H416:AU416,0)))/COUNTIF(H416:AU416,"&lt;&gt;"))</f>
        <v/>
      </c>
      <c r="H416" s="243"/>
      <c r="I416" s="243"/>
      <c r="J416" s="243"/>
      <c r="K416" s="243"/>
      <c r="L416" s="243"/>
      <c r="M416" s="243"/>
      <c r="N416" s="243"/>
      <c r="O416" s="243"/>
      <c r="P416" s="243"/>
      <c r="Q416" s="243"/>
      <c r="R416" s="243"/>
      <c r="S416" s="243"/>
      <c r="T416" s="243"/>
      <c r="U416" s="243"/>
      <c r="V416" s="243"/>
      <c r="W416" s="243"/>
      <c r="X416" s="243"/>
      <c r="Y416" s="243"/>
      <c r="Z416" s="243"/>
      <c r="AA416" s="243"/>
      <c r="AB416" s="243"/>
      <c r="AC416" s="243"/>
      <c r="AD416" s="243"/>
      <c r="AE416" s="243"/>
      <c r="AF416" s="243"/>
      <c r="AG416" s="243"/>
      <c r="AH416" s="243"/>
      <c r="AI416" s="243"/>
      <c r="AJ416" s="243"/>
      <c r="AK416" s="243"/>
      <c r="AL416" s="243"/>
      <c r="AM416" s="243"/>
      <c r="AN416" s="243"/>
      <c r="AO416" s="243"/>
      <c r="AP416" s="243"/>
      <c r="AQ416" s="243"/>
      <c r="AR416" s="243"/>
      <c r="AS416" s="243"/>
      <c r="AT416" s="243"/>
      <c r="AU416" s="257"/>
    </row>
    <row r="417" spans="1:47" ht="60" customHeight="1" x14ac:dyDescent="0.35">
      <c r="A417" s="253" t="s">
        <v>5558</v>
      </c>
      <c r="B417" s="231" t="s">
        <v>5640</v>
      </c>
      <c r="C417" s="232" t="s">
        <v>5654</v>
      </c>
      <c r="D417" s="235" t="s">
        <v>5655</v>
      </c>
      <c r="E417" s="236" t="s">
        <v>4844</v>
      </c>
      <c r="F417" s="239" t="s">
        <v>5653</v>
      </c>
      <c r="G417" s="242" t="str">
        <f>IF(COUNTIF(H417:AU417,"&lt;&gt;")=0,"",SUMPRODUCT(((Recommendations[ImplStatus]="Implemented")+(Recommendations[ImplStatus]="Compensated"))*ISNUMBER(MATCH(Recommendations[Id],H417:AU417,0)))/COUNTIF(H417:AU417,"&lt;&gt;"))</f>
        <v/>
      </c>
      <c r="H417" s="243"/>
      <c r="I417" s="243"/>
      <c r="J417" s="243"/>
      <c r="K417" s="243"/>
      <c r="L417" s="243"/>
      <c r="M417" s="243"/>
      <c r="N417" s="243"/>
      <c r="O417" s="243"/>
      <c r="P417" s="243"/>
      <c r="Q417" s="243"/>
      <c r="R417" s="243"/>
      <c r="S417" s="243"/>
      <c r="T417" s="243"/>
      <c r="U417" s="243"/>
      <c r="V417" s="243"/>
      <c r="W417" s="243"/>
      <c r="X417" s="243"/>
      <c r="Y417" s="243"/>
      <c r="Z417" s="243"/>
      <c r="AA417" s="243"/>
      <c r="AB417" s="243"/>
      <c r="AC417" s="243"/>
      <c r="AD417" s="243"/>
      <c r="AE417" s="243"/>
      <c r="AF417" s="243"/>
      <c r="AG417" s="243"/>
      <c r="AH417" s="243"/>
      <c r="AI417" s="243"/>
      <c r="AJ417" s="243"/>
      <c r="AK417" s="243"/>
      <c r="AL417" s="243"/>
      <c r="AM417" s="243"/>
      <c r="AN417" s="243"/>
      <c r="AO417" s="243"/>
      <c r="AP417" s="243"/>
      <c r="AQ417" s="243"/>
      <c r="AR417" s="243"/>
      <c r="AS417" s="243"/>
      <c r="AT417" s="243"/>
      <c r="AU417" s="257"/>
    </row>
    <row r="418" spans="1:47" ht="60" customHeight="1" x14ac:dyDescent="0.35">
      <c r="A418" s="253" t="s">
        <v>5558</v>
      </c>
      <c r="B418" s="231" t="s">
        <v>5640</v>
      </c>
      <c r="C418" s="232" t="s">
        <v>5656</v>
      </c>
      <c r="D418" s="235" t="s">
        <v>5657</v>
      </c>
      <c r="E418" s="236" t="s">
        <v>5094</v>
      </c>
      <c r="F418" s="239" t="s">
        <v>5653</v>
      </c>
      <c r="G418" s="242" t="str">
        <f>IF(COUNTIF(H418:AU418,"&lt;&gt;")=0,"",SUMPRODUCT(((Recommendations[ImplStatus]="Implemented")+(Recommendations[ImplStatus]="Compensated"))*ISNUMBER(MATCH(Recommendations[Id],H418:AU418,0)))/COUNTIF(H418:AU418,"&lt;&gt;"))</f>
        <v/>
      </c>
      <c r="H418" s="243"/>
      <c r="I418" s="243"/>
      <c r="J418" s="243"/>
      <c r="K418" s="243"/>
      <c r="L418" s="243"/>
      <c r="M418" s="243"/>
      <c r="N418" s="243"/>
      <c r="O418" s="243"/>
      <c r="P418" s="243"/>
      <c r="Q418" s="243"/>
      <c r="R418" s="243"/>
      <c r="S418" s="243"/>
      <c r="T418" s="243"/>
      <c r="U418" s="243"/>
      <c r="V418" s="243"/>
      <c r="W418" s="243"/>
      <c r="X418" s="243"/>
      <c r="Y418" s="243"/>
      <c r="Z418" s="243"/>
      <c r="AA418" s="243"/>
      <c r="AB418" s="243"/>
      <c r="AC418" s="243"/>
      <c r="AD418" s="243"/>
      <c r="AE418" s="243"/>
      <c r="AF418" s="243"/>
      <c r="AG418" s="243"/>
      <c r="AH418" s="243"/>
      <c r="AI418" s="243"/>
      <c r="AJ418" s="243"/>
      <c r="AK418" s="243"/>
      <c r="AL418" s="243"/>
      <c r="AM418" s="243"/>
      <c r="AN418" s="243"/>
      <c r="AO418" s="243"/>
      <c r="AP418" s="243"/>
      <c r="AQ418" s="243"/>
      <c r="AR418" s="243"/>
      <c r="AS418" s="243"/>
      <c r="AT418" s="243"/>
      <c r="AU418" s="257"/>
    </row>
    <row r="419" spans="1:47" ht="60" customHeight="1" x14ac:dyDescent="0.35">
      <c r="A419" s="253" t="s">
        <v>5558</v>
      </c>
      <c r="B419" s="231" t="s">
        <v>5640</v>
      </c>
      <c r="C419" s="232" t="s">
        <v>5658</v>
      </c>
      <c r="D419" s="235" t="s">
        <v>5659</v>
      </c>
      <c r="E419" s="236" t="s">
        <v>4844</v>
      </c>
      <c r="F419" s="239" t="s">
        <v>5653</v>
      </c>
      <c r="G419" s="242" t="str">
        <f>IF(COUNTIF(H419:AU419,"&lt;&gt;")=0,"",SUMPRODUCT(((Recommendations[ImplStatus]="Implemented")+(Recommendations[ImplStatus]="Compensated"))*ISNUMBER(MATCH(Recommendations[Id],H419:AU419,0)))/COUNTIF(H419:AU419,"&lt;&gt;"))</f>
        <v/>
      </c>
      <c r="H419" s="243"/>
      <c r="I419" s="243"/>
      <c r="J419" s="243"/>
      <c r="K419" s="243"/>
      <c r="L419" s="243"/>
      <c r="M419" s="243"/>
      <c r="N419" s="243"/>
      <c r="O419" s="243"/>
      <c r="P419" s="243"/>
      <c r="Q419" s="243"/>
      <c r="R419" s="243"/>
      <c r="S419" s="243"/>
      <c r="T419" s="243"/>
      <c r="U419" s="243"/>
      <c r="V419" s="243"/>
      <c r="W419" s="243"/>
      <c r="X419" s="243"/>
      <c r="Y419" s="243"/>
      <c r="Z419" s="243"/>
      <c r="AA419" s="243"/>
      <c r="AB419" s="243"/>
      <c r="AC419" s="243"/>
      <c r="AD419" s="243"/>
      <c r="AE419" s="243"/>
      <c r="AF419" s="243"/>
      <c r="AG419" s="243"/>
      <c r="AH419" s="243"/>
      <c r="AI419" s="243"/>
      <c r="AJ419" s="243"/>
      <c r="AK419" s="243"/>
      <c r="AL419" s="243"/>
      <c r="AM419" s="243"/>
      <c r="AN419" s="243"/>
      <c r="AO419" s="243"/>
      <c r="AP419" s="243"/>
      <c r="AQ419" s="243"/>
      <c r="AR419" s="243"/>
      <c r="AS419" s="243"/>
      <c r="AT419" s="243"/>
      <c r="AU419" s="257"/>
    </row>
    <row r="420" spans="1:47" ht="60" customHeight="1" x14ac:dyDescent="0.35">
      <c r="A420" s="253" t="s">
        <v>5558</v>
      </c>
      <c r="B420" s="231" t="s">
        <v>5640</v>
      </c>
      <c r="C420" s="232" t="s">
        <v>5660</v>
      </c>
      <c r="D420" s="235" t="s">
        <v>5661</v>
      </c>
      <c r="E420" s="236" t="s">
        <v>5094</v>
      </c>
      <c r="F420" s="239" t="s">
        <v>5653</v>
      </c>
      <c r="G420" s="242" t="str">
        <f>IF(COUNTIF(H420:AU420,"&lt;&gt;")=0,"",SUMPRODUCT(((Recommendations[ImplStatus]="Implemented")+(Recommendations[ImplStatus]="Compensated"))*ISNUMBER(MATCH(Recommendations[Id],H420:AU420,0)))/COUNTIF(H420:AU420,"&lt;&gt;"))</f>
        <v/>
      </c>
      <c r="H420" s="243"/>
      <c r="I420" s="243"/>
      <c r="J420" s="243"/>
      <c r="K420" s="243"/>
      <c r="L420" s="243"/>
      <c r="M420" s="243"/>
      <c r="N420" s="243"/>
      <c r="O420" s="243"/>
      <c r="P420" s="243"/>
      <c r="Q420" s="243"/>
      <c r="R420" s="243"/>
      <c r="S420" s="243"/>
      <c r="T420" s="243"/>
      <c r="U420" s="243"/>
      <c r="V420" s="243"/>
      <c r="W420" s="243"/>
      <c r="X420" s="243"/>
      <c r="Y420" s="243"/>
      <c r="Z420" s="243"/>
      <c r="AA420" s="243"/>
      <c r="AB420" s="243"/>
      <c r="AC420" s="243"/>
      <c r="AD420" s="243"/>
      <c r="AE420" s="243"/>
      <c r="AF420" s="243"/>
      <c r="AG420" s="243"/>
      <c r="AH420" s="243"/>
      <c r="AI420" s="243"/>
      <c r="AJ420" s="243"/>
      <c r="AK420" s="243"/>
      <c r="AL420" s="243"/>
      <c r="AM420" s="243"/>
      <c r="AN420" s="243"/>
      <c r="AO420" s="243"/>
      <c r="AP420" s="243"/>
      <c r="AQ420" s="243"/>
      <c r="AR420" s="243"/>
      <c r="AS420" s="243"/>
      <c r="AT420" s="243"/>
      <c r="AU420" s="257"/>
    </row>
    <row r="421" spans="1:47" ht="60" customHeight="1" x14ac:dyDescent="0.35">
      <c r="A421" s="253" t="s">
        <v>5558</v>
      </c>
      <c r="B421" s="231" t="s">
        <v>5640</v>
      </c>
      <c r="C421" s="232" t="s">
        <v>5662</v>
      </c>
      <c r="D421" s="235" t="s">
        <v>5663</v>
      </c>
      <c r="E421" s="236" t="s">
        <v>5094</v>
      </c>
      <c r="F421" s="239" t="s">
        <v>5653</v>
      </c>
      <c r="G421" s="242" t="str">
        <f>IF(COUNTIF(H421:AU421,"&lt;&gt;")=0,"",SUMPRODUCT(((Recommendations[ImplStatus]="Implemented")+(Recommendations[ImplStatus]="Compensated"))*ISNUMBER(MATCH(Recommendations[Id],H421:AU421,0)))/COUNTIF(H421:AU421,"&lt;&gt;"))</f>
        <v/>
      </c>
      <c r="H421" s="243"/>
      <c r="I421" s="243"/>
      <c r="J421" s="243"/>
      <c r="K421" s="243"/>
      <c r="L421" s="243"/>
      <c r="M421" s="243"/>
      <c r="N421" s="243"/>
      <c r="O421" s="243"/>
      <c r="P421" s="243"/>
      <c r="Q421" s="243"/>
      <c r="R421" s="243"/>
      <c r="S421" s="243"/>
      <c r="T421" s="243"/>
      <c r="U421" s="243"/>
      <c r="V421" s="243"/>
      <c r="W421" s="243"/>
      <c r="X421" s="243"/>
      <c r="Y421" s="243"/>
      <c r="Z421" s="243"/>
      <c r="AA421" s="243"/>
      <c r="AB421" s="243"/>
      <c r="AC421" s="243"/>
      <c r="AD421" s="243"/>
      <c r="AE421" s="243"/>
      <c r="AF421" s="243"/>
      <c r="AG421" s="243"/>
      <c r="AH421" s="243"/>
      <c r="AI421" s="243"/>
      <c r="AJ421" s="243"/>
      <c r="AK421" s="243"/>
      <c r="AL421" s="243"/>
      <c r="AM421" s="243"/>
      <c r="AN421" s="243"/>
      <c r="AO421" s="243"/>
      <c r="AP421" s="243"/>
      <c r="AQ421" s="243"/>
      <c r="AR421" s="243"/>
      <c r="AS421" s="243"/>
      <c r="AT421" s="243"/>
      <c r="AU421" s="257"/>
    </row>
    <row r="422" spans="1:47" ht="60" customHeight="1" x14ac:dyDescent="0.35">
      <c r="A422" s="253" t="s">
        <v>5558</v>
      </c>
      <c r="B422" s="231" t="s">
        <v>5640</v>
      </c>
      <c r="C422" s="232" t="s">
        <v>5664</v>
      </c>
      <c r="D422" s="235" t="s">
        <v>5665</v>
      </c>
      <c r="E422" s="236" t="s">
        <v>4844</v>
      </c>
      <c r="F422" s="239" t="s">
        <v>5653</v>
      </c>
      <c r="G422" s="242" t="str">
        <f>IF(COUNTIF(H422:AU422,"&lt;&gt;")=0,"",SUMPRODUCT(((Recommendations[ImplStatus]="Implemented")+(Recommendations[ImplStatus]="Compensated"))*ISNUMBER(MATCH(Recommendations[Id],H422:AU422,0)))/COUNTIF(H422:AU422,"&lt;&gt;"))</f>
        <v/>
      </c>
      <c r="H422" s="243"/>
      <c r="I422" s="243"/>
      <c r="J422" s="243"/>
      <c r="K422" s="243"/>
      <c r="L422" s="243"/>
      <c r="M422" s="243"/>
      <c r="N422" s="243"/>
      <c r="O422" s="243"/>
      <c r="P422" s="243"/>
      <c r="Q422" s="243"/>
      <c r="R422" s="243"/>
      <c r="S422" s="243"/>
      <c r="T422" s="243"/>
      <c r="U422" s="243"/>
      <c r="V422" s="243"/>
      <c r="W422" s="243"/>
      <c r="X422" s="243"/>
      <c r="Y422" s="243"/>
      <c r="Z422" s="243"/>
      <c r="AA422" s="243"/>
      <c r="AB422" s="243"/>
      <c r="AC422" s="243"/>
      <c r="AD422" s="243"/>
      <c r="AE422" s="243"/>
      <c r="AF422" s="243"/>
      <c r="AG422" s="243"/>
      <c r="AH422" s="243"/>
      <c r="AI422" s="243"/>
      <c r="AJ422" s="243"/>
      <c r="AK422" s="243"/>
      <c r="AL422" s="243"/>
      <c r="AM422" s="243"/>
      <c r="AN422" s="243"/>
      <c r="AO422" s="243"/>
      <c r="AP422" s="243"/>
      <c r="AQ422" s="243"/>
      <c r="AR422" s="243"/>
      <c r="AS422" s="243"/>
      <c r="AT422" s="243"/>
      <c r="AU422" s="257"/>
    </row>
    <row r="423" spans="1:47" ht="60" customHeight="1" x14ac:dyDescent="0.35">
      <c r="A423" s="253" t="s">
        <v>5558</v>
      </c>
      <c r="B423" s="231" t="s">
        <v>5640</v>
      </c>
      <c r="C423" s="232" t="s">
        <v>5666</v>
      </c>
      <c r="D423" s="235" t="s">
        <v>5667</v>
      </c>
      <c r="E423" s="236" t="s">
        <v>4844</v>
      </c>
      <c r="F423" s="239" t="s">
        <v>5653</v>
      </c>
      <c r="G423" s="242" t="str">
        <f>IF(COUNTIF(H423:AU423,"&lt;&gt;")=0,"",SUMPRODUCT(((Recommendations[ImplStatus]="Implemented")+(Recommendations[ImplStatus]="Compensated"))*ISNUMBER(MATCH(Recommendations[Id],H423:AU423,0)))/COUNTIF(H423:AU423,"&lt;&gt;"))</f>
        <v/>
      </c>
      <c r="H423" s="243"/>
      <c r="I423" s="243"/>
      <c r="J423" s="243"/>
      <c r="K423" s="243"/>
      <c r="L423" s="243"/>
      <c r="M423" s="243"/>
      <c r="N423" s="243"/>
      <c r="O423" s="243"/>
      <c r="P423" s="243"/>
      <c r="Q423" s="243"/>
      <c r="R423" s="243"/>
      <c r="S423" s="243"/>
      <c r="T423" s="243"/>
      <c r="U423" s="243"/>
      <c r="V423" s="243"/>
      <c r="W423" s="243"/>
      <c r="X423" s="243"/>
      <c r="Y423" s="243"/>
      <c r="Z423" s="243"/>
      <c r="AA423" s="243"/>
      <c r="AB423" s="243"/>
      <c r="AC423" s="243"/>
      <c r="AD423" s="243"/>
      <c r="AE423" s="243"/>
      <c r="AF423" s="243"/>
      <c r="AG423" s="243"/>
      <c r="AH423" s="243"/>
      <c r="AI423" s="243"/>
      <c r="AJ423" s="243"/>
      <c r="AK423" s="243"/>
      <c r="AL423" s="243"/>
      <c r="AM423" s="243"/>
      <c r="AN423" s="243"/>
      <c r="AO423" s="243"/>
      <c r="AP423" s="243"/>
      <c r="AQ423" s="243"/>
      <c r="AR423" s="243"/>
      <c r="AS423" s="243"/>
      <c r="AT423" s="243"/>
      <c r="AU423" s="257"/>
    </row>
    <row r="424" spans="1:47" ht="60" customHeight="1" outlineLevel="1" x14ac:dyDescent="0.35">
      <c r="A424" s="251" t="s">
        <v>5668</v>
      </c>
      <c r="B424" s="229"/>
      <c r="C424" s="229"/>
      <c r="D424" s="233"/>
      <c r="E424" s="229"/>
      <c r="F424" s="237"/>
      <c r="G424" s="240" t="str">
        <f>IF(COUNTIF(H424:AU424,"&lt;&gt;")=0,"",SUMPRODUCT(((Recommendations[ImplStatus]="Implemented")+(Recommendations[ImplStatus]="Compensated"))*ISNUMBER(MATCH(Recommendations[Id],H424:AU424,0)))/COUNTIF(H424:AU424,"&lt;&gt;"))</f>
        <v/>
      </c>
      <c r="H424" s="237"/>
      <c r="I424" s="237"/>
      <c r="J424" s="237"/>
      <c r="K424" s="237"/>
      <c r="L424" s="237"/>
      <c r="M424" s="237"/>
      <c r="N424" s="237"/>
      <c r="O424" s="237"/>
      <c r="P424" s="237"/>
      <c r="Q424" s="237"/>
      <c r="R424" s="237"/>
      <c r="S424" s="237"/>
      <c r="T424" s="237"/>
      <c r="U424" s="237"/>
      <c r="V424" s="237"/>
      <c r="W424" s="237"/>
      <c r="X424" s="237"/>
      <c r="Y424" s="237"/>
      <c r="Z424" s="237"/>
      <c r="AA424" s="237"/>
      <c r="AB424" s="237"/>
      <c r="AC424" s="237"/>
      <c r="AD424" s="237"/>
      <c r="AE424" s="237"/>
      <c r="AF424" s="237"/>
      <c r="AG424" s="237"/>
      <c r="AH424" s="237"/>
      <c r="AI424" s="237"/>
      <c r="AJ424" s="237"/>
      <c r="AK424" s="237"/>
      <c r="AL424" s="237"/>
      <c r="AM424" s="237"/>
      <c r="AN424" s="237"/>
      <c r="AO424" s="237"/>
      <c r="AP424" s="237"/>
      <c r="AQ424" s="237"/>
      <c r="AR424" s="237"/>
      <c r="AS424" s="237"/>
      <c r="AT424" s="237"/>
      <c r="AU424" s="255"/>
    </row>
    <row r="425" spans="1:47" ht="60" customHeight="1" outlineLevel="2" x14ac:dyDescent="0.35">
      <c r="A425" s="252" t="s">
        <v>5668</v>
      </c>
      <c r="B425" s="230" t="s">
        <v>5669</v>
      </c>
      <c r="C425" s="230"/>
      <c r="D425" s="234"/>
      <c r="E425" s="230"/>
      <c r="F425" s="238"/>
      <c r="G425" s="241" t="str">
        <f>IF(COUNTIF(H425:AU425,"&lt;&gt;")=0,"",SUMPRODUCT(((Recommendations[ImplStatus]="Implemented")+(Recommendations[ImplStatus]="Compensated"))*ISNUMBER(MATCH(Recommendations[Id],H425:AU425,0)))/COUNTIF(H425:AU425,"&lt;&gt;"))</f>
        <v/>
      </c>
      <c r="H425" s="238"/>
      <c r="I425" s="238"/>
      <c r="J425" s="238"/>
      <c r="K425" s="238"/>
      <c r="L425" s="238"/>
      <c r="M425" s="238"/>
      <c r="N425" s="238"/>
      <c r="O425" s="238"/>
      <c r="P425" s="238"/>
      <c r="Q425" s="238"/>
      <c r="R425" s="238"/>
      <c r="S425" s="238"/>
      <c r="T425" s="238"/>
      <c r="U425" s="238"/>
      <c r="V425" s="238"/>
      <c r="W425" s="238"/>
      <c r="X425" s="238"/>
      <c r="Y425" s="238"/>
      <c r="Z425" s="238"/>
      <c r="AA425" s="238"/>
      <c r="AB425" s="238"/>
      <c r="AC425" s="238"/>
      <c r="AD425" s="238"/>
      <c r="AE425" s="238"/>
      <c r="AF425" s="238"/>
      <c r="AG425" s="238"/>
      <c r="AH425" s="238"/>
      <c r="AI425" s="238"/>
      <c r="AJ425" s="238"/>
      <c r="AK425" s="238"/>
      <c r="AL425" s="238"/>
      <c r="AM425" s="238"/>
      <c r="AN425" s="238"/>
      <c r="AO425" s="238"/>
      <c r="AP425" s="238"/>
      <c r="AQ425" s="238"/>
      <c r="AR425" s="238"/>
      <c r="AS425" s="238"/>
      <c r="AT425" s="238"/>
      <c r="AU425" s="256"/>
    </row>
    <row r="426" spans="1:47" ht="60" customHeight="1" x14ac:dyDescent="0.35">
      <c r="A426" s="253" t="s">
        <v>5668</v>
      </c>
      <c r="B426" s="231" t="s">
        <v>5669</v>
      </c>
      <c r="C426" s="232" t="s">
        <v>5670</v>
      </c>
      <c r="D426" s="235" t="s">
        <v>5671</v>
      </c>
      <c r="E426" s="236" t="s">
        <v>4815</v>
      </c>
      <c r="F426" s="239" t="s">
        <v>5632</v>
      </c>
      <c r="G426" s="242" t="str">
        <f>IF(COUNTIF(H426:AU426,"&lt;&gt;")=0,"",SUMPRODUCT(((Recommendations[ImplStatus]="Implemented")+(Recommendations[ImplStatus]="Compensated"))*ISNUMBER(MATCH(Recommendations[Id],H426:AU426,0)))/COUNTIF(H426:AU426,"&lt;&gt;"))</f>
        <v/>
      </c>
      <c r="H426" s="243"/>
      <c r="I426" s="243"/>
      <c r="J426" s="243"/>
      <c r="K426" s="243"/>
      <c r="L426" s="243"/>
      <c r="M426" s="243"/>
      <c r="N426" s="243"/>
      <c r="O426" s="243"/>
      <c r="P426" s="243"/>
      <c r="Q426" s="243"/>
      <c r="R426" s="243"/>
      <c r="S426" s="243"/>
      <c r="T426" s="243"/>
      <c r="U426" s="243"/>
      <c r="V426" s="243"/>
      <c r="W426" s="243"/>
      <c r="X426" s="243"/>
      <c r="Y426" s="243"/>
      <c r="Z426" s="243"/>
      <c r="AA426" s="243"/>
      <c r="AB426" s="243"/>
      <c r="AC426" s="243"/>
      <c r="AD426" s="243"/>
      <c r="AE426" s="243"/>
      <c r="AF426" s="243"/>
      <c r="AG426" s="243"/>
      <c r="AH426" s="243"/>
      <c r="AI426" s="243"/>
      <c r="AJ426" s="243"/>
      <c r="AK426" s="243"/>
      <c r="AL426" s="243"/>
      <c r="AM426" s="243"/>
      <c r="AN426" s="243"/>
      <c r="AO426" s="243"/>
      <c r="AP426" s="243"/>
      <c r="AQ426" s="243"/>
      <c r="AR426" s="243"/>
      <c r="AS426" s="243"/>
      <c r="AT426" s="243"/>
      <c r="AU426" s="257"/>
    </row>
    <row r="427" spans="1:47" ht="60" customHeight="1" x14ac:dyDescent="0.35">
      <c r="A427" s="253" t="s">
        <v>5668</v>
      </c>
      <c r="B427" s="231" t="s">
        <v>5669</v>
      </c>
      <c r="C427" s="232" t="s">
        <v>5672</v>
      </c>
      <c r="D427" s="235" t="s">
        <v>5673</v>
      </c>
      <c r="E427" s="236" t="s">
        <v>4815</v>
      </c>
      <c r="F427" s="239" t="s">
        <v>5632</v>
      </c>
      <c r="G427" s="242" t="str">
        <f>IF(COUNTIF(H427:AU427,"&lt;&gt;")=0,"",SUMPRODUCT(((Recommendations[ImplStatus]="Implemented")+(Recommendations[ImplStatus]="Compensated"))*ISNUMBER(MATCH(Recommendations[Id],H427:AU427,0)))/COUNTIF(H427:AU427,"&lt;&gt;"))</f>
        <v/>
      </c>
      <c r="H427" s="243"/>
      <c r="I427" s="243"/>
      <c r="J427" s="243"/>
      <c r="K427" s="243"/>
      <c r="L427" s="243"/>
      <c r="M427" s="243"/>
      <c r="N427" s="243"/>
      <c r="O427" s="243"/>
      <c r="P427" s="243"/>
      <c r="Q427" s="243"/>
      <c r="R427" s="243"/>
      <c r="S427" s="243"/>
      <c r="T427" s="243"/>
      <c r="U427" s="243"/>
      <c r="V427" s="243"/>
      <c r="W427" s="243"/>
      <c r="X427" s="243"/>
      <c r="Y427" s="243"/>
      <c r="Z427" s="243"/>
      <c r="AA427" s="243"/>
      <c r="AB427" s="243"/>
      <c r="AC427" s="243"/>
      <c r="AD427" s="243"/>
      <c r="AE427" s="243"/>
      <c r="AF427" s="243"/>
      <c r="AG427" s="243"/>
      <c r="AH427" s="243"/>
      <c r="AI427" s="243"/>
      <c r="AJ427" s="243"/>
      <c r="AK427" s="243"/>
      <c r="AL427" s="243"/>
      <c r="AM427" s="243"/>
      <c r="AN427" s="243"/>
      <c r="AO427" s="243"/>
      <c r="AP427" s="243"/>
      <c r="AQ427" s="243"/>
      <c r="AR427" s="243"/>
      <c r="AS427" s="243"/>
      <c r="AT427" s="243"/>
      <c r="AU427" s="257"/>
    </row>
    <row r="428" spans="1:47" ht="60" customHeight="1" x14ac:dyDescent="0.35">
      <c r="A428" s="253" t="s">
        <v>5668</v>
      </c>
      <c r="B428" s="231" t="s">
        <v>5669</v>
      </c>
      <c r="C428" s="232" t="s">
        <v>5674</v>
      </c>
      <c r="D428" s="235" t="s">
        <v>5675</v>
      </c>
      <c r="E428" s="236" t="s">
        <v>5094</v>
      </c>
      <c r="F428" s="239" t="s">
        <v>5632</v>
      </c>
      <c r="G428" s="242" t="str">
        <f>IF(COUNTIF(H428:AU428,"&lt;&gt;")=0,"",SUMPRODUCT(((Recommendations[ImplStatus]="Implemented")+(Recommendations[ImplStatus]="Compensated"))*ISNUMBER(MATCH(Recommendations[Id],H428:AU428,0)))/COUNTIF(H428:AU428,"&lt;&gt;"))</f>
        <v/>
      </c>
      <c r="H428" s="243"/>
      <c r="I428" s="243"/>
      <c r="J428" s="243"/>
      <c r="K428" s="243"/>
      <c r="L428" s="243"/>
      <c r="M428" s="243"/>
      <c r="N428" s="243"/>
      <c r="O428" s="243"/>
      <c r="P428" s="243"/>
      <c r="Q428" s="243"/>
      <c r="R428" s="243"/>
      <c r="S428" s="243"/>
      <c r="T428" s="243"/>
      <c r="U428" s="243"/>
      <c r="V428" s="243"/>
      <c r="W428" s="243"/>
      <c r="X428" s="243"/>
      <c r="Y428" s="243"/>
      <c r="Z428" s="243"/>
      <c r="AA428" s="243"/>
      <c r="AB428" s="243"/>
      <c r="AC428" s="243"/>
      <c r="AD428" s="243"/>
      <c r="AE428" s="243"/>
      <c r="AF428" s="243"/>
      <c r="AG428" s="243"/>
      <c r="AH428" s="243"/>
      <c r="AI428" s="243"/>
      <c r="AJ428" s="243"/>
      <c r="AK428" s="243"/>
      <c r="AL428" s="243"/>
      <c r="AM428" s="243"/>
      <c r="AN428" s="243"/>
      <c r="AO428" s="243"/>
      <c r="AP428" s="243"/>
      <c r="AQ428" s="243"/>
      <c r="AR428" s="243"/>
      <c r="AS428" s="243"/>
      <c r="AT428" s="243"/>
      <c r="AU428" s="257"/>
    </row>
    <row r="429" spans="1:47" ht="60" customHeight="1" x14ac:dyDescent="0.35">
      <c r="A429" s="253" t="s">
        <v>5668</v>
      </c>
      <c r="B429" s="231" t="s">
        <v>5669</v>
      </c>
      <c r="C429" s="232" t="s">
        <v>5676</v>
      </c>
      <c r="D429" s="235" t="s">
        <v>5677</v>
      </c>
      <c r="E429" s="236" t="s">
        <v>4844</v>
      </c>
      <c r="F429" s="239" t="s">
        <v>5632</v>
      </c>
      <c r="G429" s="242" t="str">
        <f>IF(COUNTIF(H429:AU429,"&lt;&gt;")=0,"",SUMPRODUCT(((Recommendations[ImplStatus]="Implemented")+(Recommendations[ImplStatus]="Compensated"))*ISNUMBER(MATCH(Recommendations[Id],H429:AU429,0)))/COUNTIF(H429:AU429,"&lt;&gt;"))</f>
        <v/>
      </c>
      <c r="H429" s="243"/>
      <c r="I429" s="243"/>
      <c r="J429" s="243"/>
      <c r="K429" s="243"/>
      <c r="L429" s="243"/>
      <c r="M429" s="243"/>
      <c r="N429" s="243"/>
      <c r="O429" s="243"/>
      <c r="P429" s="243"/>
      <c r="Q429" s="243"/>
      <c r="R429" s="243"/>
      <c r="S429" s="243"/>
      <c r="T429" s="243"/>
      <c r="U429" s="243"/>
      <c r="V429" s="243"/>
      <c r="W429" s="243"/>
      <c r="X429" s="243"/>
      <c r="Y429" s="243"/>
      <c r="Z429" s="243"/>
      <c r="AA429" s="243"/>
      <c r="AB429" s="243"/>
      <c r="AC429" s="243"/>
      <c r="AD429" s="243"/>
      <c r="AE429" s="243"/>
      <c r="AF429" s="243"/>
      <c r="AG429" s="243"/>
      <c r="AH429" s="243"/>
      <c r="AI429" s="243"/>
      <c r="AJ429" s="243"/>
      <c r="AK429" s="243"/>
      <c r="AL429" s="243"/>
      <c r="AM429" s="243"/>
      <c r="AN429" s="243"/>
      <c r="AO429" s="243"/>
      <c r="AP429" s="243"/>
      <c r="AQ429" s="243"/>
      <c r="AR429" s="243"/>
      <c r="AS429" s="243"/>
      <c r="AT429" s="243"/>
      <c r="AU429" s="257"/>
    </row>
    <row r="430" spans="1:47" ht="60" customHeight="1" x14ac:dyDescent="0.35">
      <c r="A430" s="253" t="s">
        <v>5668</v>
      </c>
      <c r="B430" s="231" t="s">
        <v>5669</v>
      </c>
      <c r="C430" s="232" t="s">
        <v>5678</v>
      </c>
      <c r="D430" s="235" t="s">
        <v>5679</v>
      </c>
      <c r="E430" s="236" t="s">
        <v>4844</v>
      </c>
      <c r="F430" s="239" t="s">
        <v>5632</v>
      </c>
      <c r="G430" s="242" t="str">
        <f>IF(COUNTIF(H430:AU430,"&lt;&gt;")=0,"",SUMPRODUCT(((Recommendations[ImplStatus]="Implemented")+(Recommendations[ImplStatus]="Compensated"))*ISNUMBER(MATCH(Recommendations[Id],H430:AU430,0)))/COUNTIF(H430:AU430,"&lt;&gt;"))</f>
        <v/>
      </c>
      <c r="H430" s="243"/>
      <c r="I430" s="243"/>
      <c r="J430" s="243"/>
      <c r="K430" s="243"/>
      <c r="L430" s="243"/>
      <c r="M430" s="243"/>
      <c r="N430" s="243"/>
      <c r="O430" s="243"/>
      <c r="P430" s="243"/>
      <c r="Q430" s="243"/>
      <c r="R430" s="243"/>
      <c r="S430" s="243"/>
      <c r="T430" s="243"/>
      <c r="U430" s="243"/>
      <c r="V430" s="243"/>
      <c r="W430" s="243"/>
      <c r="X430" s="243"/>
      <c r="Y430" s="243"/>
      <c r="Z430" s="243"/>
      <c r="AA430" s="243"/>
      <c r="AB430" s="243"/>
      <c r="AC430" s="243"/>
      <c r="AD430" s="243"/>
      <c r="AE430" s="243"/>
      <c r="AF430" s="243"/>
      <c r="AG430" s="243"/>
      <c r="AH430" s="243"/>
      <c r="AI430" s="243"/>
      <c r="AJ430" s="243"/>
      <c r="AK430" s="243"/>
      <c r="AL430" s="243"/>
      <c r="AM430" s="243"/>
      <c r="AN430" s="243"/>
      <c r="AO430" s="243"/>
      <c r="AP430" s="243"/>
      <c r="AQ430" s="243"/>
      <c r="AR430" s="243"/>
      <c r="AS430" s="243"/>
      <c r="AT430" s="243"/>
      <c r="AU430" s="257"/>
    </row>
    <row r="431" spans="1:47" ht="60" customHeight="1" x14ac:dyDescent="0.35">
      <c r="A431" s="253" t="s">
        <v>5668</v>
      </c>
      <c r="B431" s="231" t="s">
        <v>5669</v>
      </c>
      <c r="C431" s="232" t="s">
        <v>5680</v>
      </c>
      <c r="D431" s="235" t="s">
        <v>5681</v>
      </c>
      <c r="E431" s="236" t="s">
        <v>5094</v>
      </c>
      <c r="F431" s="239" t="s">
        <v>5632</v>
      </c>
      <c r="G431" s="242" t="str">
        <f>IF(COUNTIF(H431:AU431,"&lt;&gt;")=0,"",SUMPRODUCT(((Recommendations[ImplStatus]="Implemented")+(Recommendations[ImplStatus]="Compensated"))*ISNUMBER(MATCH(Recommendations[Id],H431:AU431,0)))/COUNTIF(H431:AU431,"&lt;&gt;"))</f>
        <v/>
      </c>
      <c r="H431" s="243"/>
      <c r="I431" s="243"/>
      <c r="J431" s="243"/>
      <c r="K431" s="243"/>
      <c r="L431" s="243"/>
      <c r="M431" s="243"/>
      <c r="N431" s="243"/>
      <c r="O431" s="243"/>
      <c r="P431" s="243"/>
      <c r="Q431" s="243"/>
      <c r="R431" s="243"/>
      <c r="S431" s="243"/>
      <c r="T431" s="243"/>
      <c r="U431" s="243"/>
      <c r="V431" s="243"/>
      <c r="W431" s="243"/>
      <c r="X431" s="243"/>
      <c r="Y431" s="243"/>
      <c r="Z431" s="243"/>
      <c r="AA431" s="243"/>
      <c r="AB431" s="243"/>
      <c r="AC431" s="243"/>
      <c r="AD431" s="243"/>
      <c r="AE431" s="243"/>
      <c r="AF431" s="243"/>
      <c r="AG431" s="243"/>
      <c r="AH431" s="243"/>
      <c r="AI431" s="243"/>
      <c r="AJ431" s="243"/>
      <c r="AK431" s="243"/>
      <c r="AL431" s="243"/>
      <c r="AM431" s="243"/>
      <c r="AN431" s="243"/>
      <c r="AO431" s="243"/>
      <c r="AP431" s="243"/>
      <c r="AQ431" s="243"/>
      <c r="AR431" s="243"/>
      <c r="AS431" s="243"/>
      <c r="AT431" s="243"/>
      <c r="AU431" s="257"/>
    </row>
    <row r="432" spans="1:47" ht="60" customHeight="1" x14ac:dyDescent="0.35">
      <c r="A432" s="253" t="s">
        <v>5668</v>
      </c>
      <c r="B432" s="231" t="s">
        <v>5669</v>
      </c>
      <c r="C432" s="232" t="s">
        <v>5682</v>
      </c>
      <c r="D432" s="235" t="s">
        <v>5683</v>
      </c>
      <c r="E432" s="236" t="s">
        <v>5094</v>
      </c>
      <c r="F432" s="239" t="s">
        <v>5632</v>
      </c>
      <c r="G432" s="242" t="str">
        <f>IF(COUNTIF(H432:AU432,"&lt;&gt;")=0,"",SUMPRODUCT(((Recommendations[ImplStatus]="Implemented")+(Recommendations[ImplStatus]="Compensated"))*ISNUMBER(MATCH(Recommendations[Id],H432:AU432,0)))/COUNTIF(H432:AU432,"&lt;&gt;"))</f>
        <v/>
      </c>
      <c r="H432" s="243"/>
      <c r="I432" s="243"/>
      <c r="J432" s="243"/>
      <c r="K432" s="243"/>
      <c r="L432" s="243"/>
      <c r="M432" s="243"/>
      <c r="N432" s="243"/>
      <c r="O432" s="243"/>
      <c r="P432" s="243"/>
      <c r="Q432" s="243"/>
      <c r="R432" s="243"/>
      <c r="S432" s="243"/>
      <c r="T432" s="243"/>
      <c r="U432" s="243"/>
      <c r="V432" s="243"/>
      <c r="W432" s="243"/>
      <c r="X432" s="243"/>
      <c r="Y432" s="243"/>
      <c r="Z432" s="243"/>
      <c r="AA432" s="243"/>
      <c r="AB432" s="243"/>
      <c r="AC432" s="243"/>
      <c r="AD432" s="243"/>
      <c r="AE432" s="243"/>
      <c r="AF432" s="243"/>
      <c r="AG432" s="243"/>
      <c r="AH432" s="243"/>
      <c r="AI432" s="243"/>
      <c r="AJ432" s="243"/>
      <c r="AK432" s="243"/>
      <c r="AL432" s="243"/>
      <c r="AM432" s="243"/>
      <c r="AN432" s="243"/>
      <c r="AO432" s="243"/>
      <c r="AP432" s="243"/>
      <c r="AQ432" s="243"/>
      <c r="AR432" s="243"/>
      <c r="AS432" s="243"/>
      <c r="AT432" s="243"/>
      <c r="AU432" s="257"/>
    </row>
    <row r="433" spans="1:47" ht="60" customHeight="1" x14ac:dyDescent="0.35">
      <c r="A433" s="253" t="s">
        <v>5668</v>
      </c>
      <c r="B433" s="231" t="s">
        <v>5669</v>
      </c>
      <c r="C433" s="232" t="s">
        <v>5684</v>
      </c>
      <c r="D433" s="235" t="s">
        <v>5685</v>
      </c>
      <c r="E433" s="236" t="s">
        <v>4911</v>
      </c>
      <c r="F433" s="239" t="s">
        <v>5632</v>
      </c>
      <c r="G433" s="242" t="str">
        <f>IF(COUNTIF(H433:AU433,"&lt;&gt;")=0,"",SUMPRODUCT(((Recommendations[ImplStatus]="Implemented")+(Recommendations[ImplStatus]="Compensated"))*ISNUMBER(MATCH(Recommendations[Id],H433:AU433,0)))/COUNTIF(H433:AU433,"&lt;&gt;"))</f>
        <v/>
      </c>
      <c r="H433" s="243"/>
      <c r="I433" s="243"/>
      <c r="J433" s="243"/>
      <c r="K433" s="243"/>
      <c r="L433" s="243"/>
      <c r="M433" s="243"/>
      <c r="N433" s="243"/>
      <c r="O433" s="243"/>
      <c r="P433" s="243"/>
      <c r="Q433" s="243"/>
      <c r="R433" s="243"/>
      <c r="S433" s="243"/>
      <c r="T433" s="243"/>
      <c r="U433" s="243"/>
      <c r="V433" s="243"/>
      <c r="W433" s="243"/>
      <c r="X433" s="243"/>
      <c r="Y433" s="243"/>
      <c r="Z433" s="243"/>
      <c r="AA433" s="243"/>
      <c r="AB433" s="243"/>
      <c r="AC433" s="243"/>
      <c r="AD433" s="243"/>
      <c r="AE433" s="243"/>
      <c r="AF433" s="243"/>
      <c r="AG433" s="243"/>
      <c r="AH433" s="243"/>
      <c r="AI433" s="243"/>
      <c r="AJ433" s="243"/>
      <c r="AK433" s="243"/>
      <c r="AL433" s="243"/>
      <c r="AM433" s="243"/>
      <c r="AN433" s="243"/>
      <c r="AO433" s="243"/>
      <c r="AP433" s="243"/>
      <c r="AQ433" s="243"/>
      <c r="AR433" s="243"/>
      <c r="AS433" s="243"/>
      <c r="AT433" s="243"/>
      <c r="AU433" s="257"/>
    </row>
    <row r="434" spans="1:47" ht="60" customHeight="1" x14ac:dyDescent="0.35">
      <c r="A434" s="253" t="s">
        <v>5668</v>
      </c>
      <c r="B434" s="231" t="s">
        <v>5669</v>
      </c>
      <c r="C434" s="232" t="s">
        <v>5686</v>
      </c>
      <c r="D434" s="235" t="s">
        <v>5687</v>
      </c>
      <c r="E434" s="236" t="s">
        <v>4911</v>
      </c>
      <c r="F434" s="239" t="s">
        <v>5632</v>
      </c>
      <c r="G434" s="242" t="str">
        <f>IF(COUNTIF(H434:AU434,"&lt;&gt;")=0,"",SUMPRODUCT(((Recommendations[ImplStatus]="Implemented")+(Recommendations[ImplStatus]="Compensated"))*ISNUMBER(MATCH(Recommendations[Id],H434:AU434,0)))/COUNTIF(H434:AU434,"&lt;&gt;"))</f>
        <v/>
      </c>
      <c r="H434" s="243"/>
      <c r="I434" s="243"/>
      <c r="J434" s="243"/>
      <c r="K434" s="243"/>
      <c r="L434" s="243"/>
      <c r="M434" s="243"/>
      <c r="N434" s="243"/>
      <c r="O434" s="243"/>
      <c r="P434" s="243"/>
      <c r="Q434" s="243"/>
      <c r="R434" s="243"/>
      <c r="S434" s="243"/>
      <c r="T434" s="243"/>
      <c r="U434" s="243"/>
      <c r="V434" s="243"/>
      <c r="W434" s="243"/>
      <c r="X434" s="243"/>
      <c r="Y434" s="243"/>
      <c r="Z434" s="243"/>
      <c r="AA434" s="243"/>
      <c r="AB434" s="243"/>
      <c r="AC434" s="243"/>
      <c r="AD434" s="243"/>
      <c r="AE434" s="243"/>
      <c r="AF434" s="243"/>
      <c r="AG434" s="243"/>
      <c r="AH434" s="243"/>
      <c r="AI434" s="243"/>
      <c r="AJ434" s="243"/>
      <c r="AK434" s="243"/>
      <c r="AL434" s="243"/>
      <c r="AM434" s="243"/>
      <c r="AN434" s="243"/>
      <c r="AO434" s="243"/>
      <c r="AP434" s="243"/>
      <c r="AQ434" s="243"/>
      <c r="AR434" s="243"/>
      <c r="AS434" s="243"/>
      <c r="AT434" s="243"/>
      <c r="AU434" s="257"/>
    </row>
    <row r="435" spans="1:47" ht="60" customHeight="1" x14ac:dyDescent="0.35">
      <c r="A435" s="253" t="s">
        <v>5668</v>
      </c>
      <c r="B435" s="231" t="s">
        <v>5669</v>
      </c>
      <c r="C435" s="232" t="s">
        <v>5688</v>
      </c>
      <c r="D435" s="235" t="s">
        <v>5689</v>
      </c>
      <c r="E435" s="236" t="s">
        <v>4844</v>
      </c>
      <c r="F435" s="239" t="s">
        <v>5632</v>
      </c>
      <c r="G435" s="242" t="str">
        <f>IF(COUNTIF(H435:AU435,"&lt;&gt;")=0,"",SUMPRODUCT(((Recommendations[ImplStatus]="Implemented")+(Recommendations[ImplStatus]="Compensated"))*ISNUMBER(MATCH(Recommendations[Id],H435:AU435,0)))/COUNTIF(H435:AU435,"&lt;&gt;"))</f>
        <v/>
      </c>
      <c r="H435" s="243"/>
      <c r="I435" s="243"/>
      <c r="J435" s="243"/>
      <c r="K435" s="243"/>
      <c r="L435" s="243"/>
      <c r="M435" s="243"/>
      <c r="N435" s="243"/>
      <c r="O435" s="243"/>
      <c r="P435" s="243"/>
      <c r="Q435" s="243"/>
      <c r="R435" s="243"/>
      <c r="S435" s="243"/>
      <c r="T435" s="243"/>
      <c r="U435" s="243"/>
      <c r="V435" s="243"/>
      <c r="W435" s="243"/>
      <c r="X435" s="243"/>
      <c r="Y435" s="243"/>
      <c r="Z435" s="243"/>
      <c r="AA435" s="243"/>
      <c r="AB435" s="243"/>
      <c r="AC435" s="243"/>
      <c r="AD435" s="243"/>
      <c r="AE435" s="243"/>
      <c r="AF435" s="243"/>
      <c r="AG435" s="243"/>
      <c r="AH435" s="243"/>
      <c r="AI435" s="243"/>
      <c r="AJ435" s="243"/>
      <c r="AK435" s="243"/>
      <c r="AL435" s="243"/>
      <c r="AM435" s="243"/>
      <c r="AN435" s="243"/>
      <c r="AO435" s="243"/>
      <c r="AP435" s="243"/>
      <c r="AQ435" s="243"/>
      <c r="AR435" s="243"/>
      <c r="AS435" s="243"/>
      <c r="AT435" s="243"/>
      <c r="AU435" s="257"/>
    </row>
    <row r="436" spans="1:47" ht="60" customHeight="1" x14ac:dyDescent="0.35">
      <c r="A436" s="253" t="s">
        <v>5668</v>
      </c>
      <c r="B436" s="231" t="s">
        <v>5669</v>
      </c>
      <c r="C436" s="232" t="s">
        <v>5690</v>
      </c>
      <c r="D436" s="235" t="s">
        <v>5691</v>
      </c>
      <c r="E436" s="236" t="s">
        <v>4911</v>
      </c>
      <c r="F436" s="239" t="s">
        <v>5632</v>
      </c>
      <c r="G436" s="242" t="str">
        <f>IF(COUNTIF(H436:AU436,"&lt;&gt;")=0,"",SUMPRODUCT(((Recommendations[ImplStatus]="Implemented")+(Recommendations[ImplStatus]="Compensated"))*ISNUMBER(MATCH(Recommendations[Id],H436:AU436,0)))/COUNTIF(H436:AU436,"&lt;&gt;"))</f>
        <v/>
      </c>
      <c r="H436" s="243"/>
      <c r="I436" s="243"/>
      <c r="J436" s="243"/>
      <c r="K436" s="243"/>
      <c r="L436" s="243"/>
      <c r="M436" s="243"/>
      <c r="N436" s="243"/>
      <c r="O436" s="243"/>
      <c r="P436" s="243"/>
      <c r="Q436" s="243"/>
      <c r="R436" s="243"/>
      <c r="S436" s="243"/>
      <c r="T436" s="243"/>
      <c r="U436" s="243"/>
      <c r="V436" s="243"/>
      <c r="W436" s="243"/>
      <c r="X436" s="243"/>
      <c r="Y436" s="243"/>
      <c r="Z436" s="243"/>
      <c r="AA436" s="243"/>
      <c r="AB436" s="243"/>
      <c r="AC436" s="243"/>
      <c r="AD436" s="243"/>
      <c r="AE436" s="243"/>
      <c r="AF436" s="243"/>
      <c r="AG436" s="243"/>
      <c r="AH436" s="243"/>
      <c r="AI436" s="243"/>
      <c r="AJ436" s="243"/>
      <c r="AK436" s="243"/>
      <c r="AL436" s="243"/>
      <c r="AM436" s="243"/>
      <c r="AN436" s="243"/>
      <c r="AO436" s="243"/>
      <c r="AP436" s="243"/>
      <c r="AQ436" s="243"/>
      <c r="AR436" s="243"/>
      <c r="AS436" s="243"/>
      <c r="AT436" s="243"/>
      <c r="AU436" s="257"/>
    </row>
    <row r="437" spans="1:47" ht="60" customHeight="1" x14ac:dyDescent="0.35">
      <c r="A437" s="253" t="s">
        <v>5668</v>
      </c>
      <c r="B437" s="231" t="s">
        <v>5669</v>
      </c>
      <c r="C437" s="232" t="s">
        <v>5692</v>
      </c>
      <c r="D437" s="235" t="s">
        <v>5693</v>
      </c>
      <c r="E437" s="236" t="s">
        <v>4844</v>
      </c>
      <c r="F437" s="239" t="s">
        <v>5632</v>
      </c>
      <c r="G437" s="242" t="str">
        <f>IF(COUNTIF(H437:AU437,"&lt;&gt;")=0,"",SUMPRODUCT(((Recommendations[ImplStatus]="Implemented")+(Recommendations[ImplStatus]="Compensated"))*ISNUMBER(MATCH(Recommendations[Id],H437:AU437,0)))/COUNTIF(H437:AU437,"&lt;&gt;"))</f>
        <v/>
      </c>
      <c r="H437" s="243"/>
      <c r="I437" s="243"/>
      <c r="J437" s="243"/>
      <c r="K437" s="243"/>
      <c r="L437" s="243"/>
      <c r="M437" s="243"/>
      <c r="N437" s="243"/>
      <c r="O437" s="243"/>
      <c r="P437" s="243"/>
      <c r="Q437" s="243"/>
      <c r="R437" s="243"/>
      <c r="S437" s="243"/>
      <c r="T437" s="243"/>
      <c r="U437" s="243"/>
      <c r="V437" s="243"/>
      <c r="W437" s="243"/>
      <c r="X437" s="243"/>
      <c r="Y437" s="243"/>
      <c r="Z437" s="243"/>
      <c r="AA437" s="243"/>
      <c r="AB437" s="243"/>
      <c r="AC437" s="243"/>
      <c r="AD437" s="243"/>
      <c r="AE437" s="243"/>
      <c r="AF437" s="243"/>
      <c r="AG437" s="243"/>
      <c r="AH437" s="243"/>
      <c r="AI437" s="243"/>
      <c r="AJ437" s="243"/>
      <c r="AK437" s="243"/>
      <c r="AL437" s="243"/>
      <c r="AM437" s="243"/>
      <c r="AN437" s="243"/>
      <c r="AO437" s="243"/>
      <c r="AP437" s="243"/>
      <c r="AQ437" s="243"/>
      <c r="AR437" s="243"/>
      <c r="AS437" s="243"/>
      <c r="AT437" s="243"/>
      <c r="AU437" s="257"/>
    </row>
    <row r="438" spans="1:47" ht="60" customHeight="1" outlineLevel="2" x14ac:dyDescent="0.35">
      <c r="A438" s="252" t="s">
        <v>5668</v>
      </c>
      <c r="B438" s="230" t="s">
        <v>5694</v>
      </c>
      <c r="C438" s="230"/>
      <c r="D438" s="234"/>
      <c r="E438" s="230"/>
      <c r="F438" s="238"/>
      <c r="G438" s="241" t="str">
        <f>IF(COUNTIF(H438:AU438,"&lt;&gt;")=0,"",SUMPRODUCT(((Recommendations[ImplStatus]="Implemented")+(Recommendations[ImplStatus]="Compensated"))*ISNUMBER(MATCH(Recommendations[Id],H438:AU438,0)))/COUNTIF(H438:AU438,"&lt;&gt;"))</f>
        <v/>
      </c>
      <c r="H438" s="238"/>
      <c r="I438" s="238"/>
      <c r="J438" s="238"/>
      <c r="K438" s="238"/>
      <c r="L438" s="238"/>
      <c r="M438" s="238"/>
      <c r="N438" s="238"/>
      <c r="O438" s="238"/>
      <c r="P438" s="238"/>
      <c r="Q438" s="238"/>
      <c r="R438" s="238"/>
      <c r="S438" s="238"/>
      <c r="T438" s="238"/>
      <c r="U438" s="238"/>
      <c r="V438" s="238"/>
      <c r="W438" s="238"/>
      <c r="X438" s="238"/>
      <c r="Y438" s="238"/>
      <c r="Z438" s="238"/>
      <c r="AA438" s="238"/>
      <c r="AB438" s="238"/>
      <c r="AC438" s="238"/>
      <c r="AD438" s="238"/>
      <c r="AE438" s="238"/>
      <c r="AF438" s="238"/>
      <c r="AG438" s="238"/>
      <c r="AH438" s="238"/>
      <c r="AI438" s="238"/>
      <c r="AJ438" s="238"/>
      <c r="AK438" s="238"/>
      <c r="AL438" s="238"/>
      <c r="AM438" s="238"/>
      <c r="AN438" s="238"/>
      <c r="AO438" s="238"/>
      <c r="AP438" s="238"/>
      <c r="AQ438" s="238"/>
      <c r="AR438" s="238"/>
      <c r="AS438" s="238"/>
      <c r="AT438" s="238"/>
      <c r="AU438" s="256"/>
    </row>
    <row r="439" spans="1:47" ht="60" customHeight="1" x14ac:dyDescent="0.35">
      <c r="A439" s="253" t="s">
        <v>5668</v>
      </c>
      <c r="B439" s="231" t="s">
        <v>5694</v>
      </c>
      <c r="C439" s="232" t="s">
        <v>5695</v>
      </c>
      <c r="D439" s="235" t="s">
        <v>5696</v>
      </c>
      <c r="E439" s="236" t="s">
        <v>4815</v>
      </c>
      <c r="F439" s="239" t="s">
        <v>5697</v>
      </c>
      <c r="G439" s="242" t="str">
        <f>IF(COUNTIF(H439:AU439,"&lt;&gt;")=0,"",SUMPRODUCT(((Recommendations[ImplStatus]="Implemented")+(Recommendations[ImplStatus]="Compensated"))*ISNUMBER(MATCH(Recommendations[Id],H439:AU439,0)))/COUNTIF(H439:AU439,"&lt;&gt;"))</f>
        <v/>
      </c>
      <c r="H439" s="243"/>
      <c r="I439" s="243"/>
      <c r="J439" s="243"/>
      <c r="K439" s="243"/>
      <c r="L439" s="243"/>
      <c r="M439" s="243"/>
      <c r="N439" s="243"/>
      <c r="O439" s="243"/>
      <c r="P439" s="243"/>
      <c r="Q439" s="243"/>
      <c r="R439" s="243"/>
      <c r="S439" s="243"/>
      <c r="T439" s="243"/>
      <c r="U439" s="243"/>
      <c r="V439" s="243"/>
      <c r="W439" s="243"/>
      <c r="X439" s="243"/>
      <c r="Y439" s="243"/>
      <c r="Z439" s="243"/>
      <c r="AA439" s="243"/>
      <c r="AB439" s="243"/>
      <c r="AC439" s="243"/>
      <c r="AD439" s="243"/>
      <c r="AE439" s="243"/>
      <c r="AF439" s="243"/>
      <c r="AG439" s="243"/>
      <c r="AH439" s="243"/>
      <c r="AI439" s="243"/>
      <c r="AJ439" s="243"/>
      <c r="AK439" s="243"/>
      <c r="AL439" s="243"/>
      <c r="AM439" s="243"/>
      <c r="AN439" s="243"/>
      <c r="AO439" s="243"/>
      <c r="AP439" s="243"/>
      <c r="AQ439" s="243"/>
      <c r="AR439" s="243"/>
      <c r="AS439" s="243"/>
      <c r="AT439" s="243"/>
      <c r="AU439" s="257"/>
    </row>
    <row r="440" spans="1:47" ht="60" customHeight="1" x14ac:dyDescent="0.35">
      <c r="A440" s="253" t="s">
        <v>5668</v>
      </c>
      <c r="B440" s="231" t="s">
        <v>5694</v>
      </c>
      <c r="C440" s="232" t="s">
        <v>5698</v>
      </c>
      <c r="D440" s="235" t="s">
        <v>5699</v>
      </c>
      <c r="E440" s="236" t="s">
        <v>4815</v>
      </c>
      <c r="F440" s="239" t="s">
        <v>5697</v>
      </c>
      <c r="G440" s="242" t="str">
        <f>IF(COUNTIF(H440:AU440,"&lt;&gt;")=0,"",SUMPRODUCT(((Recommendations[ImplStatus]="Implemented")+(Recommendations[ImplStatus]="Compensated"))*ISNUMBER(MATCH(Recommendations[Id],H440:AU440,0)))/COUNTIF(H440:AU440,"&lt;&gt;"))</f>
        <v/>
      </c>
      <c r="H440" s="243"/>
      <c r="I440" s="243"/>
      <c r="J440" s="243"/>
      <c r="K440" s="243"/>
      <c r="L440" s="243"/>
      <c r="M440" s="243"/>
      <c r="N440" s="243"/>
      <c r="O440" s="243"/>
      <c r="P440" s="243"/>
      <c r="Q440" s="243"/>
      <c r="R440" s="243"/>
      <c r="S440" s="243"/>
      <c r="T440" s="243"/>
      <c r="U440" s="243"/>
      <c r="V440" s="243"/>
      <c r="W440" s="243"/>
      <c r="X440" s="243"/>
      <c r="Y440" s="243"/>
      <c r="Z440" s="243"/>
      <c r="AA440" s="243"/>
      <c r="AB440" s="243"/>
      <c r="AC440" s="243"/>
      <c r="AD440" s="243"/>
      <c r="AE440" s="243"/>
      <c r="AF440" s="243"/>
      <c r="AG440" s="243"/>
      <c r="AH440" s="243"/>
      <c r="AI440" s="243"/>
      <c r="AJ440" s="243"/>
      <c r="AK440" s="243"/>
      <c r="AL440" s="243"/>
      <c r="AM440" s="243"/>
      <c r="AN440" s="243"/>
      <c r="AO440" s="243"/>
      <c r="AP440" s="243"/>
      <c r="AQ440" s="243"/>
      <c r="AR440" s="243"/>
      <c r="AS440" s="243"/>
      <c r="AT440" s="243"/>
      <c r="AU440" s="257"/>
    </row>
    <row r="441" spans="1:47" ht="60" customHeight="1" x14ac:dyDescent="0.35">
      <c r="A441" s="253" t="s">
        <v>5668</v>
      </c>
      <c r="B441" s="231" t="s">
        <v>5694</v>
      </c>
      <c r="C441" s="232" t="s">
        <v>5700</v>
      </c>
      <c r="D441" s="235" t="s">
        <v>5701</v>
      </c>
      <c r="E441" s="236" t="s">
        <v>4815</v>
      </c>
      <c r="F441" s="239" t="s">
        <v>5697</v>
      </c>
      <c r="G441" s="242" t="str">
        <f>IF(COUNTIF(H441:AU441,"&lt;&gt;")=0,"",SUMPRODUCT(((Recommendations[ImplStatus]="Implemented")+(Recommendations[ImplStatus]="Compensated"))*ISNUMBER(MATCH(Recommendations[Id],H441:AU441,0)))/COUNTIF(H441:AU441,"&lt;&gt;"))</f>
        <v/>
      </c>
      <c r="H441" s="243"/>
      <c r="I441" s="243"/>
      <c r="J441" s="243"/>
      <c r="K441" s="243"/>
      <c r="L441" s="243"/>
      <c r="M441" s="243"/>
      <c r="N441" s="243"/>
      <c r="O441" s="243"/>
      <c r="P441" s="243"/>
      <c r="Q441" s="243"/>
      <c r="R441" s="243"/>
      <c r="S441" s="243"/>
      <c r="T441" s="243"/>
      <c r="U441" s="243"/>
      <c r="V441" s="243"/>
      <c r="W441" s="243"/>
      <c r="X441" s="243"/>
      <c r="Y441" s="243"/>
      <c r="Z441" s="243"/>
      <c r="AA441" s="243"/>
      <c r="AB441" s="243"/>
      <c r="AC441" s="243"/>
      <c r="AD441" s="243"/>
      <c r="AE441" s="243"/>
      <c r="AF441" s="243"/>
      <c r="AG441" s="243"/>
      <c r="AH441" s="243"/>
      <c r="AI441" s="243"/>
      <c r="AJ441" s="243"/>
      <c r="AK441" s="243"/>
      <c r="AL441" s="243"/>
      <c r="AM441" s="243"/>
      <c r="AN441" s="243"/>
      <c r="AO441" s="243"/>
      <c r="AP441" s="243"/>
      <c r="AQ441" s="243"/>
      <c r="AR441" s="243"/>
      <c r="AS441" s="243"/>
      <c r="AT441" s="243"/>
      <c r="AU441" s="257"/>
    </row>
    <row r="442" spans="1:47" ht="60" customHeight="1" x14ac:dyDescent="0.35">
      <c r="A442" s="253" t="s">
        <v>5668</v>
      </c>
      <c r="B442" s="231" t="s">
        <v>5694</v>
      </c>
      <c r="C442" s="232" t="s">
        <v>5702</v>
      </c>
      <c r="D442" s="235" t="s">
        <v>5703</v>
      </c>
      <c r="E442" s="236" t="s">
        <v>4815</v>
      </c>
      <c r="F442" s="239" t="s">
        <v>5697</v>
      </c>
      <c r="G442" s="242" t="str">
        <f>IF(COUNTIF(H442:AU442,"&lt;&gt;")=0,"",SUMPRODUCT(((Recommendations[ImplStatus]="Implemented")+(Recommendations[ImplStatus]="Compensated"))*ISNUMBER(MATCH(Recommendations[Id],H442:AU442,0)))/COUNTIF(H442:AU442,"&lt;&gt;"))</f>
        <v/>
      </c>
      <c r="H442" s="243"/>
      <c r="I442" s="243"/>
      <c r="J442" s="243"/>
      <c r="K442" s="243"/>
      <c r="L442" s="243"/>
      <c r="M442" s="243"/>
      <c r="N442" s="243"/>
      <c r="O442" s="243"/>
      <c r="P442" s="243"/>
      <c r="Q442" s="243"/>
      <c r="R442" s="243"/>
      <c r="S442" s="243"/>
      <c r="T442" s="243"/>
      <c r="U442" s="243"/>
      <c r="V442" s="243"/>
      <c r="W442" s="243"/>
      <c r="X442" s="243"/>
      <c r="Y442" s="243"/>
      <c r="Z442" s="243"/>
      <c r="AA442" s="243"/>
      <c r="AB442" s="243"/>
      <c r="AC442" s="243"/>
      <c r="AD442" s="243"/>
      <c r="AE442" s="243"/>
      <c r="AF442" s="243"/>
      <c r="AG442" s="243"/>
      <c r="AH442" s="243"/>
      <c r="AI442" s="243"/>
      <c r="AJ442" s="243"/>
      <c r="AK442" s="243"/>
      <c r="AL442" s="243"/>
      <c r="AM442" s="243"/>
      <c r="AN442" s="243"/>
      <c r="AO442" s="243"/>
      <c r="AP442" s="243"/>
      <c r="AQ442" s="243"/>
      <c r="AR442" s="243"/>
      <c r="AS442" s="243"/>
      <c r="AT442" s="243"/>
      <c r="AU442" s="257"/>
    </row>
    <row r="443" spans="1:47" ht="60" customHeight="1" x14ac:dyDescent="0.35">
      <c r="A443" s="253" t="s">
        <v>5668</v>
      </c>
      <c r="B443" s="231" t="s">
        <v>5694</v>
      </c>
      <c r="C443" s="232" t="s">
        <v>5704</v>
      </c>
      <c r="D443" s="235" t="s">
        <v>5705</v>
      </c>
      <c r="E443" s="236" t="s">
        <v>4844</v>
      </c>
      <c r="F443" s="239" t="s">
        <v>5697</v>
      </c>
      <c r="G443" s="242" t="str">
        <f>IF(COUNTIF(H443:AU443,"&lt;&gt;")=0,"",SUMPRODUCT(((Recommendations[ImplStatus]="Implemented")+(Recommendations[ImplStatus]="Compensated"))*ISNUMBER(MATCH(Recommendations[Id],H443:AU443,0)))/COUNTIF(H443:AU443,"&lt;&gt;"))</f>
        <v/>
      </c>
      <c r="H443" s="243"/>
      <c r="I443" s="243"/>
      <c r="J443" s="243"/>
      <c r="K443" s="243"/>
      <c r="L443" s="243"/>
      <c r="M443" s="243"/>
      <c r="N443" s="243"/>
      <c r="O443" s="243"/>
      <c r="P443" s="243"/>
      <c r="Q443" s="243"/>
      <c r="R443" s="243"/>
      <c r="S443" s="243"/>
      <c r="T443" s="243"/>
      <c r="U443" s="243"/>
      <c r="V443" s="243"/>
      <c r="W443" s="243"/>
      <c r="X443" s="243"/>
      <c r="Y443" s="243"/>
      <c r="Z443" s="243"/>
      <c r="AA443" s="243"/>
      <c r="AB443" s="243"/>
      <c r="AC443" s="243"/>
      <c r="AD443" s="243"/>
      <c r="AE443" s="243"/>
      <c r="AF443" s="243"/>
      <c r="AG443" s="243"/>
      <c r="AH443" s="243"/>
      <c r="AI443" s="243"/>
      <c r="AJ443" s="243"/>
      <c r="AK443" s="243"/>
      <c r="AL443" s="243"/>
      <c r="AM443" s="243"/>
      <c r="AN443" s="243"/>
      <c r="AO443" s="243"/>
      <c r="AP443" s="243"/>
      <c r="AQ443" s="243"/>
      <c r="AR443" s="243"/>
      <c r="AS443" s="243"/>
      <c r="AT443" s="243"/>
      <c r="AU443" s="257"/>
    </row>
    <row r="444" spans="1:47" ht="60" customHeight="1" x14ac:dyDescent="0.35">
      <c r="A444" s="253" t="s">
        <v>5668</v>
      </c>
      <c r="B444" s="231" t="s">
        <v>5694</v>
      </c>
      <c r="C444" s="232" t="s">
        <v>5706</v>
      </c>
      <c r="D444" s="235" t="s">
        <v>5707</v>
      </c>
      <c r="E444" s="236" t="s">
        <v>4844</v>
      </c>
      <c r="F444" s="239" t="s">
        <v>5697</v>
      </c>
      <c r="G444" s="242" t="str">
        <f>IF(COUNTIF(H444:AU444,"&lt;&gt;")=0,"",SUMPRODUCT(((Recommendations[ImplStatus]="Implemented")+(Recommendations[ImplStatus]="Compensated"))*ISNUMBER(MATCH(Recommendations[Id],H444:AU444,0)))/COUNTIF(H444:AU444,"&lt;&gt;"))</f>
        <v/>
      </c>
      <c r="H444" s="243"/>
      <c r="I444" s="243"/>
      <c r="J444" s="243"/>
      <c r="K444" s="243"/>
      <c r="L444" s="243"/>
      <c r="M444" s="243"/>
      <c r="N444" s="243"/>
      <c r="O444" s="243"/>
      <c r="P444" s="243"/>
      <c r="Q444" s="243"/>
      <c r="R444" s="243"/>
      <c r="S444" s="243"/>
      <c r="T444" s="243"/>
      <c r="U444" s="243"/>
      <c r="V444" s="243"/>
      <c r="W444" s="243"/>
      <c r="X444" s="243"/>
      <c r="Y444" s="243"/>
      <c r="Z444" s="243"/>
      <c r="AA444" s="243"/>
      <c r="AB444" s="243"/>
      <c r="AC444" s="243"/>
      <c r="AD444" s="243"/>
      <c r="AE444" s="243"/>
      <c r="AF444" s="243"/>
      <c r="AG444" s="243"/>
      <c r="AH444" s="243"/>
      <c r="AI444" s="243"/>
      <c r="AJ444" s="243"/>
      <c r="AK444" s="243"/>
      <c r="AL444" s="243"/>
      <c r="AM444" s="243"/>
      <c r="AN444" s="243"/>
      <c r="AO444" s="243"/>
      <c r="AP444" s="243"/>
      <c r="AQ444" s="243"/>
      <c r="AR444" s="243"/>
      <c r="AS444" s="243"/>
      <c r="AT444" s="243"/>
      <c r="AU444" s="257"/>
    </row>
    <row r="445" spans="1:47" ht="60" customHeight="1" x14ac:dyDescent="0.35">
      <c r="A445" s="253" t="s">
        <v>5668</v>
      </c>
      <c r="B445" s="231" t="s">
        <v>5694</v>
      </c>
      <c r="C445" s="232" t="s">
        <v>5708</v>
      </c>
      <c r="D445" s="235" t="s">
        <v>5709</v>
      </c>
      <c r="E445" s="236" t="s">
        <v>4844</v>
      </c>
      <c r="F445" s="239" t="s">
        <v>5697</v>
      </c>
      <c r="G445" s="242" t="str">
        <f>IF(COUNTIF(H445:AU445,"&lt;&gt;")=0,"",SUMPRODUCT(((Recommendations[ImplStatus]="Implemented")+(Recommendations[ImplStatus]="Compensated"))*ISNUMBER(MATCH(Recommendations[Id],H445:AU445,0)))/COUNTIF(H445:AU445,"&lt;&gt;"))</f>
        <v/>
      </c>
      <c r="H445" s="243"/>
      <c r="I445" s="243"/>
      <c r="J445" s="243"/>
      <c r="K445" s="243"/>
      <c r="L445" s="243"/>
      <c r="M445" s="243"/>
      <c r="N445" s="243"/>
      <c r="O445" s="243"/>
      <c r="P445" s="243"/>
      <c r="Q445" s="243"/>
      <c r="R445" s="243"/>
      <c r="S445" s="243"/>
      <c r="T445" s="243"/>
      <c r="U445" s="243"/>
      <c r="V445" s="243"/>
      <c r="W445" s="243"/>
      <c r="X445" s="243"/>
      <c r="Y445" s="243"/>
      <c r="Z445" s="243"/>
      <c r="AA445" s="243"/>
      <c r="AB445" s="243"/>
      <c r="AC445" s="243"/>
      <c r="AD445" s="243"/>
      <c r="AE445" s="243"/>
      <c r="AF445" s="243"/>
      <c r="AG445" s="243"/>
      <c r="AH445" s="243"/>
      <c r="AI445" s="243"/>
      <c r="AJ445" s="243"/>
      <c r="AK445" s="243"/>
      <c r="AL445" s="243"/>
      <c r="AM445" s="243"/>
      <c r="AN445" s="243"/>
      <c r="AO445" s="243"/>
      <c r="AP445" s="243"/>
      <c r="AQ445" s="243"/>
      <c r="AR445" s="243"/>
      <c r="AS445" s="243"/>
      <c r="AT445" s="243"/>
      <c r="AU445" s="257"/>
    </row>
    <row r="446" spans="1:47" ht="60" customHeight="1" x14ac:dyDescent="0.35">
      <c r="A446" s="253" t="s">
        <v>5668</v>
      </c>
      <c r="B446" s="231" t="s">
        <v>5694</v>
      </c>
      <c r="C446" s="232" t="s">
        <v>5710</v>
      </c>
      <c r="D446" s="235" t="s">
        <v>5711</v>
      </c>
      <c r="E446" s="236" t="s">
        <v>4959</v>
      </c>
      <c r="F446" s="239" t="s">
        <v>5697</v>
      </c>
      <c r="G446" s="242" t="str">
        <f>IF(COUNTIF(H446:AU446,"&lt;&gt;")=0,"",SUMPRODUCT(((Recommendations[ImplStatus]="Implemented")+(Recommendations[ImplStatus]="Compensated"))*ISNUMBER(MATCH(Recommendations[Id],H446:AU446,0)))/COUNTIF(H446:AU446,"&lt;&gt;"))</f>
        <v/>
      </c>
      <c r="H446" s="243"/>
      <c r="I446" s="243"/>
      <c r="J446" s="243"/>
      <c r="K446" s="243"/>
      <c r="L446" s="243"/>
      <c r="M446" s="243"/>
      <c r="N446" s="243"/>
      <c r="O446" s="243"/>
      <c r="P446" s="243"/>
      <c r="Q446" s="243"/>
      <c r="R446" s="243"/>
      <c r="S446" s="243"/>
      <c r="T446" s="243"/>
      <c r="U446" s="243"/>
      <c r="V446" s="243"/>
      <c r="W446" s="243"/>
      <c r="X446" s="243"/>
      <c r="Y446" s="243"/>
      <c r="Z446" s="243"/>
      <c r="AA446" s="243"/>
      <c r="AB446" s="243"/>
      <c r="AC446" s="243"/>
      <c r="AD446" s="243"/>
      <c r="AE446" s="243"/>
      <c r="AF446" s="243"/>
      <c r="AG446" s="243"/>
      <c r="AH446" s="243"/>
      <c r="AI446" s="243"/>
      <c r="AJ446" s="243"/>
      <c r="AK446" s="243"/>
      <c r="AL446" s="243"/>
      <c r="AM446" s="243"/>
      <c r="AN446" s="243"/>
      <c r="AO446" s="243"/>
      <c r="AP446" s="243"/>
      <c r="AQ446" s="243"/>
      <c r="AR446" s="243"/>
      <c r="AS446" s="243"/>
      <c r="AT446" s="243"/>
      <c r="AU446" s="257"/>
    </row>
    <row r="447" spans="1:47" ht="60" customHeight="1" x14ac:dyDescent="0.35">
      <c r="A447" s="253" t="s">
        <v>5668</v>
      </c>
      <c r="B447" s="231" t="s">
        <v>5694</v>
      </c>
      <c r="C447" s="232" t="s">
        <v>5712</v>
      </c>
      <c r="D447" s="235" t="s">
        <v>5713</v>
      </c>
      <c r="E447" s="236" t="s">
        <v>4844</v>
      </c>
      <c r="F447" s="239" t="s">
        <v>5697</v>
      </c>
      <c r="G447" s="242" t="str">
        <f>IF(COUNTIF(H447:AU447,"&lt;&gt;")=0,"",SUMPRODUCT(((Recommendations[ImplStatus]="Implemented")+(Recommendations[ImplStatus]="Compensated"))*ISNUMBER(MATCH(Recommendations[Id],H447:AU447,0)))/COUNTIF(H447:AU447,"&lt;&gt;"))</f>
        <v/>
      </c>
      <c r="H447" s="243"/>
      <c r="I447" s="243"/>
      <c r="J447" s="243"/>
      <c r="K447" s="243"/>
      <c r="L447" s="243"/>
      <c r="M447" s="243"/>
      <c r="N447" s="243"/>
      <c r="O447" s="243"/>
      <c r="P447" s="243"/>
      <c r="Q447" s="243"/>
      <c r="R447" s="243"/>
      <c r="S447" s="243"/>
      <c r="T447" s="243"/>
      <c r="U447" s="243"/>
      <c r="V447" s="243"/>
      <c r="W447" s="243"/>
      <c r="X447" s="243"/>
      <c r="Y447" s="243"/>
      <c r="Z447" s="243"/>
      <c r="AA447" s="243"/>
      <c r="AB447" s="243"/>
      <c r="AC447" s="243"/>
      <c r="AD447" s="243"/>
      <c r="AE447" s="243"/>
      <c r="AF447" s="243"/>
      <c r="AG447" s="243"/>
      <c r="AH447" s="243"/>
      <c r="AI447" s="243"/>
      <c r="AJ447" s="243"/>
      <c r="AK447" s="243"/>
      <c r="AL447" s="243"/>
      <c r="AM447" s="243"/>
      <c r="AN447" s="243"/>
      <c r="AO447" s="243"/>
      <c r="AP447" s="243"/>
      <c r="AQ447" s="243"/>
      <c r="AR447" s="243"/>
      <c r="AS447" s="243"/>
      <c r="AT447" s="243"/>
      <c r="AU447" s="257"/>
    </row>
    <row r="448" spans="1:47" ht="60" customHeight="1" x14ac:dyDescent="0.35">
      <c r="A448" s="253" t="s">
        <v>5668</v>
      </c>
      <c r="B448" s="231" t="s">
        <v>5694</v>
      </c>
      <c r="C448" s="232" t="s">
        <v>5714</v>
      </c>
      <c r="D448" s="235" t="s">
        <v>5715</v>
      </c>
      <c r="E448" s="236" t="s">
        <v>4959</v>
      </c>
      <c r="F448" s="239" t="s">
        <v>5697</v>
      </c>
      <c r="G448" s="242" t="str">
        <f>IF(COUNTIF(H448:AU448,"&lt;&gt;")=0,"",SUMPRODUCT(((Recommendations[ImplStatus]="Implemented")+(Recommendations[ImplStatus]="Compensated"))*ISNUMBER(MATCH(Recommendations[Id],H448:AU448,0)))/COUNTIF(H448:AU448,"&lt;&gt;"))</f>
        <v/>
      </c>
      <c r="H448" s="243"/>
      <c r="I448" s="243"/>
      <c r="J448" s="243"/>
      <c r="K448" s="243"/>
      <c r="L448" s="243"/>
      <c r="M448" s="243"/>
      <c r="N448" s="243"/>
      <c r="O448" s="243"/>
      <c r="P448" s="243"/>
      <c r="Q448" s="243"/>
      <c r="R448" s="243"/>
      <c r="S448" s="243"/>
      <c r="T448" s="243"/>
      <c r="U448" s="243"/>
      <c r="V448" s="243"/>
      <c r="W448" s="243"/>
      <c r="X448" s="243"/>
      <c r="Y448" s="243"/>
      <c r="Z448" s="243"/>
      <c r="AA448" s="243"/>
      <c r="AB448" s="243"/>
      <c r="AC448" s="243"/>
      <c r="AD448" s="243"/>
      <c r="AE448" s="243"/>
      <c r="AF448" s="243"/>
      <c r="AG448" s="243"/>
      <c r="AH448" s="243"/>
      <c r="AI448" s="243"/>
      <c r="AJ448" s="243"/>
      <c r="AK448" s="243"/>
      <c r="AL448" s="243"/>
      <c r="AM448" s="243"/>
      <c r="AN448" s="243"/>
      <c r="AO448" s="243"/>
      <c r="AP448" s="243"/>
      <c r="AQ448" s="243"/>
      <c r="AR448" s="243"/>
      <c r="AS448" s="243"/>
      <c r="AT448" s="243"/>
      <c r="AU448" s="257"/>
    </row>
    <row r="449" spans="1:47" ht="60" customHeight="1" x14ac:dyDescent="0.35">
      <c r="A449" s="253" t="s">
        <v>5668</v>
      </c>
      <c r="B449" s="231" t="s">
        <v>5694</v>
      </c>
      <c r="C449" s="232" t="s">
        <v>5716</v>
      </c>
      <c r="D449" s="235" t="s">
        <v>5717</v>
      </c>
      <c r="E449" s="236" t="s">
        <v>4959</v>
      </c>
      <c r="F449" s="239" t="s">
        <v>5697</v>
      </c>
      <c r="G449" s="242" t="str">
        <f>IF(COUNTIF(H449:AU449,"&lt;&gt;")=0,"",SUMPRODUCT(((Recommendations[ImplStatus]="Implemented")+(Recommendations[ImplStatus]="Compensated"))*ISNUMBER(MATCH(Recommendations[Id],H449:AU449,0)))/COUNTIF(H449:AU449,"&lt;&gt;"))</f>
        <v/>
      </c>
      <c r="H449" s="243"/>
      <c r="I449" s="243"/>
      <c r="J449" s="243"/>
      <c r="K449" s="243"/>
      <c r="L449" s="243"/>
      <c r="M449" s="243"/>
      <c r="N449" s="243"/>
      <c r="O449" s="243"/>
      <c r="P449" s="243"/>
      <c r="Q449" s="243"/>
      <c r="R449" s="243"/>
      <c r="S449" s="243"/>
      <c r="T449" s="243"/>
      <c r="U449" s="243"/>
      <c r="V449" s="243"/>
      <c r="W449" s="243"/>
      <c r="X449" s="243"/>
      <c r="Y449" s="243"/>
      <c r="Z449" s="243"/>
      <c r="AA449" s="243"/>
      <c r="AB449" s="243"/>
      <c r="AC449" s="243"/>
      <c r="AD449" s="243"/>
      <c r="AE449" s="243"/>
      <c r="AF449" s="243"/>
      <c r="AG449" s="243"/>
      <c r="AH449" s="243"/>
      <c r="AI449" s="243"/>
      <c r="AJ449" s="243"/>
      <c r="AK449" s="243"/>
      <c r="AL449" s="243"/>
      <c r="AM449" s="243"/>
      <c r="AN449" s="243"/>
      <c r="AO449" s="243"/>
      <c r="AP449" s="243"/>
      <c r="AQ449" s="243"/>
      <c r="AR449" s="243"/>
      <c r="AS449" s="243"/>
      <c r="AT449" s="243"/>
      <c r="AU449" s="257"/>
    </row>
    <row r="450" spans="1:47" ht="60" customHeight="1" outlineLevel="1" x14ac:dyDescent="0.35">
      <c r="A450" s="251" t="s">
        <v>5718</v>
      </c>
      <c r="B450" s="229"/>
      <c r="C450" s="229"/>
      <c r="D450" s="233"/>
      <c r="E450" s="229"/>
      <c r="F450" s="237"/>
      <c r="G450" s="240" t="str">
        <f>IF(COUNTIF(H450:AU450,"&lt;&gt;")=0,"",SUMPRODUCT(((Recommendations[ImplStatus]="Implemented")+(Recommendations[ImplStatus]="Compensated"))*ISNUMBER(MATCH(Recommendations[Id],H450:AU450,0)))/COUNTIF(H450:AU450,"&lt;&gt;"))</f>
        <v/>
      </c>
      <c r="H450" s="237"/>
      <c r="I450" s="237"/>
      <c r="J450" s="237"/>
      <c r="K450" s="237"/>
      <c r="L450" s="237"/>
      <c r="M450" s="237"/>
      <c r="N450" s="237"/>
      <c r="O450" s="237"/>
      <c r="P450" s="237"/>
      <c r="Q450" s="237"/>
      <c r="R450" s="237"/>
      <c r="S450" s="237"/>
      <c r="T450" s="237"/>
      <c r="U450" s="237"/>
      <c r="V450" s="237"/>
      <c r="W450" s="237"/>
      <c r="X450" s="237"/>
      <c r="Y450" s="237"/>
      <c r="Z450" s="237"/>
      <c r="AA450" s="237"/>
      <c r="AB450" s="237"/>
      <c r="AC450" s="237"/>
      <c r="AD450" s="237"/>
      <c r="AE450" s="237"/>
      <c r="AF450" s="237"/>
      <c r="AG450" s="237"/>
      <c r="AH450" s="237"/>
      <c r="AI450" s="237"/>
      <c r="AJ450" s="237"/>
      <c r="AK450" s="237"/>
      <c r="AL450" s="237"/>
      <c r="AM450" s="237"/>
      <c r="AN450" s="237"/>
      <c r="AO450" s="237"/>
      <c r="AP450" s="237"/>
      <c r="AQ450" s="237"/>
      <c r="AR450" s="237"/>
      <c r="AS450" s="237"/>
      <c r="AT450" s="237"/>
      <c r="AU450" s="255"/>
    </row>
    <row r="451" spans="1:47" ht="60" customHeight="1" outlineLevel="2" x14ac:dyDescent="0.35">
      <c r="A451" s="252" t="s">
        <v>5718</v>
      </c>
      <c r="B451" s="230" t="s">
        <v>5719</v>
      </c>
      <c r="C451" s="230"/>
      <c r="D451" s="234"/>
      <c r="E451" s="230"/>
      <c r="F451" s="238"/>
      <c r="G451" s="241" t="str">
        <f>IF(COUNTIF(H451:AU451,"&lt;&gt;")=0,"",SUMPRODUCT(((Recommendations[ImplStatus]="Implemented")+(Recommendations[ImplStatus]="Compensated"))*ISNUMBER(MATCH(Recommendations[Id],H451:AU451,0)))/COUNTIF(H451:AU451,"&lt;&gt;"))</f>
        <v/>
      </c>
      <c r="H451" s="238"/>
      <c r="I451" s="238"/>
      <c r="J451" s="238"/>
      <c r="K451" s="238"/>
      <c r="L451" s="238"/>
      <c r="M451" s="238"/>
      <c r="N451" s="238"/>
      <c r="O451" s="238"/>
      <c r="P451" s="238"/>
      <c r="Q451" s="238"/>
      <c r="R451" s="238"/>
      <c r="S451" s="238"/>
      <c r="T451" s="238"/>
      <c r="U451" s="238"/>
      <c r="V451" s="238"/>
      <c r="W451" s="238"/>
      <c r="X451" s="238"/>
      <c r="Y451" s="238"/>
      <c r="Z451" s="238"/>
      <c r="AA451" s="238"/>
      <c r="AB451" s="238"/>
      <c r="AC451" s="238"/>
      <c r="AD451" s="238"/>
      <c r="AE451" s="238"/>
      <c r="AF451" s="238"/>
      <c r="AG451" s="238"/>
      <c r="AH451" s="238"/>
      <c r="AI451" s="238"/>
      <c r="AJ451" s="238"/>
      <c r="AK451" s="238"/>
      <c r="AL451" s="238"/>
      <c r="AM451" s="238"/>
      <c r="AN451" s="238"/>
      <c r="AO451" s="238"/>
      <c r="AP451" s="238"/>
      <c r="AQ451" s="238"/>
      <c r="AR451" s="238"/>
      <c r="AS451" s="238"/>
      <c r="AT451" s="238"/>
      <c r="AU451" s="256"/>
    </row>
    <row r="452" spans="1:47" ht="60" customHeight="1" x14ac:dyDescent="0.35">
      <c r="A452" s="253" t="s">
        <v>5718</v>
      </c>
      <c r="B452" s="231" t="s">
        <v>5719</v>
      </c>
      <c r="C452" s="232" t="s">
        <v>5720</v>
      </c>
      <c r="D452" s="235" t="s">
        <v>5721</v>
      </c>
      <c r="E452" s="236" t="s">
        <v>4815</v>
      </c>
      <c r="F452" s="239" t="s">
        <v>5722</v>
      </c>
      <c r="G452" s="242" t="str">
        <f>IF(COUNTIF(H452:AU452,"&lt;&gt;")=0,"",SUMPRODUCT(((Recommendations[ImplStatus]="Implemented")+(Recommendations[ImplStatus]="Compensated"))*ISNUMBER(MATCH(Recommendations[Id],H452:AU452,0)))/COUNTIF(H452:AU452,"&lt;&gt;"))</f>
        <v/>
      </c>
      <c r="H452" s="243"/>
      <c r="I452" s="243"/>
      <c r="J452" s="243"/>
      <c r="K452" s="243"/>
      <c r="L452" s="243"/>
      <c r="M452" s="243"/>
      <c r="N452" s="243"/>
      <c r="O452" s="243"/>
      <c r="P452" s="243"/>
      <c r="Q452" s="243"/>
      <c r="R452" s="243"/>
      <c r="S452" s="243"/>
      <c r="T452" s="243"/>
      <c r="U452" s="243"/>
      <c r="V452" s="243"/>
      <c r="W452" s="243"/>
      <c r="X452" s="243"/>
      <c r="Y452" s="243"/>
      <c r="Z452" s="243"/>
      <c r="AA452" s="243"/>
      <c r="AB452" s="243"/>
      <c r="AC452" s="243"/>
      <c r="AD452" s="243"/>
      <c r="AE452" s="243"/>
      <c r="AF452" s="243"/>
      <c r="AG452" s="243"/>
      <c r="AH452" s="243"/>
      <c r="AI452" s="243"/>
      <c r="AJ452" s="243"/>
      <c r="AK452" s="243"/>
      <c r="AL452" s="243"/>
      <c r="AM452" s="243"/>
      <c r="AN452" s="243"/>
      <c r="AO452" s="243"/>
      <c r="AP452" s="243"/>
      <c r="AQ452" s="243"/>
      <c r="AR452" s="243"/>
      <c r="AS452" s="243"/>
      <c r="AT452" s="243"/>
      <c r="AU452" s="257"/>
    </row>
    <row r="453" spans="1:47" ht="60" customHeight="1" x14ac:dyDescent="0.35">
      <c r="A453" s="253" t="s">
        <v>5718</v>
      </c>
      <c r="B453" s="231" t="s">
        <v>5719</v>
      </c>
      <c r="C453" s="232" t="s">
        <v>5723</v>
      </c>
      <c r="D453" s="235" t="s">
        <v>5724</v>
      </c>
      <c r="E453" s="236" t="s">
        <v>4815</v>
      </c>
      <c r="F453" s="239" t="s">
        <v>5722</v>
      </c>
      <c r="G453" s="242" t="str">
        <f>IF(COUNTIF(H453:AU453,"&lt;&gt;")=0,"",SUMPRODUCT(((Recommendations[ImplStatus]="Implemented")+(Recommendations[ImplStatus]="Compensated"))*ISNUMBER(MATCH(Recommendations[Id],H453:AU453,0)))/COUNTIF(H453:AU453,"&lt;&gt;"))</f>
        <v/>
      </c>
      <c r="H453" s="243"/>
      <c r="I453" s="243"/>
      <c r="J453" s="243"/>
      <c r="K453" s="243"/>
      <c r="L453" s="243"/>
      <c r="M453" s="243"/>
      <c r="N453" s="243"/>
      <c r="O453" s="243"/>
      <c r="P453" s="243"/>
      <c r="Q453" s="243"/>
      <c r="R453" s="243"/>
      <c r="S453" s="243"/>
      <c r="T453" s="243"/>
      <c r="U453" s="243"/>
      <c r="V453" s="243"/>
      <c r="W453" s="243"/>
      <c r="X453" s="243"/>
      <c r="Y453" s="243"/>
      <c r="Z453" s="243"/>
      <c r="AA453" s="243"/>
      <c r="AB453" s="243"/>
      <c r="AC453" s="243"/>
      <c r="AD453" s="243"/>
      <c r="AE453" s="243"/>
      <c r="AF453" s="243"/>
      <c r="AG453" s="243"/>
      <c r="AH453" s="243"/>
      <c r="AI453" s="243"/>
      <c r="AJ453" s="243"/>
      <c r="AK453" s="243"/>
      <c r="AL453" s="243"/>
      <c r="AM453" s="243"/>
      <c r="AN453" s="243"/>
      <c r="AO453" s="243"/>
      <c r="AP453" s="243"/>
      <c r="AQ453" s="243"/>
      <c r="AR453" s="243"/>
      <c r="AS453" s="243"/>
      <c r="AT453" s="243"/>
      <c r="AU453" s="257"/>
    </row>
    <row r="454" spans="1:47" ht="60" customHeight="1" x14ac:dyDescent="0.35">
      <c r="A454" s="253" t="s">
        <v>5718</v>
      </c>
      <c r="B454" s="231" t="s">
        <v>5719</v>
      </c>
      <c r="C454" s="232" t="s">
        <v>5725</v>
      </c>
      <c r="D454" s="235" t="s">
        <v>5726</v>
      </c>
      <c r="E454" s="236" t="s">
        <v>4815</v>
      </c>
      <c r="F454" s="239" t="s">
        <v>5722</v>
      </c>
      <c r="G454" s="242" t="str">
        <f>IF(COUNTIF(H454:AU454,"&lt;&gt;")=0,"",SUMPRODUCT(((Recommendations[ImplStatus]="Implemented")+(Recommendations[ImplStatus]="Compensated"))*ISNUMBER(MATCH(Recommendations[Id],H454:AU454,0)))/COUNTIF(H454:AU454,"&lt;&gt;"))</f>
        <v/>
      </c>
      <c r="H454" s="243"/>
      <c r="I454" s="243"/>
      <c r="J454" s="243"/>
      <c r="K454" s="243"/>
      <c r="L454" s="243"/>
      <c r="M454" s="243"/>
      <c r="N454" s="243"/>
      <c r="O454" s="243"/>
      <c r="P454" s="243"/>
      <c r="Q454" s="243"/>
      <c r="R454" s="243"/>
      <c r="S454" s="243"/>
      <c r="T454" s="243"/>
      <c r="U454" s="243"/>
      <c r="V454" s="243"/>
      <c r="W454" s="243"/>
      <c r="X454" s="243"/>
      <c r="Y454" s="243"/>
      <c r="Z454" s="243"/>
      <c r="AA454" s="243"/>
      <c r="AB454" s="243"/>
      <c r="AC454" s="243"/>
      <c r="AD454" s="243"/>
      <c r="AE454" s="243"/>
      <c r="AF454" s="243"/>
      <c r="AG454" s="243"/>
      <c r="AH454" s="243"/>
      <c r="AI454" s="243"/>
      <c r="AJ454" s="243"/>
      <c r="AK454" s="243"/>
      <c r="AL454" s="243"/>
      <c r="AM454" s="243"/>
      <c r="AN454" s="243"/>
      <c r="AO454" s="243"/>
      <c r="AP454" s="243"/>
      <c r="AQ454" s="243"/>
      <c r="AR454" s="243"/>
      <c r="AS454" s="243"/>
      <c r="AT454" s="243"/>
      <c r="AU454" s="257"/>
    </row>
    <row r="455" spans="1:47" ht="60" customHeight="1" x14ac:dyDescent="0.35">
      <c r="A455" s="253" t="s">
        <v>5718</v>
      </c>
      <c r="B455" s="231" t="s">
        <v>5719</v>
      </c>
      <c r="C455" s="232" t="s">
        <v>5727</v>
      </c>
      <c r="D455" s="235" t="s">
        <v>5728</v>
      </c>
      <c r="E455" s="236" t="s">
        <v>4815</v>
      </c>
      <c r="F455" s="239" t="s">
        <v>5722</v>
      </c>
      <c r="G455" s="242" t="str">
        <f>IF(COUNTIF(H455:AU455,"&lt;&gt;")=0,"",SUMPRODUCT(((Recommendations[ImplStatus]="Implemented")+(Recommendations[ImplStatus]="Compensated"))*ISNUMBER(MATCH(Recommendations[Id],H455:AU455,0)))/COUNTIF(H455:AU455,"&lt;&gt;"))</f>
        <v/>
      </c>
      <c r="H455" s="243"/>
      <c r="I455" s="243"/>
      <c r="J455" s="243"/>
      <c r="K455" s="243"/>
      <c r="L455" s="243"/>
      <c r="M455" s="243"/>
      <c r="N455" s="243"/>
      <c r="O455" s="243"/>
      <c r="P455" s="243"/>
      <c r="Q455" s="243"/>
      <c r="R455" s="243"/>
      <c r="S455" s="243"/>
      <c r="T455" s="243"/>
      <c r="U455" s="243"/>
      <c r="V455" s="243"/>
      <c r="W455" s="243"/>
      <c r="X455" s="243"/>
      <c r="Y455" s="243"/>
      <c r="Z455" s="243"/>
      <c r="AA455" s="243"/>
      <c r="AB455" s="243"/>
      <c r="AC455" s="243"/>
      <c r="AD455" s="243"/>
      <c r="AE455" s="243"/>
      <c r="AF455" s="243"/>
      <c r="AG455" s="243"/>
      <c r="AH455" s="243"/>
      <c r="AI455" s="243"/>
      <c r="AJ455" s="243"/>
      <c r="AK455" s="243"/>
      <c r="AL455" s="243"/>
      <c r="AM455" s="243"/>
      <c r="AN455" s="243"/>
      <c r="AO455" s="243"/>
      <c r="AP455" s="243"/>
      <c r="AQ455" s="243"/>
      <c r="AR455" s="243"/>
      <c r="AS455" s="243"/>
      <c r="AT455" s="243"/>
      <c r="AU455" s="257"/>
    </row>
    <row r="456" spans="1:47" ht="60" customHeight="1" x14ac:dyDescent="0.35">
      <c r="A456" s="253" t="s">
        <v>5718</v>
      </c>
      <c r="B456" s="231" t="s">
        <v>5719</v>
      </c>
      <c r="C456" s="232" t="s">
        <v>5729</v>
      </c>
      <c r="D456" s="235" t="s">
        <v>5730</v>
      </c>
      <c r="E456" s="236" t="s">
        <v>4815</v>
      </c>
      <c r="F456" s="239" t="s">
        <v>5722</v>
      </c>
      <c r="G456" s="242" t="str">
        <f>IF(COUNTIF(H456:AU456,"&lt;&gt;")=0,"",SUMPRODUCT(((Recommendations[ImplStatus]="Implemented")+(Recommendations[ImplStatus]="Compensated"))*ISNUMBER(MATCH(Recommendations[Id],H456:AU456,0)))/COUNTIF(H456:AU456,"&lt;&gt;"))</f>
        <v/>
      </c>
      <c r="H456" s="243"/>
      <c r="I456" s="243"/>
      <c r="J456" s="243"/>
      <c r="K456" s="243"/>
      <c r="L456" s="243"/>
      <c r="M456" s="243"/>
      <c r="N456" s="243"/>
      <c r="O456" s="243"/>
      <c r="P456" s="243"/>
      <c r="Q456" s="243"/>
      <c r="R456" s="243"/>
      <c r="S456" s="243"/>
      <c r="T456" s="243"/>
      <c r="U456" s="243"/>
      <c r="V456" s="243"/>
      <c r="W456" s="243"/>
      <c r="X456" s="243"/>
      <c r="Y456" s="243"/>
      <c r="Z456" s="243"/>
      <c r="AA456" s="243"/>
      <c r="AB456" s="243"/>
      <c r="AC456" s="243"/>
      <c r="AD456" s="243"/>
      <c r="AE456" s="243"/>
      <c r="AF456" s="243"/>
      <c r="AG456" s="243"/>
      <c r="AH456" s="243"/>
      <c r="AI456" s="243"/>
      <c r="AJ456" s="243"/>
      <c r="AK456" s="243"/>
      <c r="AL456" s="243"/>
      <c r="AM456" s="243"/>
      <c r="AN456" s="243"/>
      <c r="AO456" s="243"/>
      <c r="AP456" s="243"/>
      <c r="AQ456" s="243"/>
      <c r="AR456" s="243"/>
      <c r="AS456" s="243"/>
      <c r="AT456" s="243"/>
      <c r="AU456" s="257"/>
    </row>
    <row r="457" spans="1:47" ht="60" customHeight="1" x14ac:dyDescent="0.35">
      <c r="A457" s="253" t="s">
        <v>5718</v>
      </c>
      <c r="B457" s="231" t="s">
        <v>5719</v>
      </c>
      <c r="C457" s="232" t="s">
        <v>5731</v>
      </c>
      <c r="D457" s="235" t="s">
        <v>5732</v>
      </c>
      <c r="E457" s="236" t="s">
        <v>4844</v>
      </c>
      <c r="F457" s="239" t="s">
        <v>5722</v>
      </c>
      <c r="G457" s="242" t="str">
        <f>IF(COUNTIF(H457:AU457,"&lt;&gt;")=0,"",SUMPRODUCT(((Recommendations[ImplStatus]="Implemented")+(Recommendations[ImplStatus]="Compensated"))*ISNUMBER(MATCH(Recommendations[Id],H457:AU457,0)))/COUNTIF(H457:AU457,"&lt;&gt;"))</f>
        <v/>
      </c>
      <c r="H457" s="243"/>
      <c r="I457" s="243"/>
      <c r="J457" s="243"/>
      <c r="K457" s="243"/>
      <c r="L457" s="243"/>
      <c r="M457" s="243"/>
      <c r="N457" s="243"/>
      <c r="O457" s="243"/>
      <c r="P457" s="243"/>
      <c r="Q457" s="243"/>
      <c r="R457" s="243"/>
      <c r="S457" s="243"/>
      <c r="T457" s="243"/>
      <c r="U457" s="243"/>
      <c r="V457" s="243"/>
      <c r="W457" s="243"/>
      <c r="X457" s="243"/>
      <c r="Y457" s="243"/>
      <c r="Z457" s="243"/>
      <c r="AA457" s="243"/>
      <c r="AB457" s="243"/>
      <c r="AC457" s="243"/>
      <c r="AD457" s="243"/>
      <c r="AE457" s="243"/>
      <c r="AF457" s="243"/>
      <c r="AG457" s="243"/>
      <c r="AH457" s="243"/>
      <c r="AI457" s="243"/>
      <c r="AJ457" s="243"/>
      <c r="AK457" s="243"/>
      <c r="AL457" s="243"/>
      <c r="AM457" s="243"/>
      <c r="AN457" s="243"/>
      <c r="AO457" s="243"/>
      <c r="AP457" s="243"/>
      <c r="AQ457" s="243"/>
      <c r="AR457" s="243"/>
      <c r="AS457" s="243"/>
      <c r="AT457" s="243"/>
      <c r="AU457" s="257"/>
    </row>
    <row r="458" spans="1:47" ht="60" customHeight="1" x14ac:dyDescent="0.35">
      <c r="A458" s="253" t="s">
        <v>5718</v>
      </c>
      <c r="B458" s="231" t="s">
        <v>5719</v>
      </c>
      <c r="C458" s="232" t="s">
        <v>5733</v>
      </c>
      <c r="D458" s="235" t="s">
        <v>5734</v>
      </c>
      <c r="E458" s="236" t="s">
        <v>4844</v>
      </c>
      <c r="F458" s="239" t="s">
        <v>5722</v>
      </c>
      <c r="G458" s="242" t="str">
        <f>IF(COUNTIF(H458:AU458,"&lt;&gt;")=0,"",SUMPRODUCT(((Recommendations[ImplStatus]="Implemented")+(Recommendations[ImplStatus]="Compensated"))*ISNUMBER(MATCH(Recommendations[Id],H458:AU458,0)))/COUNTIF(H458:AU458,"&lt;&gt;"))</f>
        <v/>
      </c>
      <c r="H458" s="243"/>
      <c r="I458" s="243"/>
      <c r="J458" s="243"/>
      <c r="K458" s="243"/>
      <c r="L458" s="243"/>
      <c r="M458" s="243"/>
      <c r="N458" s="243"/>
      <c r="O458" s="243"/>
      <c r="P458" s="243"/>
      <c r="Q458" s="243"/>
      <c r="R458" s="243"/>
      <c r="S458" s="243"/>
      <c r="T458" s="243"/>
      <c r="U458" s="243"/>
      <c r="V458" s="243"/>
      <c r="W458" s="243"/>
      <c r="X458" s="243"/>
      <c r="Y458" s="243"/>
      <c r="Z458" s="243"/>
      <c r="AA458" s="243"/>
      <c r="AB458" s="243"/>
      <c r="AC458" s="243"/>
      <c r="AD458" s="243"/>
      <c r="AE458" s="243"/>
      <c r="AF458" s="243"/>
      <c r="AG458" s="243"/>
      <c r="AH458" s="243"/>
      <c r="AI458" s="243"/>
      <c r="AJ458" s="243"/>
      <c r="AK458" s="243"/>
      <c r="AL458" s="243"/>
      <c r="AM458" s="243"/>
      <c r="AN458" s="243"/>
      <c r="AO458" s="243"/>
      <c r="AP458" s="243"/>
      <c r="AQ458" s="243"/>
      <c r="AR458" s="243"/>
      <c r="AS458" s="243"/>
      <c r="AT458" s="243"/>
      <c r="AU458" s="257"/>
    </row>
    <row r="459" spans="1:47" ht="60" customHeight="1" x14ac:dyDescent="0.35">
      <c r="A459" s="253" t="s">
        <v>5718</v>
      </c>
      <c r="B459" s="231" t="s">
        <v>5719</v>
      </c>
      <c r="C459" s="232" t="s">
        <v>5735</v>
      </c>
      <c r="D459" s="235" t="s">
        <v>5736</v>
      </c>
      <c r="E459" s="236" t="s">
        <v>4844</v>
      </c>
      <c r="F459" s="239" t="s">
        <v>5722</v>
      </c>
      <c r="G459" s="242" t="str">
        <f>IF(COUNTIF(H459:AU459,"&lt;&gt;")=0,"",SUMPRODUCT(((Recommendations[ImplStatus]="Implemented")+(Recommendations[ImplStatus]="Compensated"))*ISNUMBER(MATCH(Recommendations[Id],H459:AU459,0)))/COUNTIF(H459:AU459,"&lt;&gt;"))</f>
        <v/>
      </c>
      <c r="H459" s="243"/>
      <c r="I459" s="243"/>
      <c r="J459" s="243"/>
      <c r="K459" s="243"/>
      <c r="L459" s="243"/>
      <c r="M459" s="243"/>
      <c r="N459" s="243"/>
      <c r="O459" s="243"/>
      <c r="P459" s="243"/>
      <c r="Q459" s="243"/>
      <c r="R459" s="243"/>
      <c r="S459" s="243"/>
      <c r="T459" s="243"/>
      <c r="U459" s="243"/>
      <c r="V459" s="243"/>
      <c r="W459" s="243"/>
      <c r="X459" s="243"/>
      <c r="Y459" s="243"/>
      <c r="Z459" s="243"/>
      <c r="AA459" s="243"/>
      <c r="AB459" s="243"/>
      <c r="AC459" s="243"/>
      <c r="AD459" s="243"/>
      <c r="AE459" s="243"/>
      <c r="AF459" s="243"/>
      <c r="AG459" s="243"/>
      <c r="AH459" s="243"/>
      <c r="AI459" s="243"/>
      <c r="AJ459" s="243"/>
      <c r="AK459" s="243"/>
      <c r="AL459" s="243"/>
      <c r="AM459" s="243"/>
      <c r="AN459" s="243"/>
      <c r="AO459" s="243"/>
      <c r="AP459" s="243"/>
      <c r="AQ459" s="243"/>
      <c r="AR459" s="243"/>
      <c r="AS459" s="243"/>
      <c r="AT459" s="243"/>
      <c r="AU459" s="257"/>
    </row>
    <row r="460" spans="1:47" ht="60" customHeight="1" x14ac:dyDescent="0.35">
      <c r="A460" s="253" t="s">
        <v>5718</v>
      </c>
      <c r="B460" s="231" t="s">
        <v>5719</v>
      </c>
      <c r="C460" s="232" t="s">
        <v>5737</v>
      </c>
      <c r="D460" s="235" t="s">
        <v>5738</v>
      </c>
      <c r="E460" s="236" t="s">
        <v>4844</v>
      </c>
      <c r="F460" s="239" t="s">
        <v>5722</v>
      </c>
      <c r="G460" s="242" t="str">
        <f>IF(COUNTIF(H460:AU460,"&lt;&gt;")=0,"",SUMPRODUCT(((Recommendations[ImplStatus]="Implemented")+(Recommendations[ImplStatus]="Compensated"))*ISNUMBER(MATCH(Recommendations[Id],H460:AU460,0)))/COUNTIF(H460:AU460,"&lt;&gt;"))</f>
        <v/>
      </c>
      <c r="H460" s="243"/>
      <c r="I460" s="243"/>
      <c r="J460" s="243"/>
      <c r="K460" s="243"/>
      <c r="L460" s="243"/>
      <c r="M460" s="243"/>
      <c r="N460" s="243"/>
      <c r="O460" s="243"/>
      <c r="P460" s="243"/>
      <c r="Q460" s="243"/>
      <c r="R460" s="243"/>
      <c r="S460" s="243"/>
      <c r="T460" s="243"/>
      <c r="U460" s="243"/>
      <c r="V460" s="243"/>
      <c r="W460" s="243"/>
      <c r="X460" s="243"/>
      <c r="Y460" s="243"/>
      <c r="Z460" s="243"/>
      <c r="AA460" s="243"/>
      <c r="AB460" s="243"/>
      <c r="AC460" s="243"/>
      <c r="AD460" s="243"/>
      <c r="AE460" s="243"/>
      <c r="AF460" s="243"/>
      <c r="AG460" s="243"/>
      <c r="AH460" s="243"/>
      <c r="AI460" s="243"/>
      <c r="AJ460" s="243"/>
      <c r="AK460" s="243"/>
      <c r="AL460" s="243"/>
      <c r="AM460" s="243"/>
      <c r="AN460" s="243"/>
      <c r="AO460" s="243"/>
      <c r="AP460" s="243"/>
      <c r="AQ460" s="243"/>
      <c r="AR460" s="243"/>
      <c r="AS460" s="243"/>
      <c r="AT460" s="243"/>
      <c r="AU460" s="257"/>
    </row>
    <row r="461" spans="1:47" ht="60" customHeight="1" x14ac:dyDescent="0.35">
      <c r="A461" s="253" t="s">
        <v>5718</v>
      </c>
      <c r="B461" s="231" t="s">
        <v>5719</v>
      </c>
      <c r="C461" s="232" t="s">
        <v>5739</v>
      </c>
      <c r="D461" s="235" t="s">
        <v>5740</v>
      </c>
      <c r="E461" s="236" t="s">
        <v>4844</v>
      </c>
      <c r="F461" s="239" t="s">
        <v>5722</v>
      </c>
      <c r="G461" s="242" t="str">
        <f>IF(COUNTIF(H461:AU461,"&lt;&gt;")=0,"",SUMPRODUCT(((Recommendations[ImplStatus]="Implemented")+(Recommendations[ImplStatus]="Compensated"))*ISNUMBER(MATCH(Recommendations[Id],H461:AU461,0)))/COUNTIF(H461:AU461,"&lt;&gt;"))</f>
        <v/>
      </c>
      <c r="H461" s="243"/>
      <c r="I461" s="243"/>
      <c r="J461" s="243"/>
      <c r="K461" s="243"/>
      <c r="L461" s="243"/>
      <c r="M461" s="243"/>
      <c r="N461" s="243"/>
      <c r="O461" s="243"/>
      <c r="P461" s="243"/>
      <c r="Q461" s="243"/>
      <c r="R461" s="243"/>
      <c r="S461" s="243"/>
      <c r="T461" s="243"/>
      <c r="U461" s="243"/>
      <c r="V461" s="243"/>
      <c r="W461" s="243"/>
      <c r="X461" s="243"/>
      <c r="Y461" s="243"/>
      <c r="Z461" s="243"/>
      <c r="AA461" s="243"/>
      <c r="AB461" s="243"/>
      <c r="AC461" s="243"/>
      <c r="AD461" s="243"/>
      <c r="AE461" s="243"/>
      <c r="AF461" s="243"/>
      <c r="AG461" s="243"/>
      <c r="AH461" s="243"/>
      <c r="AI461" s="243"/>
      <c r="AJ461" s="243"/>
      <c r="AK461" s="243"/>
      <c r="AL461" s="243"/>
      <c r="AM461" s="243"/>
      <c r="AN461" s="243"/>
      <c r="AO461" s="243"/>
      <c r="AP461" s="243"/>
      <c r="AQ461" s="243"/>
      <c r="AR461" s="243"/>
      <c r="AS461" s="243"/>
      <c r="AT461" s="243"/>
      <c r="AU461" s="257"/>
    </row>
    <row r="462" spans="1:47" ht="60" customHeight="1" x14ac:dyDescent="0.35">
      <c r="A462" s="253" t="s">
        <v>5718</v>
      </c>
      <c r="B462" s="231" t="s">
        <v>5719</v>
      </c>
      <c r="C462" s="232" t="s">
        <v>5741</v>
      </c>
      <c r="D462" s="235" t="s">
        <v>5742</v>
      </c>
      <c r="E462" s="236" t="s">
        <v>4844</v>
      </c>
      <c r="F462" s="239" t="s">
        <v>5722</v>
      </c>
      <c r="G462" s="242" t="str">
        <f>IF(COUNTIF(H462:AU462,"&lt;&gt;")=0,"",SUMPRODUCT(((Recommendations[ImplStatus]="Implemented")+(Recommendations[ImplStatus]="Compensated"))*ISNUMBER(MATCH(Recommendations[Id],H462:AU462,0)))/COUNTIF(H462:AU462,"&lt;&gt;"))</f>
        <v/>
      </c>
      <c r="H462" s="243"/>
      <c r="I462" s="243"/>
      <c r="J462" s="243"/>
      <c r="K462" s="243"/>
      <c r="L462" s="243"/>
      <c r="M462" s="243"/>
      <c r="N462" s="243"/>
      <c r="O462" s="243"/>
      <c r="P462" s="243"/>
      <c r="Q462" s="243"/>
      <c r="R462" s="243"/>
      <c r="S462" s="243"/>
      <c r="T462" s="243"/>
      <c r="U462" s="243"/>
      <c r="V462" s="243"/>
      <c r="W462" s="243"/>
      <c r="X462" s="243"/>
      <c r="Y462" s="243"/>
      <c r="Z462" s="243"/>
      <c r="AA462" s="243"/>
      <c r="AB462" s="243"/>
      <c r="AC462" s="243"/>
      <c r="AD462" s="243"/>
      <c r="AE462" s="243"/>
      <c r="AF462" s="243"/>
      <c r="AG462" s="243"/>
      <c r="AH462" s="243"/>
      <c r="AI462" s="243"/>
      <c r="AJ462" s="243"/>
      <c r="AK462" s="243"/>
      <c r="AL462" s="243"/>
      <c r="AM462" s="243"/>
      <c r="AN462" s="243"/>
      <c r="AO462" s="243"/>
      <c r="AP462" s="243"/>
      <c r="AQ462" s="243"/>
      <c r="AR462" s="243"/>
      <c r="AS462" s="243"/>
      <c r="AT462" s="243"/>
      <c r="AU462" s="257"/>
    </row>
    <row r="463" spans="1:47" ht="60" customHeight="1" x14ac:dyDescent="0.35">
      <c r="A463" s="253" t="s">
        <v>5718</v>
      </c>
      <c r="B463" s="231" t="s">
        <v>5719</v>
      </c>
      <c r="C463" s="232" t="s">
        <v>5743</v>
      </c>
      <c r="D463" s="235" t="s">
        <v>5744</v>
      </c>
      <c r="E463" s="236" t="s">
        <v>4844</v>
      </c>
      <c r="F463" s="239" t="s">
        <v>5722</v>
      </c>
      <c r="G463" s="242" t="str">
        <f>IF(COUNTIF(H463:AU463,"&lt;&gt;")=0,"",SUMPRODUCT(((Recommendations[ImplStatus]="Implemented")+(Recommendations[ImplStatus]="Compensated"))*ISNUMBER(MATCH(Recommendations[Id],H463:AU463,0)))/COUNTIF(H463:AU463,"&lt;&gt;"))</f>
        <v/>
      </c>
      <c r="H463" s="243"/>
      <c r="I463" s="243"/>
      <c r="J463" s="243"/>
      <c r="K463" s="243"/>
      <c r="L463" s="243"/>
      <c r="M463" s="243"/>
      <c r="N463" s="243"/>
      <c r="O463" s="243"/>
      <c r="P463" s="243"/>
      <c r="Q463" s="243"/>
      <c r="R463" s="243"/>
      <c r="S463" s="243"/>
      <c r="T463" s="243"/>
      <c r="U463" s="243"/>
      <c r="V463" s="243"/>
      <c r="W463" s="243"/>
      <c r="X463" s="243"/>
      <c r="Y463" s="243"/>
      <c r="Z463" s="243"/>
      <c r="AA463" s="243"/>
      <c r="AB463" s="243"/>
      <c r="AC463" s="243"/>
      <c r="AD463" s="243"/>
      <c r="AE463" s="243"/>
      <c r="AF463" s="243"/>
      <c r="AG463" s="243"/>
      <c r="AH463" s="243"/>
      <c r="AI463" s="243"/>
      <c r="AJ463" s="243"/>
      <c r="AK463" s="243"/>
      <c r="AL463" s="243"/>
      <c r="AM463" s="243"/>
      <c r="AN463" s="243"/>
      <c r="AO463" s="243"/>
      <c r="AP463" s="243"/>
      <c r="AQ463" s="243"/>
      <c r="AR463" s="243"/>
      <c r="AS463" s="243"/>
      <c r="AT463" s="243"/>
      <c r="AU463" s="257"/>
    </row>
    <row r="464" spans="1:47" ht="60" customHeight="1" x14ac:dyDescent="0.35">
      <c r="A464" s="253" t="s">
        <v>5718</v>
      </c>
      <c r="B464" s="231" t="s">
        <v>5719</v>
      </c>
      <c r="C464" s="232" t="s">
        <v>5745</v>
      </c>
      <c r="D464" s="235" t="s">
        <v>5746</v>
      </c>
      <c r="E464" s="236" t="s">
        <v>4844</v>
      </c>
      <c r="F464" s="239" t="s">
        <v>5722</v>
      </c>
      <c r="G464" s="242" t="str">
        <f>IF(COUNTIF(H464:AU464,"&lt;&gt;")=0,"",SUMPRODUCT(((Recommendations[ImplStatus]="Implemented")+(Recommendations[ImplStatus]="Compensated"))*ISNUMBER(MATCH(Recommendations[Id],H464:AU464,0)))/COUNTIF(H464:AU464,"&lt;&gt;"))</f>
        <v/>
      </c>
      <c r="H464" s="243"/>
      <c r="I464" s="243"/>
      <c r="J464" s="243"/>
      <c r="K464" s="243"/>
      <c r="L464" s="243"/>
      <c r="M464" s="243"/>
      <c r="N464" s="243"/>
      <c r="O464" s="243"/>
      <c r="P464" s="243"/>
      <c r="Q464" s="243"/>
      <c r="R464" s="243"/>
      <c r="S464" s="243"/>
      <c r="T464" s="243"/>
      <c r="U464" s="243"/>
      <c r="V464" s="243"/>
      <c r="W464" s="243"/>
      <c r="X464" s="243"/>
      <c r="Y464" s="243"/>
      <c r="Z464" s="243"/>
      <c r="AA464" s="243"/>
      <c r="AB464" s="243"/>
      <c r="AC464" s="243"/>
      <c r="AD464" s="243"/>
      <c r="AE464" s="243"/>
      <c r="AF464" s="243"/>
      <c r="AG464" s="243"/>
      <c r="AH464" s="243"/>
      <c r="AI464" s="243"/>
      <c r="AJ464" s="243"/>
      <c r="AK464" s="243"/>
      <c r="AL464" s="243"/>
      <c r="AM464" s="243"/>
      <c r="AN464" s="243"/>
      <c r="AO464" s="243"/>
      <c r="AP464" s="243"/>
      <c r="AQ464" s="243"/>
      <c r="AR464" s="243"/>
      <c r="AS464" s="243"/>
      <c r="AT464" s="243"/>
      <c r="AU464" s="257"/>
    </row>
    <row r="465" spans="1:47" ht="60" customHeight="1" x14ac:dyDescent="0.35">
      <c r="A465" s="253" t="s">
        <v>5718</v>
      </c>
      <c r="B465" s="231" t="s">
        <v>5719</v>
      </c>
      <c r="C465" s="232" t="s">
        <v>5747</v>
      </c>
      <c r="D465" s="235" t="s">
        <v>5748</v>
      </c>
      <c r="E465" s="236" t="s">
        <v>4844</v>
      </c>
      <c r="F465" s="239" t="s">
        <v>5722</v>
      </c>
      <c r="G465" s="242" t="str">
        <f>IF(COUNTIF(H465:AU465,"&lt;&gt;")=0,"",SUMPRODUCT(((Recommendations[ImplStatus]="Implemented")+(Recommendations[ImplStatus]="Compensated"))*ISNUMBER(MATCH(Recommendations[Id],H465:AU465,0)))/COUNTIF(H465:AU465,"&lt;&gt;"))</f>
        <v/>
      </c>
      <c r="H465" s="243"/>
      <c r="I465" s="243"/>
      <c r="J465" s="243"/>
      <c r="K465" s="243"/>
      <c r="L465" s="243"/>
      <c r="M465" s="243"/>
      <c r="N465" s="243"/>
      <c r="O465" s="243"/>
      <c r="P465" s="243"/>
      <c r="Q465" s="243"/>
      <c r="R465" s="243"/>
      <c r="S465" s="243"/>
      <c r="T465" s="243"/>
      <c r="U465" s="243"/>
      <c r="V465" s="243"/>
      <c r="W465" s="243"/>
      <c r="X465" s="243"/>
      <c r="Y465" s="243"/>
      <c r="Z465" s="243"/>
      <c r="AA465" s="243"/>
      <c r="AB465" s="243"/>
      <c r="AC465" s="243"/>
      <c r="AD465" s="243"/>
      <c r="AE465" s="243"/>
      <c r="AF465" s="243"/>
      <c r="AG465" s="243"/>
      <c r="AH465" s="243"/>
      <c r="AI465" s="243"/>
      <c r="AJ465" s="243"/>
      <c r="AK465" s="243"/>
      <c r="AL465" s="243"/>
      <c r="AM465" s="243"/>
      <c r="AN465" s="243"/>
      <c r="AO465" s="243"/>
      <c r="AP465" s="243"/>
      <c r="AQ465" s="243"/>
      <c r="AR465" s="243"/>
      <c r="AS465" s="243"/>
      <c r="AT465" s="243"/>
      <c r="AU465" s="257"/>
    </row>
    <row r="466" spans="1:47" ht="60" customHeight="1" outlineLevel="2" x14ac:dyDescent="0.35">
      <c r="A466" s="252" t="s">
        <v>5718</v>
      </c>
      <c r="B466" s="230" t="s">
        <v>5749</v>
      </c>
      <c r="C466" s="230"/>
      <c r="D466" s="234"/>
      <c r="E466" s="230"/>
      <c r="F466" s="238"/>
      <c r="G466" s="241" t="str">
        <f>IF(COUNTIF(H466:AU466,"&lt;&gt;")=0,"",SUMPRODUCT(((Recommendations[ImplStatus]="Implemented")+(Recommendations[ImplStatus]="Compensated"))*ISNUMBER(MATCH(Recommendations[Id],H466:AU466,0)))/COUNTIF(H466:AU466,"&lt;&gt;"))</f>
        <v/>
      </c>
      <c r="H466" s="238"/>
      <c r="I466" s="238"/>
      <c r="J466" s="238"/>
      <c r="K466" s="238"/>
      <c r="L466" s="238"/>
      <c r="M466" s="238"/>
      <c r="N466" s="238"/>
      <c r="O466" s="238"/>
      <c r="P466" s="238"/>
      <c r="Q466" s="238"/>
      <c r="R466" s="238"/>
      <c r="S466" s="238"/>
      <c r="T466" s="238"/>
      <c r="U466" s="238"/>
      <c r="V466" s="238"/>
      <c r="W466" s="238"/>
      <c r="X466" s="238"/>
      <c r="Y466" s="238"/>
      <c r="Z466" s="238"/>
      <c r="AA466" s="238"/>
      <c r="AB466" s="238"/>
      <c r="AC466" s="238"/>
      <c r="AD466" s="238"/>
      <c r="AE466" s="238"/>
      <c r="AF466" s="238"/>
      <c r="AG466" s="238"/>
      <c r="AH466" s="238"/>
      <c r="AI466" s="238"/>
      <c r="AJ466" s="238"/>
      <c r="AK466" s="238"/>
      <c r="AL466" s="238"/>
      <c r="AM466" s="238"/>
      <c r="AN466" s="238"/>
      <c r="AO466" s="238"/>
      <c r="AP466" s="238"/>
      <c r="AQ466" s="238"/>
      <c r="AR466" s="238"/>
      <c r="AS466" s="238"/>
      <c r="AT466" s="238"/>
      <c r="AU466" s="256"/>
    </row>
    <row r="467" spans="1:47" ht="60" customHeight="1" x14ac:dyDescent="0.35">
      <c r="A467" s="253" t="s">
        <v>5718</v>
      </c>
      <c r="B467" s="231" t="s">
        <v>5749</v>
      </c>
      <c r="C467" s="232" t="s">
        <v>5750</v>
      </c>
      <c r="D467" s="235" t="s">
        <v>5751</v>
      </c>
      <c r="E467" s="236" t="s">
        <v>4815</v>
      </c>
      <c r="F467" s="239" t="s">
        <v>4954</v>
      </c>
      <c r="G467" s="242" t="str">
        <f>IF(COUNTIF(H467:AU467,"&lt;&gt;")=0,"",SUMPRODUCT(((Recommendations[ImplStatus]="Implemented")+(Recommendations[ImplStatus]="Compensated"))*ISNUMBER(MATCH(Recommendations[Id],H467:AU467,0)))/COUNTIF(H467:AU467,"&lt;&gt;"))</f>
        <v/>
      </c>
      <c r="H467" s="243"/>
      <c r="I467" s="243"/>
      <c r="J467" s="243"/>
      <c r="K467" s="243"/>
      <c r="L467" s="243"/>
      <c r="M467" s="243"/>
      <c r="N467" s="243"/>
      <c r="O467" s="243"/>
      <c r="P467" s="243"/>
      <c r="Q467" s="243"/>
      <c r="R467" s="243"/>
      <c r="S467" s="243"/>
      <c r="T467" s="243"/>
      <c r="U467" s="243"/>
      <c r="V467" s="243"/>
      <c r="W467" s="243"/>
      <c r="X467" s="243"/>
      <c r="Y467" s="243"/>
      <c r="Z467" s="243"/>
      <c r="AA467" s="243"/>
      <c r="AB467" s="243"/>
      <c r="AC467" s="243"/>
      <c r="AD467" s="243"/>
      <c r="AE467" s="243"/>
      <c r="AF467" s="243"/>
      <c r="AG467" s="243"/>
      <c r="AH467" s="243"/>
      <c r="AI467" s="243"/>
      <c r="AJ467" s="243"/>
      <c r="AK467" s="243"/>
      <c r="AL467" s="243"/>
      <c r="AM467" s="243"/>
      <c r="AN467" s="243"/>
      <c r="AO467" s="243"/>
      <c r="AP467" s="243"/>
      <c r="AQ467" s="243"/>
      <c r="AR467" s="243"/>
      <c r="AS467" s="243"/>
      <c r="AT467" s="243"/>
      <c r="AU467" s="257"/>
    </row>
    <row r="468" spans="1:47" ht="60" customHeight="1" x14ac:dyDescent="0.35">
      <c r="A468" s="253" t="s">
        <v>5718</v>
      </c>
      <c r="B468" s="231" t="s">
        <v>5749</v>
      </c>
      <c r="C468" s="232" t="s">
        <v>5752</v>
      </c>
      <c r="D468" s="235" t="s">
        <v>5753</v>
      </c>
      <c r="E468" s="236" t="s">
        <v>4815</v>
      </c>
      <c r="F468" s="239" t="s">
        <v>4954</v>
      </c>
      <c r="G468" s="242" t="str">
        <f>IF(COUNTIF(H468:AU468,"&lt;&gt;")=0,"",SUMPRODUCT(((Recommendations[ImplStatus]="Implemented")+(Recommendations[ImplStatus]="Compensated"))*ISNUMBER(MATCH(Recommendations[Id],H468:AU468,0)))/COUNTIF(H468:AU468,"&lt;&gt;"))</f>
        <v/>
      </c>
      <c r="H468" s="243"/>
      <c r="I468" s="243"/>
      <c r="J468" s="243"/>
      <c r="K468" s="243"/>
      <c r="L468" s="243"/>
      <c r="M468" s="243"/>
      <c r="N468" s="243"/>
      <c r="O468" s="243"/>
      <c r="P468" s="243"/>
      <c r="Q468" s="243"/>
      <c r="R468" s="243"/>
      <c r="S468" s="243"/>
      <c r="T468" s="243"/>
      <c r="U468" s="243"/>
      <c r="V468" s="243"/>
      <c r="W468" s="243"/>
      <c r="X468" s="243"/>
      <c r="Y468" s="243"/>
      <c r="Z468" s="243"/>
      <c r="AA468" s="243"/>
      <c r="AB468" s="243"/>
      <c r="AC468" s="243"/>
      <c r="AD468" s="243"/>
      <c r="AE468" s="243"/>
      <c r="AF468" s="243"/>
      <c r="AG468" s="243"/>
      <c r="AH468" s="243"/>
      <c r="AI468" s="243"/>
      <c r="AJ468" s="243"/>
      <c r="AK468" s="243"/>
      <c r="AL468" s="243"/>
      <c r="AM468" s="243"/>
      <c r="AN468" s="243"/>
      <c r="AO468" s="243"/>
      <c r="AP468" s="243"/>
      <c r="AQ468" s="243"/>
      <c r="AR468" s="243"/>
      <c r="AS468" s="243"/>
      <c r="AT468" s="243"/>
      <c r="AU468" s="257"/>
    </row>
    <row r="469" spans="1:47" ht="60" customHeight="1" x14ac:dyDescent="0.35">
      <c r="A469" s="253" t="s">
        <v>5718</v>
      </c>
      <c r="B469" s="231" t="s">
        <v>5749</v>
      </c>
      <c r="C469" s="232" t="s">
        <v>5754</v>
      </c>
      <c r="D469" s="235" t="s">
        <v>5755</v>
      </c>
      <c r="E469" s="236" t="s">
        <v>4815</v>
      </c>
      <c r="F469" s="239" t="s">
        <v>4954</v>
      </c>
      <c r="G469" s="242" t="str">
        <f>IF(COUNTIF(H469:AU469,"&lt;&gt;")=0,"",SUMPRODUCT(((Recommendations[ImplStatus]="Implemented")+(Recommendations[ImplStatus]="Compensated"))*ISNUMBER(MATCH(Recommendations[Id],H469:AU469,0)))/COUNTIF(H469:AU469,"&lt;&gt;"))</f>
        <v/>
      </c>
      <c r="H469" s="243"/>
      <c r="I469" s="243"/>
      <c r="J469" s="243"/>
      <c r="K469" s="243"/>
      <c r="L469" s="243"/>
      <c r="M469" s="243"/>
      <c r="N469" s="243"/>
      <c r="O469" s="243"/>
      <c r="P469" s="243"/>
      <c r="Q469" s="243"/>
      <c r="R469" s="243"/>
      <c r="S469" s="243"/>
      <c r="T469" s="243"/>
      <c r="U469" s="243"/>
      <c r="V469" s="243"/>
      <c r="W469" s="243"/>
      <c r="X469" s="243"/>
      <c r="Y469" s="243"/>
      <c r="Z469" s="243"/>
      <c r="AA469" s="243"/>
      <c r="AB469" s="243"/>
      <c r="AC469" s="243"/>
      <c r="AD469" s="243"/>
      <c r="AE469" s="243"/>
      <c r="AF469" s="243"/>
      <c r="AG469" s="243"/>
      <c r="AH469" s="243"/>
      <c r="AI469" s="243"/>
      <c r="AJ469" s="243"/>
      <c r="AK469" s="243"/>
      <c r="AL469" s="243"/>
      <c r="AM469" s="243"/>
      <c r="AN469" s="243"/>
      <c r="AO469" s="243"/>
      <c r="AP469" s="243"/>
      <c r="AQ469" s="243"/>
      <c r="AR469" s="243"/>
      <c r="AS469" s="243"/>
      <c r="AT469" s="243"/>
      <c r="AU469" s="257"/>
    </row>
    <row r="470" spans="1:47" ht="60" customHeight="1" x14ac:dyDescent="0.35">
      <c r="A470" s="253" t="s">
        <v>5718</v>
      </c>
      <c r="B470" s="231" t="s">
        <v>5749</v>
      </c>
      <c r="C470" s="232" t="s">
        <v>5756</v>
      </c>
      <c r="D470" s="235" t="s">
        <v>5757</v>
      </c>
      <c r="E470" s="236" t="s">
        <v>4911</v>
      </c>
      <c r="F470" s="239" t="s">
        <v>5323</v>
      </c>
      <c r="G470" s="242" t="str">
        <f>IF(COUNTIF(H470:AU470,"&lt;&gt;")=0,"",SUMPRODUCT(((Recommendations[ImplStatus]="Implemented")+(Recommendations[ImplStatus]="Compensated"))*ISNUMBER(MATCH(Recommendations[Id],H470:AU470,0)))/COUNTIF(H470:AU470,"&lt;&gt;"))</f>
        <v/>
      </c>
      <c r="H470" s="243"/>
      <c r="I470" s="243"/>
      <c r="J470" s="243"/>
      <c r="K470" s="243"/>
      <c r="L470" s="243"/>
      <c r="M470" s="243"/>
      <c r="N470" s="243"/>
      <c r="O470" s="243"/>
      <c r="P470" s="243"/>
      <c r="Q470" s="243"/>
      <c r="R470" s="243"/>
      <c r="S470" s="243"/>
      <c r="T470" s="243"/>
      <c r="U470" s="243"/>
      <c r="V470" s="243"/>
      <c r="W470" s="243"/>
      <c r="X470" s="243"/>
      <c r="Y470" s="243"/>
      <c r="Z470" s="243"/>
      <c r="AA470" s="243"/>
      <c r="AB470" s="243"/>
      <c r="AC470" s="243"/>
      <c r="AD470" s="243"/>
      <c r="AE470" s="243"/>
      <c r="AF470" s="243"/>
      <c r="AG470" s="243"/>
      <c r="AH470" s="243"/>
      <c r="AI470" s="243"/>
      <c r="AJ470" s="243"/>
      <c r="AK470" s="243"/>
      <c r="AL470" s="243"/>
      <c r="AM470" s="243"/>
      <c r="AN470" s="243"/>
      <c r="AO470" s="243"/>
      <c r="AP470" s="243"/>
      <c r="AQ470" s="243"/>
      <c r="AR470" s="243"/>
      <c r="AS470" s="243"/>
      <c r="AT470" s="243"/>
      <c r="AU470" s="257"/>
    </row>
    <row r="471" spans="1:47" ht="60" customHeight="1" x14ac:dyDescent="0.35">
      <c r="A471" s="253" t="s">
        <v>5718</v>
      </c>
      <c r="B471" s="231" t="s">
        <v>5749</v>
      </c>
      <c r="C471" s="232" t="s">
        <v>5758</v>
      </c>
      <c r="D471" s="235" t="s">
        <v>5759</v>
      </c>
      <c r="E471" s="236" t="s">
        <v>4911</v>
      </c>
      <c r="F471" s="239" t="s">
        <v>5323</v>
      </c>
      <c r="G471" s="242" t="str">
        <f>IF(COUNTIF(H471:AU471,"&lt;&gt;")=0,"",SUMPRODUCT(((Recommendations[ImplStatus]="Implemented")+(Recommendations[ImplStatus]="Compensated"))*ISNUMBER(MATCH(Recommendations[Id],H471:AU471,0)))/COUNTIF(H471:AU471,"&lt;&gt;"))</f>
        <v/>
      </c>
      <c r="H471" s="243"/>
      <c r="I471" s="243"/>
      <c r="J471" s="243"/>
      <c r="K471" s="243"/>
      <c r="L471" s="243"/>
      <c r="M471" s="243"/>
      <c r="N471" s="243"/>
      <c r="O471" s="243"/>
      <c r="P471" s="243"/>
      <c r="Q471" s="243"/>
      <c r="R471" s="243"/>
      <c r="S471" s="243"/>
      <c r="T471" s="243"/>
      <c r="U471" s="243"/>
      <c r="V471" s="243"/>
      <c r="W471" s="243"/>
      <c r="X471" s="243"/>
      <c r="Y471" s="243"/>
      <c r="Z471" s="243"/>
      <c r="AA471" s="243"/>
      <c r="AB471" s="243"/>
      <c r="AC471" s="243"/>
      <c r="AD471" s="243"/>
      <c r="AE471" s="243"/>
      <c r="AF471" s="243"/>
      <c r="AG471" s="243"/>
      <c r="AH471" s="243"/>
      <c r="AI471" s="243"/>
      <c r="AJ471" s="243"/>
      <c r="AK471" s="243"/>
      <c r="AL471" s="243"/>
      <c r="AM471" s="243"/>
      <c r="AN471" s="243"/>
      <c r="AO471" s="243"/>
      <c r="AP471" s="243"/>
      <c r="AQ471" s="243"/>
      <c r="AR471" s="243"/>
      <c r="AS471" s="243"/>
      <c r="AT471" s="243"/>
      <c r="AU471" s="257"/>
    </row>
    <row r="472" spans="1:47" ht="60" customHeight="1" x14ac:dyDescent="0.35">
      <c r="A472" s="253" t="s">
        <v>5718</v>
      </c>
      <c r="B472" s="231" t="s">
        <v>5749</v>
      </c>
      <c r="C472" s="232" t="s">
        <v>5760</v>
      </c>
      <c r="D472" s="235" t="s">
        <v>5761</v>
      </c>
      <c r="E472" s="236" t="s">
        <v>4815</v>
      </c>
      <c r="F472" s="239" t="s">
        <v>5323</v>
      </c>
      <c r="G472" s="242" t="str">
        <f>IF(COUNTIF(H472:AU472,"&lt;&gt;")=0,"",SUMPRODUCT(((Recommendations[ImplStatus]="Implemented")+(Recommendations[ImplStatus]="Compensated"))*ISNUMBER(MATCH(Recommendations[Id],H472:AU472,0)))/COUNTIF(H472:AU472,"&lt;&gt;"))</f>
        <v/>
      </c>
      <c r="H472" s="243"/>
      <c r="I472" s="243"/>
      <c r="J472" s="243"/>
      <c r="K472" s="243"/>
      <c r="L472" s="243"/>
      <c r="M472" s="243"/>
      <c r="N472" s="243"/>
      <c r="O472" s="243"/>
      <c r="P472" s="243"/>
      <c r="Q472" s="243"/>
      <c r="R472" s="243"/>
      <c r="S472" s="243"/>
      <c r="T472" s="243"/>
      <c r="U472" s="243"/>
      <c r="V472" s="243"/>
      <c r="W472" s="243"/>
      <c r="X472" s="243"/>
      <c r="Y472" s="243"/>
      <c r="Z472" s="243"/>
      <c r="AA472" s="243"/>
      <c r="AB472" s="243"/>
      <c r="AC472" s="243"/>
      <c r="AD472" s="243"/>
      <c r="AE472" s="243"/>
      <c r="AF472" s="243"/>
      <c r="AG472" s="243"/>
      <c r="AH472" s="243"/>
      <c r="AI472" s="243"/>
      <c r="AJ472" s="243"/>
      <c r="AK472" s="243"/>
      <c r="AL472" s="243"/>
      <c r="AM472" s="243"/>
      <c r="AN472" s="243"/>
      <c r="AO472" s="243"/>
      <c r="AP472" s="243"/>
      <c r="AQ472" s="243"/>
      <c r="AR472" s="243"/>
      <c r="AS472" s="243"/>
      <c r="AT472" s="243"/>
      <c r="AU472" s="257"/>
    </row>
    <row r="473" spans="1:47" ht="60" customHeight="1" x14ac:dyDescent="0.35">
      <c r="A473" s="253" t="s">
        <v>5718</v>
      </c>
      <c r="B473" s="231" t="s">
        <v>5749</v>
      </c>
      <c r="C473" s="232" t="s">
        <v>5762</v>
      </c>
      <c r="D473" s="235" t="s">
        <v>5763</v>
      </c>
      <c r="E473" s="236" t="s">
        <v>4815</v>
      </c>
      <c r="F473" s="239" t="s">
        <v>5262</v>
      </c>
      <c r="G473" s="242" t="str">
        <f>IF(COUNTIF(H473:AU473,"&lt;&gt;")=0,"",SUMPRODUCT(((Recommendations[ImplStatus]="Implemented")+(Recommendations[ImplStatus]="Compensated"))*ISNUMBER(MATCH(Recommendations[Id],H473:AU473,0)))/COUNTIF(H473:AU473,"&lt;&gt;"))</f>
        <v/>
      </c>
      <c r="H473" s="243"/>
      <c r="I473" s="243"/>
      <c r="J473" s="243"/>
      <c r="K473" s="243"/>
      <c r="L473" s="243"/>
      <c r="M473" s="243"/>
      <c r="N473" s="243"/>
      <c r="O473" s="243"/>
      <c r="P473" s="243"/>
      <c r="Q473" s="243"/>
      <c r="R473" s="243"/>
      <c r="S473" s="243"/>
      <c r="T473" s="243"/>
      <c r="U473" s="243"/>
      <c r="V473" s="243"/>
      <c r="W473" s="243"/>
      <c r="X473" s="243"/>
      <c r="Y473" s="243"/>
      <c r="Z473" s="243"/>
      <c r="AA473" s="243"/>
      <c r="AB473" s="243"/>
      <c r="AC473" s="243"/>
      <c r="AD473" s="243"/>
      <c r="AE473" s="243"/>
      <c r="AF473" s="243"/>
      <c r="AG473" s="243"/>
      <c r="AH473" s="243"/>
      <c r="AI473" s="243"/>
      <c r="AJ473" s="243"/>
      <c r="AK473" s="243"/>
      <c r="AL473" s="243"/>
      <c r="AM473" s="243"/>
      <c r="AN473" s="243"/>
      <c r="AO473" s="243"/>
      <c r="AP473" s="243"/>
      <c r="AQ473" s="243"/>
      <c r="AR473" s="243"/>
      <c r="AS473" s="243"/>
      <c r="AT473" s="243"/>
      <c r="AU473" s="257"/>
    </row>
    <row r="474" spans="1:47" ht="60" customHeight="1" x14ac:dyDescent="0.35">
      <c r="A474" s="253" t="s">
        <v>5718</v>
      </c>
      <c r="B474" s="231" t="s">
        <v>5749</v>
      </c>
      <c r="C474" s="232" t="s">
        <v>5764</v>
      </c>
      <c r="D474" s="235" t="s">
        <v>5765</v>
      </c>
      <c r="E474" s="236" t="s">
        <v>4844</v>
      </c>
      <c r="F474" s="239" t="s">
        <v>5262</v>
      </c>
      <c r="G474" s="242" t="str">
        <f>IF(COUNTIF(H474:AU474,"&lt;&gt;")=0,"",SUMPRODUCT(((Recommendations[ImplStatus]="Implemented")+(Recommendations[ImplStatus]="Compensated"))*ISNUMBER(MATCH(Recommendations[Id],H474:AU474,0)))/COUNTIF(H474:AU474,"&lt;&gt;"))</f>
        <v/>
      </c>
      <c r="H474" s="243"/>
      <c r="I474" s="243"/>
      <c r="J474" s="243"/>
      <c r="K474" s="243"/>
      <c r="L474" s="243"/>
      <c r="M474" s="243"/>
      <c r="N474" s="243"/>
      <c r="O474" s="243"/>
      <c r="P474" s="243"/>
      <c r="Q474" s="243"/>
      <c r="R474" s="243"/>
      <c r="S474" s="243"/>
      <c r="T474" s="243"/>
      <c r="U474" s="243"/>
      <c r="V474" s="243"/>
      <c r="W474" s="243"/>
      <c r="X474" s="243"/>
      <c r="Y474" s="243"/>
      <c r="Z474" s="243"/>
      <c r="AA474" s="243"/>
      <c r="AB474" s="243"/>
      <c r="AC474" s="243"/>
      <c r="AD474" s="243"/>
      <c r="AE474" s="243"/>
      <c r="AF474" s="243"/>
      <c r="AG474" s="243"/>
      <c r="AH474" s="243"/>
      <c r="AI474" s="243"/>
      <c r="AJ474" s="243"/>
      <c r="AK474" s="243"/>
      <c r="AL474" s="243"/>
      <c r="AM474" s="243"/>
      <c r="AN474" s="243"/>
      <c r="AO474" s="243"/>
      <c r="AP474" s="243"/>
      <c r="AQ474" s="243"/>
      <c r="AR474" s="243"/>
      <c r="AS474" s="243"/>
      <c r="AT474" s="243"/>
      <c r="AU474" s="257"/>
    </row>
    <row r="475" spans="1:47" ht="60" customHeight="1" x14ac:dyDescent="0.35">
      <c r="A475" s="253" t="s">
        <v>5718</v>
      </c>
      <c r="B475" s="231" t="s">
        <v>5749</v>
      </c>
      <c r="C475" s="232" t="s">
        <v>5766</v>
      </c>
      <c r="D475" s="235" t="s">
        <v>5767</v>
      </c>
      <c r="E475" s="236" t="s">
        <v>4844</v>
      </c>
      <c r="F475" s="239" t="s">
        <v>5262</v>
      </c>
      <c r="G475" s="242" t="str">
        <f>IF(COUNTIF(H475:AU475,"&lt;&gt;")=0,"",SUMPRODUCT(((Recommendations[ImplStatus]="Implemented")+(Recommendations[ImplStatus]="Compensated"))*ISNUMBER(MATCH(Recommendations[Id],H475:AU475,0)))/COUNTIF(H475:AU475,"&lt;&gt;"))</f>
        <v/>
      </c>
      <c r="H475" s="243"/>
      <c r="I475" s="243"/>
      <c r="J475" s="243"/>
      <c r="K475" s="243"/>
      <c r="L475" s="243"/>
      <c r="M475" s="243"/>
      <c r="N475" s="243"/>
      <c r="O475" s="243"/>
      <c r="P475" s="243"/>
      <c r="Q475" s="243"/>
      <c r="R475" s="243"/>
      <c r="S475" s="243"/>
      <c r="T475" s="243"/>
      <c r="U475" s="243"/>
      <c r="V475" s="243"/>
      <c r="W475" s="243"/>
      <c r="X475" s="243"/>
      <c r="Y475" s="243"/>
      <c r="Z475" s="243"/>
      <c r="AA475" s="243"/>
      <c r="AB475" s="243"/>
      <c r="AC475" s="243"/>
      <c r="AD475" s="243"/>
      <c r="AE475" s="243"/>
      <c r="AF475" s="243"/>
      <c r="AG475" s="243"/>
      <c r="AH475" s="243"/>
      <c r="AI475" s="243"/>
      <c r="AJ475" s="243"/>
      <c r="AK475" s="243"/>
      <c r="AL475" s="243"/>
      <c r="AM475" s="243"/>
      <c r="AN475" s="243"/>
      <c r="AO475" s="243"/>
      <c r="AP475" s="243"/>
      <c r="AQ475" s="243"/>
      <c r="AR475" s="243"/>
      <c r="AS475" s="243"/>
      <c r="AT475" s="243"/>
      <c r="AU475" s="257"/>
    </row>
    <row r="476" spans="1:47" ht="60" customHeight="1" x14ac:dyDescent="0.35">
      <c r="A476" s="253" t="s">
        <v>5718</v>
      </c>
      <c r="B476" s="231" t="s">
        <v>5749</v>
      </c>
      <c r="C476" s="232" t="s">
        <v>5768</v>
      </c>
      <c r="D476" s="235" t="s">
        <v>5769</v>
      </c>
      <c r="E476" s="236" t="s">
        <v>4844</v>
      </c>
      <c r="F476" s="239" t="s">
        <v>5262</v>
      </c>
      <c r="G476" s="242" t="str">
        <f>IF(COUNTIF(H476:AU476,"&lt;&gt;")=0,"",SUMPRODUCT(((Recommendations[ImplStatus]="Implemented")+(Recommendations[ImplStatus]="Compensated"))*ISNUMBER(MATCH(Recommendations[Id],H476:AU476,0)))/COUNTIF(H476:AU476,"&lt;&gt;"))</f>
        <v/>
      </c>
      <c r="H476" s="243"/>
      <c r="I476" s="243"/>
      <c r="J476" s="243"/>
      <c r="K476" s="243"/>
      <c r="L476" s="243"/>
      <c r="M476" s="243"/>
      <c r="N476" s="243"/>
      <c r="O476" s="243"/>
      <c r="P476" s="243"/>
      <c r="Q476" s="243"/>
      <c r="R476" s="243"/>
      <c r="S476" s="243"/>
      <c r="T476" s="243"/>
      <c r="U476" s="243"/>
      <c r="V476" s="243"/>
      <c r="W476" s="243"/>
      <c r="X476" s="243"/>
      <c r="Y476" s="243"/>
      <c r="Z476" s="243"/>
      <c r="AA476" s="243"/>
      <c r="AB476" s="243"/>
      <c r="AC476" s="243"/>
      <c r="AD476" s="243"/>
      <c r="AE476" s="243"/>
      <c r="AF476" s="243"/>
      <c r="AG476" s="243"/>
      <c r="AH476" s="243"/>
      <c r="AI476" s="243"/>
      <c r="AJ476" s="243"/>
      <c r="AK476" s="243"/>
      <c r="AL476" s="243"/>
      <c r="AM476" s="243"/>
      <c r="AN476" s="243"/>
      <c r="AO476" s="243"/>
      <c r="AP476" s="243"/>
      <c r="AQ476" s="243"/>
      <c r="AR476" s="243"/>
      <c r="AS476" s="243"/>
      <c r="AT476" s="243"/>
      <c r="AU476" s="257"/>
    </row>
    <row r="477" spans="1:47" ht="60" customHeight="1" x14ac:dyDescent="0.35">
      <c r="A477" s="253" t="s">
        <v>5718</v>
      </c>
      <c r="B477" s="231" t="s">
        <v>5749</v>
      </c>
      <c r="C477" s="232" t="s">
        <v>5770</v>
      </c>
      <c r="D477" s="235" t="s">
        <v>5771</v>
      </c>
      <c r="E477" s="236" t="s">
        <v>4844</v>
      </c>
      <c r="F477" s="239" t="s">
        <v>5262</v>
      </c>
      <c r="G477" s="242" t="str">
        <f>IF(COUNTIF(H477:AU477,"&lt;&gt;")=0,"",SUMPRODUCT(((Recommendations[ImplStatus]="Implemented")+(Recommendations[ImplStatus]="Compensated"))*ISNUMBER(MATCH(Recommendations[Id],H477:AU477,0)))/COUNTIF(H477:AU477,"&lt;&gt;"))</f>
        <v/>
      </c>
      <c r="H477" s="243"/>
      <c r="I477" s="243"/>
      <c r="J477" s="243"/>
      <c r="K477" s="243"/>
      <c r="L477" s="243"/>
      <c r="M477" s="243"/>
      <c r="N477" s="243"/>
      <c r="O477" s="243"/>
      <c r="P477" s="243"/>
      <c r="Q477" s="243"/>
      <c r="R477" s="243"/>
      <c r="S477" s="243"/>
      <c r="T477" s="243"/>
      <c r="U477" s="243"/>
      <c r="V477" s="243"/>
      <c r="W477" s="243"/>
      <c r="X477" s="243"/>
      <c r="Y477" s="243"/>
      <c r="Z477" s="243"/>
      <c r="AA477" s="243"/>
      <c r="AB477" s="243"/>
      <c r="AC477" s="243"/>
      <c r="AD477" s="243"/>
      <c r="AE477" s="243"/>
      <c r="AF477" s="243"/>
      <c r="AG477" s="243"/>
      <c r="AH477" s="243"/>
      <c r="AI477" s="243"/>
      <c r="AJ477" s="243"/>
      <c r="AK477" s="243"/>
      <c r="AL477" s="243"/>
      <c r="AM477" s="243"/>
      <c r="AN477" s="243"/>
      <c r="AO477" s="243"/>
      <c r="AP477" s="243"/>
      <c r="AQ477" s="243"/>
      <c r="AR477" s="243"/>
      <c r="AS477" s="243"/>
      <c r="AT477" s="243"/>
      <c r="AU477" s="257"/>
    </row>
    <row r="478" spans="1:47" ht="60" customHeight="1" x14ac:dyDescent="0.35">
      <c r="A478" s="253" t="s">
        <v>5718</v>
      </c>
      <c r="B478" s="231" t="s">
        <v>5749</v>
      </c>
      <c r="C478" s="232" t="s">
        <v>5772</v>
      </c>
      <c r="D478" s="235" t="s">
        <v>5773</v>
      </c>
      <c r="E478" s="236" t="s">
        <v>4844</v>
      </c>
      <c r="F478" s="239" t="s">
        <v>5323</v>
      </c>
      <c r="G478" s="242" t="str">
        <f>IF(COUNTIF(H478:AU478,"&lt;&gt;")=0,"",SUMPRODUCT(((Recommendations[ImplStatus]="Implemented")+(Recommendations[ImplStatus]="Compensated"))*ISNUMBER(MATCH(Recommendations[Id],H478:AU478,0)))/COUNTIF(H478:AU478,"&lt;&gt;"))</f>
        <v/>
      </c>
      <c r="H478" s="243"/>
      <c r="I478" s="243"/>
      <c r="J478" s="243"/>
      <c r="K478" s="243"/>
      <c r="L478" s="243"/>
      <c r="M478" s="243"/>
      <c r="N478" s="243"/>
      <c r="O478" s="243"/>
      <c r="P478" s="243"/>
      <c r="Q478" s="243"/>
      <c r="R478" s="243"/>
      <c r="S478" s="243"/>
      <c r="T478" s="243"/>
      <c r="U478" s="243"/>
      <c r="V478" s="243"/>
      <c r="W478" s="243"/>
      <c r="X478" s="243"/>
      <c r="Y478" s="243"/>
      <c r="Z478" s="243"/>
      <c r="AA478" s="243"/>
      <c r="AB478" s="243"/>
      <c r="AC478" s="243"/>
      <c r="AD478" s="243"/>
      <c r="AE478" s="243"/>
      <c r="AF478" s="243"/>
      <c r="AG478" s="243"/>
      <c r="AH478" s="243"/>
      <c r="AI478" s="243"/>
      <c r="AJ478" s="243"/>
      <c r="AK478" s="243"/>
      <c r="AL478" s="243"/>
      <c r="AM478" s="243"/>
      <c r="AN478" s="243"/>
      <c r="AO478" s="243"/>
      <c r="AP478" s="243"/>
      <c r="AQ478" s="243"/>
      <c r="AR478" s="243"/>
      <c r="AS478" s="243"/>
      <c r="AT478" s="243"/>
      <c r="AU478" s="257"/>
    </row>
    <row r="479" spans="1:47" ht="60" customHeight="1" x14ac:dyDescent="0.35">
      <c r="A479" s="253" t="s">
        <v>5718</v>
      </c>
      <c r="B479" s="231" t="s">
        <v>5749</v>
      </c>
      <c r="C479" s="232" t="s">
        <v>5774</v>
      </c>
      <c r="D479" s="235" t="s">
        <v>5775</v>
      </c>
      <c r="E479" s="236" t="s">
        <v>4959</v>
      </c>
      <c r="F479" s="239" t="s">
        <v>5323</v>
      </c>
      <c r="G479" s="242" t="str">
        <f>IF(COUNTIF(H479:AU479,"&lt;&gt;")=0,"",SUMPRODUCT(((Recommendations[ImplStatus]="Implemented")+(Recommendations[ImplStatus]="Compensated"))*ISNUMBER(MATCH(Recommendations[Id],H479:AU479,0)))/COUNTIF(H479:AU479,"&lt;&gt;"))</f>
        <v/>
      </c>
      <c r="H479" s="243"/>
      <c r="I479" s="243"/>
      <c r="J479" s="243"/>
      <c r="K479" s="243"/>
      <c r="L479" s="243"/>
      <c r="M479" s="243"/>
      <c r="N479" s="243"/>
      <c r="O479" s="243"/>
      <c r="P479" s="243"/>
      <c r="Q479" s="243"/>
      <c r="R479" s="243"/>
      <c r="S479" s="243"/>
      <c r="T479" s="243"/>
      <c r="U479" s="243"/>
      <c r="V479" s="243"/>
      <c r="W479" s="243"/>
      <c r="X479" s="243"/>
      <c r="Y479" s="243"/>
      <c r="Z479" s="243"/>
      <c r="AA479" s="243"/>
      <c r="AB479" s="243"/>
      <c r="AC479" s="243"/>
      <c r="AD479" s="243"/>
      <c r="AE479" s="243"/>
      <c r="AF479" s="243"/>
      <c r="AG479" s="243"/>
      <c r="AH479" s="243"/>
      <c r="AI479" s="243"/>
      <c r="AJ479" s="243"/>
      <c r="AK479" s="243"/>
      <c r="AL479" s="243"/>
      <c r="AM479" s="243"/>
      <c r="AN479" s="243"/>
      <c r="AO479" s="243"/>
      <c r="AP479" s="243"/>
      <c r="AQ479" s="243"/>
      <c r="AR479" s="243"/>
      <c r="AS479" s="243"/>
      <c r="AT479" s="243"/>
      <c r="AU479" s="257"/>
    </row>
    <row r="480" spans="1:47" ht="60" customHeight="1" x14ac:dyDescent="0.35">
      <c r="A480" s="253" t="s">
        <v>5718</v>
      </c>
      <c r="B480" s="231" t="s">
        <v>5749</v>
      </c>
      <c r="C480" s="232" t="s">
        <v>5776</v>
      </c>
      <c r="D480" s="235" t="s">
        <v>5777</v>
      </c>
      <c r="E480" s="236" t="s">
        <v>4959</v>
      </c>
      <c r="F480" s="239" t="s">
        <v>5323</v>
      </c>
      <c r="G480" s="242" t="str">
        <f>IF(COUNTIF(H480:AU480,"&lt;&gt;")=0,"",SUMPRODUCT(((Recommendations[ImplStatus]="Implemented")+(Recommendations[ImplStatus]="Compensated"))*ISNUMBER(MATCH(Recommendations[Id],H480:AU480,0)))/COUNTIF(H480:AU480,"&lt;&gt;"))</f>
        <v/>
      </c>
      <c r="H480" s="243"/>
      <c r="I480" s="243"/>
      <c r="J480" s="243"/>
      <c r="K480" s="243"/>
      <c r="L480" s="243"/>
      <c r="M480" s="243"/>
      <c r="N480" s="243"/>
      <c r="O480" s="243"/>
      <c r="P480" s="243"/>
      <c r="Q480" s="243"/>
      <c r="R480" s="243"/>
      <c r="S480" s="243"/>
      <c r="T480" s="243"/>
      <c r="U480" s="243"/>
      <c r="V480" s="243"/>
      <c r="W480" s="243"/>
      <c r="X480" s="243"/>
      <c r="Y480" s="243"/>
      <c r="Z480" s="243"/>
      <c r="AA480" s="243"/>
      <c r="AB480" s="243"/>
      <c r="AC480" s="243"/>
      <c r="AD480" s="243"/>
      <c r="AE480" s="243"/>
      <c r="AF480" s="243"/>
      <c r="AG480" s="243"/>
      <c r="AH480" s="243"/>
      <c r="AI480" s="243"/>
      <c r="AJ480" s="243"/>
      <c r="AK480" s="243"/>
      <c r="AL480" s="243"/>
      <c r="AM480" s="243"/>
      <c r="AN480" s="243"/>
      <c r="AO480" s="243"/>
      <c r="AP480" s="243"/>
      <c r="AQ480" s="243"/>
      <c r="AR480" s="243"/>
      <c r="AS480" s="243"/>
      <c r="AT480" s="243"/>
      <c r="AU480" s="257"/>
    </row>
    <row r="481" spans="1:47" ht="60" customHeight="1" x14ac:dyDescent="0.35">
      <c r="A481" s="254" t="s">
        <v>5718</v>
      </c>
      <c r="B481" s="244" t="s">
        <v>5749</v>
      </c>
      <c r="C481" s="245" t="s">
        <v>5778</v>
      </c>
      <c r="D481" s="246" t="s">
        <v>5779</v>
      </c>
      <c r="E481" s="247" t="s">
        <v>4959</v>
      </c>
      <c r="F481" s="248" t="s">
        <v>4954</v>
      </c>
      <c r="G481" s="249" t="str">
        <f>IF(COUNTIF(H481:AU481,"&lt;&gt;")=0,"",SUMPRODUCT(((Recommendations[ImplStatus]="Implemented")+(Recommendations[ImplStatus]="Compensated"))*ISNUMBER(MATCH(Recommendations[Id],H481:AU481,0)))/COUNTIF(H481:AU481,"&lt;&gt;"))</f>
        <v/>
      </c>
      <c r="H481" s="250"/>
      <c r="I481" s="250"/>
      <c r="J481" s="250"/>
      <c r="K481" s="250"/>
      <c r="L481" s="250"/>
      <c r="M481" s="250"/>
      <c r="N481" s="250"/>
      <c r="O481" s="250"/>
      <c r="P481" s="250"/>
      <c r="Q481" s="250"/>
      <c r="R481" s="250"/>
      <c r="S481" s="250"/>
      <c r="T481" s="250"/>
      <c r="U481" s="250"/>
      <c r="V481" s="250"/>
      <c r="W481" s="250"/>
      <c r="X481" s="250"/>
      <c r="Y481" s="250"/>
      <c r="Z481" s="250"/>
      <c r="AA481" s="250"/>
      <c r="AB481" s="250"/>
      <c r="AC481" s="250"/>
      <c r="AD481" s="250"/>
      <c r="AE481" s="250"/>
      <c r="AF481" s="250"/>
      <c r="AG481" s="250"/>
      <c r="AH481" s="250"/>
      <c r="AI481" s="250"/>
      <c r="AJ481" s="250"/>
      <c r="AK481" s="250"/>
      <c r="AL481" s="250"/>
      <c r="AM481" s="250"/>
      <c r="AN481" s="250"/>
      <c r="AO481" s="250"/>
      <c r="AP481" s="250"/>
      <c r="AQ481" s="250"/>
      <c r="AR481" s="250"/>
      <c r="AS481" s="250"/>
      <c r="AT481" s="250"/>
      <c r="AU481" s="258"/>
    </row>
    <row r="485" spans="1:47" ht="32" customHeight="1" x14ac:dyDescent="0.35">
      <c r="A485" s="262" t="s">
        <v>1766</v>
      </c>
      <c r="B485" s="262"/>
      <c r="C485" s="262"/>
      <c r="D485" s="262"/>
      <c r="E485" s="262"/>
      <c r="F485" s="262"/>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IFERROR(INDEX('Recommendations'!$G$2:$G$368, MATCH(H2,'Recommendations'!$B$2:$B$368,0))="Implemented", FALSE))</xm:f>
            <x14:dxf>
              <font>
                <color rgb="FF000000"/>
              </font>
              <fill>
                <patternFill>
                  <bgColor rgb="FF3C7D22"/>
                </patternFill>
              </fill>
            </x14:dxf>
          </x14:cfRule>
          <x14:cfRule type="expression" priority="2" id="{00000000-000E-0000-0A00-000002000000}">
            <xm:f>AND(H2&lt;&gt;"", IFERROR(INDEX('Recommendations'!$G$2:$G$368, MATCH(H2,'Recommendations'!$B$2:$B$368,0))="Compensated", FALSE))</xm:f>
            <x14:dxf>
              <font>
                <color rgb="FF000000"/>
              </font>
              <fill>
                <patternFill>
                  <bgColor rgb="FFC6E0B4"/>
                </patternFill>
              </fill>
            </x14:dxf>
          </x14:cfRule>
          <x14:cfRule type="expression" priority="3" id="{00000000-000E-0000-0A00-000003000000}">
            <xm:f>AND(H2&lt;&gt;"", IFERROR(INDEX('Recommendations'!$G$2:$G$368, MATCH(H2,'Recommendations'!$B$2:$B$368,0))="Testing", FALSE))</xm:f>
            <x14:dxf>
              <font>
                <color rgb="FF000000"/>
              </font>
              <fill>
                <patternFill>
                  <bgColor rgb="FFFFC000"/>
                </patternFill>
              </fill>
            </x14:dxf>
          </x14:cfRule>
          <x14:cfRule type="expression" priority="4" id="{00000000-000E-0000-0A00-000004000000}">
            <xm:f>AND(H2&lt;&gt;"", IFERROR(INDEX('Recommendations'!$G$2:$G$368, MATCH(H2,'Recommendations'!$B$2:$B$368,0))="Failed", FALSE))</xm:f>
            <x14:dxf>
              <font>
                <color rgb="FF000000"/>
              </font>
              <fill>
                <patternFill>
                  <bgColor rgb="FFD82891"/>
                </patternFill>
              </fill>
            </x14:dxf>
          </x14:cfRule>
          <x14:cfRule type="expression" priority="5" id="{00000000-000E-0000-0A00-000005000000}">
            <xm:f>AND(H2&lt;&gt;"", IFERROR(INDEX('Recommendations'!$G$2:$G$368, MATCH(H2,'Recommendations'!$B$2:$B$368,0))="Risk Accepted", FALSE))</xm:f>
            <x14:dxf>
              <font>
                <color rgb="FF000000"/>
              </font>
              <fill>
                <patternFill>
                  <bgColor rgb="FFD9D9D9"/>
                </patternFill>
              </fill>
            </x14:dxf>
          </x14:cfRule>
          <x14:cfRule type="expression" priority="6" id="{00000000-000E-0000-0A00-000006000000}">
            <xm:f>AND(H2&lt;&gt;"", IFERROR(INDEX('Recommendations'!$G$2:$G$368, MATCH(H2,'Recommendations'!$B$2:$B$368,0))="N/A",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74"/>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63" t="s">
        <v>1840</v>
      </c>
      <c r="C2" s="264"/>
      <c r="D2" s="264"/>
      <c r="E2" s="264"/>
      <c r="F2" s="264"/>
      <c r="G2" s="264"/>
      <c r="H2" s="264"/>
      <c r="I2" s="264"/>
    </row>
    <row r="4" spans="2:15" ht="18.5" x14ac:dyDescent="0.45">
      <c r="B4" s="36" t="s">
        <v>1841</v>
      </c>
    </row>
    <row r="5" spans="2:15" x14ac:dyDescent="0.35">
      <c r="B5" s="38" t="s">
        <v>20</v>
      </c>
      <c r="C5" s="38" t="s">
        <v>1842</v>
      </c>
      <c r="D5" s="38" t="s">
        <v>1843</v>
      </c>
      <c r="F5" s="265" t="s">
        <v>1844</v>
      </c>
      <c r="G5" s="265"/>
      <c r="H5" s="265"/>
      <c r="I5" s="266" t="s">
        <v>1845</v>
      </c>
      <c r="J5" s="266"/>
      <c r="K5" s="266"/>
      <c r="L5" s="266"/>
      <c r="M5" s="266"/>
      <c r="N5" s="266"/>
      <c r="O5" s="266"/>
    </row>
    <row r="6" spans="2:15" x14ac:dyDescent="0.35">
      <c r="B6" s="44" t="s">
        <v>1846</v>
      </c>
      <c r="C6" s="45">
        <v>367</v>
      </c>
      <c r="D6" s="46" t="s">
        <v>20</v>
      </c>
      <c r="F6" s="265" t="s">
        <v>1847</v>
      </c>
      <c r="G6" s="265"/>
      <c r="H6" s="265"/>
      <c r="I6" s="267" t="s">
        <v>1848</v>
      </c>
      <c r="J6" s="267"/>
      <c r="K6" s="267"/>
      <c r="L6" s="267"/>
      <c r="M6" s="267"/>
      <c r="N6" s="267"/>
      <c r="O6" s="267"/>
    </row>
    <row r="7" spans="2:15" x14ac:dyDescent="0.35">
      <c r="B7" s="47" t="s">
        <v>1849</v>
      </c>
      <c r="C7" s="48">
        <f>C6-C8-C9</f>
        <v>367</v>
      </c>
      <c r="D7" s="49">
        <f>IF(C6&gt;0,C7/C6,0)</f>
        <v>1</v>
      </c>
      <c r="F7" s="265" t="s">
        <v>1850</v>
      </c>
      <c r="G7" s="265"/>
      <c r="H7" s="265"/>
      <c r="I7" s="267" t="s">
        <v>1848</v>
      </c>
      <c r="J7" s="267"/>
      <c r="K7" s="267"/>
      <c r="L7" s="267"/>
      <c r="M7" s="267"/>
      <c r="N7" s="267"/>
      <c r="O7" s="267"/>
    </row>
    <row r="8" spans="2:15" x14ac:dyDescent="0.35">
      <c r="B8" s="40" t="s">
        <v>1851</v>
      </c>
      <c r="C8" s="41">
        <f>COUNTIF('Recommendations'!G:G,"Risk Accepted")</f>
        <v>0</v>
      </c>
      <c r="D8" s="42">
        <f>IF(C6&gt;0,C8/C6,0)</f>
        <v>0</v>
      </c>
      <c r="F8" s="265" t="s">
        <v>1852</v>
      </c>
      <c r="G8" s="265"/>
      <c r="H8" s="265"/>
      <c r="I8" s="267" t="s">
        <v>1848</v>
      </c>
      <c r="J8" s="267"/>
      <c r="K8" s="267"/>
      <c r="L8" s="267"/>
      <c r="M8" s="267"/>
      <c r="N8" s="267"/>
      <c r="O8" s="267"/>
    </row>
    <row r="9" spans="2:15" x14ac:dyDescent="0.35">
      <c r="B9" s="40" t="s">
        <v>1853</v>
      </c>
      <c r="C9" s="41">
        <f>COUNTIF('Recommendations'!G:G,"N/A")</f>
        <v>0</v>
      </c>
      <c r="D9" s="42">
        <f>IF(C6&gt;0,C9/C6,0)</f>
        <v>0</v>
      </c>
      <c r="F9" s="265" t="s">
        <v>1854</v>
      </c>
      <c r="G9" s="265"/>
      <c r="H9" s="265"/>
      <c r="I9" s="267" t="s">
        <v>1848</v>
      </c>
      <c r="J9" s="267"/>
      <c r="K9" s="267"/>
      <c r="L9" s="267"/>
      <c r="M9" s="267"/>
      <c r="N9" s="267"/>
      <c r="O9" s="267"/>
    </row>
    <row r="12" spans="2:15" ht="18.5" x14ac:dyDescent="0.45">
      <c r="B12" s="36" t="s">
        <v>1855</v>
      </c>
    </row>
    <row r="14" spans="2:15" x14ac:dyDescent="0.35">
      <c r="B14" s="50" t="s">
        <v>1856</v>
      </c>
    </row>
    <row r="15" spans="2:15" x14ac:dyDescent="0.35">
      <c r="B15" s="38" t="s">
        <v>20</v>
      </c>
      <c r="C15" s="38" t="s">
        <v>1857</v>
      </c>
      <c r="D15" s="38" t="s">
        <v>1858</v>
      </c>
      <c r="E15" s="38" t="s">
        <v>1859</v>
      </c>
      <c r="F15" s="38" t="s">
        <v>1860</v>
      </c>
    </row>
    <row r="16" spans="2:15" x14ac:dyDescent="0.35">
      <c r="B16" s="40" t="s">
        <v>1861</v>
      </c>
      <c r="C16" s="41">
        <f>COUNTIF('Recommendations'!M:M,"Resolved")</f>
        <v>0</v>
      </c>
      <c r="D16" s="41">
        <f>COUNTIF('Recommendations'!M:M,"Testing")</f>
        <v>0</v>
      </c>
      <c r="E16" s="41">
        <f>COUNTIF('Recommendations'!M:M,"Outstanding")</f>
        <v>367</v>
      </c>
      <c r="F16" s="41">
        <f>SUM(C16:E16)</f>
        <v>367</v>
      </c>
    </row>
    <row r="18" spans="2:6" x14ac:dyDescent="0.35">
      <c r="B18" s="50" t="s">
        <v>1862</v>
      </c>
    </row>
    <row r="19" spans="2:6" x14ac:dyDescent="0.35">
      <c r="B19" s="51" t="s">
        <v>20</v>
      </c>
      <c r="C19" s="51" t="s">
        <v>1857</v>
      </c>
      <c r="D19" s="51" t="s">
        <v>1858</v>
      </c>
      <c r="E19" s="51" t="s">
        <v>1859</v>
      </c>
      <c r="F19" s="51" t="s">
        <v>20</v>
      </c>
    </row>
    <row r="20" spans="2:6" x14ac:dyDescent="0.35">
      <c r="B20" s="40" t="s">
        <v>1861</v>
      </c>
      <c r="C20" s="42">
        <f>IF(F16&gt;0, C16/F16, 0)</f>
        <v>0</v>
      </c>
      <c r="D20" s="42">
        <f>IF(F16&gt;0, D16/F16, 0)</f>
        <v>0</v>
      </c>
      <c r="E20" s="42">
        <f>IF(F16&gt;0, E16/F16, 0)</f>
        <v>1</v>
      </c>
      <c r="F20" s="43" t="s">
        <v>20</v>
      </c>
    </row>
    <row r="25" spans="2:6" ht="18.5" x14ac:dyDescent="0.45">
      <c r="B25" s="36" t="s">
        <v>1863</v>
      </c>
    </row>
    <row r="27" spans="2:6" x14ac:dyDescent="0.35">
      <c r="B27" s="50" t="s">
        <v>1856</v>
      </c>
    </row>
    <row r="28" spans="2:6" x14ac:dyDescent="0.35">
      <c r="B28" s="38" t="s">
        <v>5</v>
      </c>
      <c r="C28" s="38" t="s">
        <v>1857</v>
      </c>
      <c r="D28" s="38" t="s">
        <v>1858</v>
      </c>
      <c r="E28" s="38" t="s">
        <v>1859</v>
      </c>
      <c r="F28" s="38" t="s">
        <v>1860</v>
      </c>
    </row>
    <row r="29" spans="2:6" x14ac:dyDescent="0.35">
      <c r="B29" s="40" t="s">
        <v>1864</v>
      </c>
      <c r="C29" s="41">
        <f>COUNTIFS('Recommendations'!F:F,"Phase1",'Recommendations'!M:M,"=Resolved")</f>
        <v>0</v>
      </c>
      <c r="D29" s="41">
        <f>COUNTIFS('Recommendations'!F:F,"=Phase1",'Recommendations'!M:M,"=Testing")</f>
        <v>0</v>
      </c>
      <c r="E29" s="41">
        <f>COUNTIFS('Recommendations'!F:F,"=Phase1",'Recommendations'!M:M,"=Outstanding")</f>
        <v>0</v>
      </c>
      <c r="F29" s="41">
        <f t="shared" ref="F29:F34" si="0">SUM(C29:E29)</f>
        <v>0</v>
      </c>
    </row>
    <row r="30" spans="2:6" x14ac:dyDescent="0.35">
      <c r="B30" s="40" t="s">
        <v>1865</v>
      </c>
      <c r="C30" s="41">
        <f>COUNTIFS('Recommendations'!F:F,"Phase2",'Recommendations'!M:M,"=Resolved")</f>
        <v>0</v>
      </c>
      <c r="D30" s="41">
        <f>COUNTIFS('Recommendations'!F:F,"=Phase2",'Recommendations'!M:M,"=Testing")</f>
        <v>0</v>
      </c>
      <c r="E30" s="41">
        <f>COUNTIFS('Recommendations'!F:F,"=Phase2",'Recommendations'!M:M,"=Outstanding")</f>
        <v>0</v>
      </c>
      <c r="F30" s="41">
        <f t="shared" si="0"/>
        <v>0</v>
      </c>
    </row>
    <row r="31" spans="2:6" x14ac:dyDescent="0.35">
      <c r="B31" s="40" t="s">
        <v>1866</v>
      </c>
      <c r="C31" s="41">
        <f>COUNTIFS('Recommendations'!F:F,"Phase3",'Recommendations'!M:M,"=Resolved")</f>
        <v>0</v>
      </c>
      <c r="D31" s="41">
        <f>COUNTIFS('Recommendations'!F:F,"=Phase3",'Recommendations'!M:M,"=Testing")</f>
        <v>0</v>
      </c>
      <c r="E31" s="41">
        <f>COUNTIFS('Recommendations'!F:F,"=Phase3",'Recommendations'!M:M,"=Outstanding")</f>
        <v>0</v>
      </c>
      <c r="F31" s="41">
        <f t="shared" si="0"/>
        <v>0</v>
      </c>
    </row>
    <row r="32" spans="2:6" x14ac:dyDescent="0.35">
      <c r="B32" s="40" t="s">
        <v>1867</v>
      </c>
      <c r="C32" s="41">
        <f>COUNTIFS('Recommendations'!F:F,"Phase4",'Recommendations'!M:M,"=Resolved")</f>
        <v>0</v>
      </c>
      <c r="D32" s="41">
        <f>COUNTIFS('Recommendations'!F:F,"=Phase4",'Recommendations'!M:M,"=Testing")</f>
        <v>0</v>
      </c>
      <c r="E32" s="41">
        <f>COUNTIFS('Recommendations'!F:F,"=Phase4",'Recommendations'!M:M,"=Outstanding")</f>
        <v>0</v>
      </c>
      <c r="F32" s="41">
        <f t="shared" si="0"/>
        <v>0</v>
      </c>
    </row>
    <row r="33" spans="2:6" x14ac:dyDescent="0.35">
      <c r="B33" s="40" t="s">
        <v>1868</v>
      </c>
      <c r="C33" s="41">
        <f>COUNTIFS('Recommendations'!F:F,"Phase5",'Recommendations'!M:M,"=Resolved")</f>
        <v>0</v>
      </c>
      <c r="D33" s="41">
        <f>COUNTIFS('Recommendations'!F:F,"=Phase5",'Recommendations'!M:M,"=Testing")</f>
        <v>0</v>
      </c>
      <c r="E33" s="41">
        <f>COUNTIFS('Recommendations'!F:F,"=Phase5",'Recommendations'!M:M,"=Outstanding")</f>
        <v>0</v>
      </c>
      <c r="F33" s="41">
        <f t="shared" si="0"/>
        <v>0</v>
      </c>
    </row>
    <row r="34" spans="2:6" x14ac:dyDescent="0.35">
      <c r="B34" s="40" t="s">
        <v>19</v>
      </c>
      <c r="C34" s="41">
        <f>COUNTIFS('Recommendations'!F:F,"Pending",'Recommendations'!M:M,"=Resolved")</f>
        <v>0</v>
      </c>
      <c r="D34" s="41">
        <f>COUNTIFS('Recommendations'!F:F,"=Pending",'Recommendations'!M:M,"=Testing")</f>
        <v>0</v>
      </c>
      <c r="E34" s="41">
        <f>COUNTIFS('Recommendations'!F:F,"=Pending",'Recommendations'!M:M,"=Outstanding")</f>
        <v>367</v>
      </c>
      <c r="F34" s="41">
        <f t="shared" si="0"/>
        <v>367</v>
      </c>
    </row>
    <row r="36" spans="2:6" x14ac:dyDescent="0.35">
      <c r="B36" s="50" t="s">
        <v>1862</v>
      </c>
    </row>
    <row r="37" spans="2:6" x14ac:dyDescent="0.35">
      <c r="B37" s="51" t="s">
        <v>5</v>
      </c>
      <c r="C37" s="51" t="s">
        <v>1857</v>
      </c>
      <c r="D37" s="51" t="s">
        <v>1858</v>
      </c>
      <c r="E37" s="51" t="s">
        <v>1859</v>
      </c>
      <c r="F37" s="51" t="s">
        <v>20</v>
      </c>
    </row>
    <row r="38" spans="2:6" x14ac:dyDescent="0.35">
      <c r="B38" s="40" t="s">
        <v>1864</v>
      </c>
      <c r="C38" s="42">
        <f t="shared" ref="C38:C43" si="1">IF(F29&gt;0, C29/F29, 0)</f>
        <v>0</v>
      </c>
      <c r="D38" s="42">
        <f t="shared" ref="D38:D43" si="2">IF(F29&gt;0, D29/F29, 0)</f>
        <v>0</v>
      </c>
      <c r="E38" s="42">
        <f t="shared" ref="E38:E43" si="3">IF(F29&gt;0, E29/F29, 0)</f>
        <v>0</v>
      </c>
      <c r="F38" s="43" t="s">
        <v>20</v>
      </c>
    </row>
    <row r="39" spans="2:6" x14ac:dyDescent="0.35">
      <c r="B39" s="40" t="s">
        <v>1865</v>
      </c>
      <c r="C39" s="42">
        <f t="shared" si="1"/>
        <v>0</v>
      </c>
      <c r="D39" s="42">
        <f t="shared" si="2"/>
        <v>0</v>
      </c>
      <c r="E39" s="42">
        <f t="shared" si="3"/>
        <v>0</v>
      </c>
      <c r="F39" s="43" t="s">
        <v>20</v>
      </c>
    </row>
    <row r="40" spans="2:6" x14ac:dyDescent="0.35">
      <c r="B40" s="40" t="s">
        <v>1866</v>
      </c>
      <c r="C40" s="42">
        <f t="shared" si="1"/>
        <v>0</v>
      </c>
      <c r="D40" s="42">
        <f t="shared" si="2"/>
        <v>0</v>
      </c>
      <c r="E40" s="42">
        <f t="shared" si="3"/>
        <v>0</v>
      </c>
      <c r="F40" s="43" t="s">
        <v>20</v>
      </c>
    </row>
    <row r="41" spans="2:6" x14ac:dyDescent="0.35">
      <c r="B41" s="40" t="s">
        <v>1867</v>
      </c>
      <c r="C41" s="42">
        <f t="shared" si="1"/>
        <v>0</v>
      </c>
      <c r="D41" s="42">
        <f t="shared" si="2"/>
        <v>0</v>
      </c>
      <c r="E41" s="42">
        <f t="shared" si="3"/>
        <v>0</v>
      </c>
      <c r="F41" s="43" t="s">
        <v>20</v>
      </c>
    </row>
    <row r="42" spans="2:6" x14ac:dyDescent="0.35">
      <c r="B42" s="40" t="s">
        <v>1868</v>
      </c>
      <c r="C42" s="42">
        <f t="shared" si="1"/>
        <v>0</v>
      </c>
      <c r="D42" s="42">
        <f t="shared" si="2"/>
        <v>0</v>
      </c>
      <c r="E42" s="42">
        <f t="shared" si="3"/>
        <v>0</v>
      </c>
      <c r="F42" s="43" t="s">
        <v>20</v>
      </c>
    </row>
    <row r="43" spans="2:6" x14ac:dyDescent="0.35">
      <c r="B43" s="40" t="s">
        <v>19</v>
      </c>
      <c r="C43" s="42">
        <f t="shared" si="1"/>
        <v>0</v>
      </c>
      <c r="D43" s="42">
        <f t="shared" si="2"/>
        <v>0</v>
      </c>
      <c r="E43" s="42">
        <f t="shared" si="3"/>
        <v>1</v>
      </c>
      <c r="F43" s="43" t="s">
        <v>20</v>
      </c>
    </row>
    <row r="48" spans="2:6" ht="18.5" x14ac:dyDescent="0.45">
      <c r="B48" s="36" t="s">
        <v>1869</v>
      </c>
    </row>
    <row r="50" spans="2:6" x14ac:dyDescent="0.35">
      <c r="B50" s="50" t="s">
        <v>1856</v>
      </c>
    </row>
    <row r="51" spans="2:6" x14ac:dyDescent="0.35">
      <c r="B51" s="38" t="s">
        <v>3</v>
      </c>
      <c r="C51" s="38" t="s">
        <v>1857</v>
      </c>
      <c r="D51" s="38" t="s">
        <v>1858</v>
      </c>
      <c r="E51" s="38" t="s">
        <v>1859</v>
      </c>
      <c r="F51" s="38" t="s">
        <v>1860</v>
      </c>
    </row>
    <row r="52" spans="2:6" x14ac:dyDescent="0.35">
      <c r="B52" s="40" t="s">
        <v>1870</v>
      </c>
      <c r="C52" s="41">
        <f>COUNTIFS('Recommendations'!D:D,"Must",'Recommendations'!M:M,"=Resolved")</f>
        <v>0</v>
      </c>
      <c r="D52" s="41">
        <f>COUNTIFS('Recommendations'!D:D,"=Must",'Recommendations'!M:M,"=Testing")</f>
        <v>0</v>
      </c>
      <c r="E52" s="41">
        <f>COUNTIFS('Recommendations'!D:D,"=Must",'Recommendations'!M:M,"=Outstanding")</f>
        <v>0</v>
      </c>
      <c r="F52" s="41">
        <f>SUM(C52:E52)</f>
        <v>0</v>
      </c>
    </row>
    <row r="53" spans="2:6" x14ac:dyDescent="0.35">
      <c r="B53" s="40" t="s">
        <v>1871</v>
      </c>
      <c r="C53" s="41">
        <f>COUNTIFS('Recommendations'!D:D,"Should",'Recommendations'!M:M,"=Resolved")</f>
        <v>0</v>
      </c>
      <c r="D53" s="41">
        <f>COUNTIFS('Recommendations'!D:D,"=Should",'Recommendations'!M:M,"=Testing")</f>
        <v>0</v>
      </c>
      <c r="E53" s="41">
        <f>COUNTIFS('Recommendations'!D:D,"=Should",'Recommendations'!M:M,"=Outstanding")</f>
        <v>0</v>
      </c>
      <c r="F53" s="41">
        <f>SUM(C53:E53)</f>
        <v>0</v>
      </c>
    </row>
    <row r="54" spans="2:6" x14ac:dyDescent="0.35">
      <c r="B54" s="40" t="s">
        <v>1872</v>
      </c>
      <c r="C54" s="41">
        <f>COUNTIFS('Recommendations'!D:D,"Could",'Recommendations'!M:M,"=Resolved")</f>
        <v>0</v>
      </c>
      <c r="D54" s="41">
        <f>COUNTIFS('Recommendations'!D:D,"=Could",'Recommendations'!M:M,"=Testing")</f>
        <v>0</v>
      </c>
      <c r="E54" s="41">
        <f>COUNTIFS('Recommendations'!D:D,"=Could",'Recommendations'!M:M,"=Outstanding")</f>
        <v>0</v>
      </c>
      <c r="F54" s="41">
        <f>SUM(C54:E54)</f>
        <v>0</v>
      </c>
    </row>
    <row r="55" spans="2:6" x14ac:dyDescent="0.35">
      <c r="B55" s="40" t="s">
        <v>1873</v>
      </c>
      <c r="C55" s="41">
        <f>COUNTIFS('Recommendations'!D:D,"Won't",'Recommendations'!M:M,"=Resolved")</f>
        <v>0</v>
      </c>
      <c r="D55" s="41">
        <f>COUNTIFS('Recommendations'!D:D,"=Won't",'Recommendations'!M:M,"=Testing")</f>
        <v>0</v>
      </c>
      <c r="E55" s="41">
        <f>COUNTIFS('Recommendations'!D:D,"=Won't",'Recommendations'!M:M,"=Outstanding")</f>
        <v>0</v>
      </c>
      <c r="F55" s="41">
        <f>SUM(C55:E55)</f>
        <v>0</v>
      </c>
    </row>
    <row r="56" spans="2:6" x14ac:dyDescent="0.35">
      <c r="B56" s="40" t="s">
        <v>17</v>
      </c>
      <c r="C56" s="41">
        <f>COUNTIFS('Recommendations'!D:D,"Unassigned",'Recommendations'!M:M,"=Resolved")</f>
        <v>0</v>
      </c>
      <c r="D56" s="41">
        <f>COUNTIFS('Recommendations'!D:D,"=Unassigned",'Recommendations'!M:M,"=Testing")</f>
        <v>0</v>
      </c>
      <c r="E56" s="41">
        <f>COUNTIFS('Recommendations'!D:D,"=Unassigned",'Recommendations'!M:M,"=Outstanding")</f>
        <v>367</v>
      </c>
      <c r="F56" s="41">
        <f>SUM(C56:E56)</f>
        <v>367</v>
      </c>
    </row>
    <row r="58" spans="2:6" x14ac:dyDescent="0.35">
      <c r="B58" s="50" t="s">
        <v>1862</v>
      </c>
    </row>
    <row r="59" spans="2:6" x14ac:dyDescent="0.35">
      <c r="B59" s="51" t="s">
        <v>3</v>
      </c>
      <c r="C59" s="51" t="s">
        <v>1857</v>
      </c>
      <c r="D59" s="51" t="s">
        <v>1858</v>
      </c>
      <c r="E59" s="51" t="s">
        <v>1859</v>
      </c>
      <c r="F59" s="51" t="s">
        <v>20</v>
      </c>
    </row>
    <row r="60" spans="2:6" x14ac:dyDescent="0.35">
      <c r="B60" s="40" t="s">
        <v>1870</v>
      </c>
      <c r="C60" s="42">
        <f>IF(F52&gt;0, C52/F52, 0)</f>
        <v>0</v>
      </c>
      <c r="D60" s="42">
        <f>IF(F52&gt;0, D52/F52, 0)</f>
        <v>0</v>
      </c>
      <c r="E60" s="42">
        <f>IF(F52&gt;0, E52/F52, 0)</f>
        <v>0</v>
      </c>
      <c r="F60" s="43" t="s">
        <v>20</v>
      </c>
    </row>
    <row r="61" spans="2:6" x14ac:dyDescent="0.35">
      <c r="B61" s="40" t="s">
        <v>1871</v>
      </c>
      <c r="C61" s="42">
        <f>IF(F53&gt;0, C53/F53, 0)</f>
        <v>0</v>
      </c>
      <c r="D61" s="42">
        <f>IF(F53&gt;0, D53/F53, 0)</f>
        <v>0</v>
      </c>
      <c r="E61" s="42">
        <f>IF(F53&gt;0, E53/F53, 0)</f>
        <v>0</v>
      </c>
      <c r="F61" s="43" t="s">
        <v>20</v>
      </c>
    </row>
    <row r="62" spans="2:6" x14ac:dyDescent="0.35">
      <c r="B62" s="40" t="s">
        <v>1872</v>
      </c>
      <c r="C62" s="42">
        <f>IF(F54&gt;0, C54/F54, 0)</f>
        <v>0</v>
      </c>
      <c r="D62" s="42">
        <f>IF(F54&gt;0, D54/F54, 0)</f>
        <v>0</v>
      </c>
      <c r="E62" s="42">
        <f>IF(F54&gt;0, E54/F54, 0)</f>
        <v>0</v>
      </c>
      <c r="F62" s="43" t="s">
        <v>20</v>
      </c>
    </row>
    <row r="63" spans="2:6" x14ac:dyDescent="0.35">
      <c r="B63" s="40" t="s">
        <v>1873</v>
      </c>
      <c r="C63" s="42">
        <f>IF(F55&gt;0, C55/F55, 0)</f>
        <v>0</v>
      </c>
      <c r="D63" s="42">
        <f>IF(F55&gt;0, D55/F55, 0)</f>
        <v>0</v>
      </c>
      <c r="E63" s="42">
        <f>IF(F55&gt;0, E55/F55, 0)</f>
        <v>0</v>
      </c>
      <c r="F63" s="43" t="s">
        <v>20</v>
      </c>
    </row>
    <row r="64" spans="2:6" x14ac:dyDescent="0.35">
      <c r="B64" s="40" t="s">
        <v>17</v>
      </c>
      <c r="C64" s="42">
        <f>IF(F56&gt;0, C56/F56, 0)</f>
        <v>0</v>
      </c>
      <c r="D64" s="42">
        <f>IF(F56&gt;0, D56/F56, 0)</f>
        <v>0</v>
      </c>
      <c r="E64" s="42">
        <f>IF(F56&gt;0, E56/F56, 0)</f>
        <v>1</v>
      </c>
      <c r="F64" s="43" t="s">
        <v>20</v>
      </c>
    </row>
    <row r="69" spans="2:6" ht="18.5" x14ac:dyDescent="0.45">
      <c r="B69" s="36" t="s">
        <v>1874</v>
      </c>
    </row>
    <row r="71" spans="2:6" x14ac:dyDescent="0.35">
      <c r="B71" s="50" t="s">
        <v>1856</v>
      </c>
    </row>
    <row r="72" spans="2:6" x14ac:dyDescent="0.35">
      <c r="B72" s="38" t="s">
        <v>1875</v>
      </c>
      <c r="C72" s="38" t="s">
        <v>1857</v>
      </c>
      <c r="D72" s="38" t="s">
        <v>1858</v>
      </c>
      <c r="E72" s="38" t="s">
        <v>1859</v>
      </c>
      <c r="F72" s="38" t="s">
        <v>1860</v>
      </c>
    </row>
    <row r="73" spans="2:6" x14ac:dyDescent="0.35">
      <c r="B73" s="40" t="s">
        <v>1876</v>
      </c>
      <c r="C73" s="41">
        <f>COUNTIFS('Recommendations'!E:E,"Low",'Recommendations'!M:M,"=Resolved")</f>
        <v>0</v>
      </c>
      <c r="D73" s="41">
        <f>COUNTIFS('Recommendations'!E:E,"=Low",'Recommendations'!M:M,"=Testing")</f>
        <v>0</v>
      </c>
      <c r="E73" s="41">
        <f>COUNTIFS('Recommendations'!E:E,"=Low",'Recommendations'!M:M,"=Outstanding")</f>
        <v>0</v>
      </c>
      <c r="F73" s="41">
        <f>SUM(C73:E73)</f>
        <v>0</v>
      </c>
    </row>
    <row r="74" spans="2:6" x14ac:dyDescent="0.35">
      <c r="B74" s="40" t="s">
        <v>1877</v>
      </c>
      <c r="C74" s="41">
        <f>COUNTIFS('Recommendations'!E:E,"Medium",'Recommendations'!M:M,"=Resolved")</f>
        <v>0</v>
      </c>
      <c r="D74" s="41">
        <f>COUNTIFS('Recommendations'!E:E,"=Medium",'Recommendations'!M:M,"=Testing")</f>
        <v>0</v>
      </c>
      <c r="E74" s="41">
        <f>COUNTIFS('Recommendations'!E:E,"=Medium",'Recommendations'!M:M,"=Outstanding")</f>
        <v>0</v>
      </c>
      <c r="F74" s="41">
        <f>SUM(C74:E74)</f>
        <v>0</v>
      </c>
    </row>
    <row r="75" spans="2:6" x14ac:dyDescent="0.35">
      <c r="B75" s="40" t="s">
        <v>1878</v>
      </c>
      <c r="C75" s="41">
        <f>COUNTIFS('Recommendations'!E:E,"High",'Recommendations'!M:M,"=Resolved")</f>
        <v>0</v>
      </c>
      <c r="D75" s="41">
        <f>COUNTIFS('Recommendations'!E:E,"=High",'Recommendations'!M:M,"=Testing")</f>
        <v>0</v>
      </c>
      <c r="E75" s="41">
        <f>COUNTIFS('Recommendations'!E:E,"=High",'Recommendations'!M:M,"=Outstanding")</f>
        <v>0</v>
      </c>
      <c r="F75" s="41">
        <f>SUM(C75:E75)</f>
        <v>0</v>
      </c>
    </row>
    <row r="76" spans="2:6" x14ac:dyDescent="0.35">
      <c r="B76" s="40" t="s">
        <v>18</v>
      </c>
      <c r="C76" s="41">
        <f>COUNTIFS('Recommendations'!E:E,"Unassessed",'Recommendations'!M:M,"=Resolved")</f>
        <v>0</v>
      </c>
      <c r="D76" s="41">
        <f>COUNTIFS('Recommendations'!E:E,"=Unassessed",'Recommendations'!M:M,"=Testing")</f>
        <v>0</v>
      </c>
      <c r="E76" s="41">
        <f>COUNTIFS('Recommendations'!E:E,"=Unassessed",'Recommendations'!M:M,"=Outstanding")</f>
        <v>367</v>
      </c>
      <c r="F76" s="41">
        <f>SUM(C76:E76)</f>
        <v>367</v>
      </c>
    </row>
    <row r="78" spans="2:6" x14ac:dyDescent="0.35">
      <c r="B78" s="50" t="s">
        <v>1862</v>
      </c>
    </row>
    <row r="79" spans="2:6" x14ac:dyDescent="0.35">
      <c r="B79" s="51" t="s">
        <v>1875</v>
      </c>
      <c r="C79" s="51" t="s">
        <v>1857</v>
      </c>
      <c r="D79" s="51" t="s">
        <v>1858</v>
      </c>
      <c r="E79" s="51" t="s">
        <v>1859</v>
      </c>
      <c r="F79" s="51" t="s">
        <v>20</v>
      </c>
    </row>
    <row r="80" spans="2:6" x14ac:dyDescent="0.35">
      <c r="B80" s="40" t="s">
        <v>1876</v>
      </c>
      <c r="C80" s="42">
        <f>IF(F73&gt;0, C73/F73, 0)</f>
        <v>0</v>
      </c>
      <c r="D80" s="42">
        <f>IF(F73&gt;0, D73/F73, 0)</f>
        <v>0</v>
      </c>
      <c r="E80" s="42">
        <f>IF(F73&gt;0, E73/F73, 0)</f>
        <v>0</v>
      </c>
      <c r="F80" s="43" t="s">
        <v>20</v>
      </c>
    </row>
    <row r="81" spans="2:15" x14ac:dyDescent="0.35">
      <c r="B81" s="40" t="s">
        <v>1877</v>
      </c>
      <c r="C81" s="42">
        <f>IF(F74&gt;0, C74/F74, 0)</f>
        <v>0</v>
      </c>
      <c r="D81" s="42">
        <f>IF(F74&gt;0, D74/F74, 0)</f>
        <v>0</v>
      </c>
      <c r="E81" s="42">
        <f>IF(F74&gt;0, E74/F74, 0)</f>
        <v>0</v>
      </c>
      <c r="F81" s="43" t="s">
        <v>20</v>
      </c>
    </row>
    <row r="82" spans="2:15" x14ac:dyDescent="0.35">
      <c r="B82" s="40" t="s">
        <v>1878</v>
      </c>
      <c r="C82" s="42">
        <f>IF(F75&gt;0, C75/F75, 0)</f>
        <v>0</v>
      </c>
      <c r="D82" s="42">
        <f>IF(F75&gt;0, D75/F75, 0)</f>
        <v>0</v>
      </c>
      <c r="E82" s="42">
        <f>IF(F75&gt;0, E75/F75, 0)</f>
        <v>0</v>
      </c>
      <c r="F82" s="43" t="s">
        <v>20</v>
      </c>
    </row>
    <row r="83" spans="2:15" x14ac:dyDescent="0.35">
      <c r="B83" s="40" t="s">
        <v>18</v>
      </c>
      <c r="C83" s="42">
        <f>IF(F76&gt;0, C76/F76, 0)</f>
        <v>0</v>
      </c>
      <c r="D83" s="42">
        <f>IF(F76&gt;0, D76/F76, 0)</f>
        <v>0</v>
      </c>
      <c r="E83" s="42">
        <f>IF(F76&gt;0, E76/F76, 0)</f>
        <v>1</v>
      </c>
      <c r="F83" s="43" t="s">
        <v>20</v>
      </c>
    </row>
    <row r="88" spans="2:15" ht="18.5" x14ac:dyDescent="0.45">
      <c r="B88" s="36" t="s">
        <v>1879</v>
      </c>
      <c r="J88" s="36" t="s">
        <v>1880</v>
      </c>
    </row>
    <row r="89" spans="2:15" x14ac:dyDescent="0.35">
      <c r="B89" s="38" t="s">
        <v>5</v>
      </c>
      <c r="C89" s="268" t="s">
        <v>1881</v>
      </c>
      <c r="D89" s="268"/>
      <c r="E89" s="38" t="s">
        <v>1849</v>
      </c>
      <c r="F89" s="38" t="s">
        <v>1857</v>
      </c>
      <c r="G89" s="268" t="s">
        <v>1882</v>
      </c>
      <c r="H89" s="268"/>
      <c r="J89" s="38" t="s">
        <v>5</v>
      </c>
      <c r="K89" s="38" t="s">
        <v>1870</v>
      </c>
      <c r="L89" s="38" t="s">
        <v>1871</v>
      </c>
      <c r="M89" s="38" t="s">
        <v>1872</v>
      </c>
      <c r="N89" s="38" t="s">
        <v>1873</v>
      </c>
      <c r="O89" s="38" t="s">
        <v>17</v>
      </c>
    </row>
    <row r="90" spans="2:15" x14ac:dyDescent="0.35">
      <c r="B90" s="44" t="s">
        <v>1864</v>
      </c>
      <c r="C90" s="269" t="s">
        <v>20</v>
      </c>
      <c r="D90" s="269"/>
      <c r="E90" s="41">
        <f>COUNTIF('Recommendations'!F:F,"Phase1")-COUNTIFS('Recommendations'!F:F,"Phase1",'Recommendations'!G:G,"Risk Accepted")-COUNTIFS('Recommendations'!F:F,"Phase1",'Recommendations'!G:G,"N/A")</f>
        <v>0</v>
      </c>
      <c r="F90" s="41">
        <f>COUNTIFS('Recommendations'!F:F,"Phase1",'Recommendations'!M:M,"Resolved")</f>
        <v>0</v>
      </c>
      <c r="G90" s="270">
        <f t="shared" ref="G90:G95" si="4">IF(E90&gt;0,F90/E90,0)</f>
        <v>0</v>
      </c>
      <c r="H90" s="270"/>
      <c r="J90" s="44" t="s">
        <v>1864</v>
      </c>
      <c r="K90" s="41">
        <f>COUNTIFS('Recommendations'!F:F,"Phase1",'Recommendations'!D:D,"Must")</f>
        <v>0</v>
      </c>
      <c r="L90" s="41">
        <f>COUNTIFS('Recommendations'!F:F,"Phase1",'Recommendations'!D:D,"Should")</f>
        <v>0</v>
      </c>
      <c r="M90" s="41">
        <f>COUNTIFS('Recommendations'!F:F,"Phase1",'Recommendations'!D:D,"Could")</f>
        <v>0</v>
      </c>
      <c r="N90" s="41">
        <f>COUNTIFS('Recommendations'!F:F,"Phase1",'Recommendations'!D:D,"Won't")</f>
        <v>0</v>
      </c>
      <c r="O90" s="41">
        <f>COUNTIFS('Recommendations'!F:F,"Phase1",'Recommendations'!D:D,"Unassigned")</f>
        <v>0</v>
      </c>
    </row>
    <row r="91" spans="2:15" x14ac:dyDescent="0.35">
      <c r="B91" s="44" t="s">
        <v>1865</v>
      </c>
      <c r="C91" s="269" t="s">
        <v>20</v>
      </c>
      <c r="D91" s="269"/>
      <c r="E91" s="41">
        <f>COUNTIF('Recommendations'!F:F,"Phase2")-COUNTIFS('Recommendations'!F:F,"Phase2",'Recommendations'!G:G,"Risk Accepted")-COUNTIFS('Recommendations'!F:F,"Phase2",'Recommendations'!G:G,"N/A")</f>
        <v>0</v>
      </c>
      <c r="F91" s="41">
        <f>COUNTIFS('Recommendations'!F:F,"Phase2",'Recommendations'!M:M,"Resolved")</f>
        <v>0</v>
      </c>
      <c r="G91" s="270">
        <f t="shared" si="4"/>
        <v>0</v>
      </c>
      <c r="H91" s="270"/>
      <c r="J91" s="44" t="s">
        <v>1865</v>
      </c>
      <c r="K91" s="41">
        <f>COUNTIFS('Recommendations'!F:F,"Phase2",'Recommendations'!D:D,"Must")</f>
        <v>0</v>
      </c>
      <c r="L91" s="41">
        <f>COUNTIFS('Recommendations'!F:F,"Phase2",'Recommendations'!D:D,"Should")</f>
        <v>0</v>
      </c>
      <c r="M91" s="41">
        <f>COUNTIFS('Recommendations'!F:F,"Phase2",'Recommendations'!D:D,"Could")</f>
        <v>0</v>
      </c>
      <c r="N91" s="41">
        <f>COUNTIFS('Recommendations'!F:F,"Phase2",'Recommendations'!D:D,"Won't")</f>
        <v>0</v>
      </c>
      <c r="O91" s="41">
        <f>COUNTIFS('Recommendations'!F:F,"Phase2",'Recommendations'!D:D,"Unassigned")</f>
        <v>0</v>
      </c>
    </row>
    <row r="92" spans="2:15" x14ac:dyDescent="0.35">
      <c r="B92" s="44" t="s">
        <v>1866</v>
      </c>
      <c r="C92" s="269" t="s">
        <v>20</v>
      </c>
      <c r="D92" s="269"/>
      <c r="E92" s="41">
        <f>COUNTIF('Recommendations'!F:F,"Phase3")-COUNTIFS('Recommendations'!F:F,"Phase3",'Recommendations'!G:G,"Risk Accepted")-COUNTIFS('Recommendations'!F:F,"Phase3",'Recommendations'!G:G,"N/A")</f>
        <v>0</v>
      </c>
      <c r="F92" s="41">
        <f>COUNTIFS('Recommendations'!F:F,"Phase3",'Recommendations'!M:M,"Resolved")</f>
        <v>0</v>
      </c>
      <c r="G92" s="270">
        <f t="shared" si="4"/>
        <v>0</v>
      </c>
      <c r="H92" s="270"/>
      <c r="J92" s="44" t="s">
        <v>1866</v>
      </c>
      <c r="K92" s="41">
        <f>COUNTIFS('Recommendations'!F:F,"Phase3",'Recommendations'!D:D,"Must")</f>
        <v>0</v>
      </c>
      <c r="L92" s="41">
        <f>COUNTIFS('Recommendations'!F:F,"Phase3",'Recommendations'!D:D,"Should")</f>
        <v>0</v>
      </c>
      <c r="M92" s="41">
        <f>COUNTIFS('Recommendations'!F:F,"Phase3",'Recommendations'!D:D,"Could")</f>
        <v>0</v>
      </c>
      <c r="N92" s="41">
        <f>COUNTIFS('Recommendations'!F:F,"Phase3",'Recommendations'!D:D,"Won't")</f>
        <v>0</v>
      </c>
      <c r="O92" s="41">
        <f>COUNTIFS('Recommendations'!F:F,"Phase3",'Recommendations'!D:D,"Unassigned")</f>
        <v>0</v>
      </c>
    </row>
    <row r="93" spans="2:15" x14ac:dyDescent="0.35">
      <c r="B93" s="44" t="s">
        <v>1867</v>
      </c>
      <c r="C93" s="269" t="s">
        <v>20</v>
      </c>
      <c r="D93" s="269"/>
      <c r="E93" s="41">
        <f>COUNTIF('Recommendations'!F:F,"Phase4")-COUNTIFS('Recommendations'!F:F,"Phase4",'Recommendations'!G:G,"Risk Accepted")-COUNTIFS('Recommendations'!F:F,"Phase4",'Recommendations'!G:G,"N/A")</f>
        <v>0</v>
      </c>
      <c r="F93" s="41">
        <f>COUNTIFS('Recommendations'!F:F,"Phase4",'Recommendations'!M:M,"Resolved")</f>
        <v>0</v>
      </c>
      <c r="G93" s="270">
        <f t="shared" si="4"/>
        <v>0</v>
      </c>
      <c r="H93" s="270"/>
      <c r="J93" s="44" t="s">
        <v>1867</v>
      </c>
      <c r="K93" s="41">
        <f>COUNTIFS('Recommendations'!F:F,"Phase4",'Recommendations'!D:D,"Must")</f>
        <v>0</v>
      </c>
      <c r="L93" s="41">
        <f>COUNTIFS('Recommendations'!F:F,"Phase4",'Recommendations'!D:D,"Should")</f>
        <v>0</v>
      </c>
      <c r="M93" s="41">
        <f>COUNTIFS('Recommendations'!F:F,"Phase4",'Recommendations'!D:D,"Could")</f>
        <v>0</v>
      </c>
      <c r="N93" s="41">
        <f>COUNTIFS('Recommendations'!F:F,"Phase4",'Recommendations'!D:D,"Won't")</f>
        <v>0</v>
      </c>
      <c r="O93" s="41">
        <f>COUNTIFS('Recommendations'!F:F,"Phase4",'Recommendations'!D:D,"Unassigned")</f>
        <v>0</v>
      </c>
    </row>
    <row r="94" spans="2:15" x14ac:dyDescent="0.35">
      <c r="B94" s="44" t="s">
        <v>1868</v>
      </c>
      <c r="C94" s="269" t="s">
        <v>20</v>
      </c>
      <c r="D94" s="269"/>
      <c r="E94" s="41">
        <f>COUNTIF('Recommendations'!F:F,"Phase5")-COUNTIFS('Recommendations'!F:F,"Phase5",'Recommendations'!G:G,"Risk Accepted")-COUNTIFS('Recommendations'!F:F,"Phase5",'Recommendations'!G:G,"N/A")</f>
        <v>0</v>
      </c>
      <c r="F94" s="41">
        <f>COUNTIFS('Recommendations'!F:F,"Phase5",'Recommendations'!M:M,"Resolved")</f>
        <v>0</v>
      </c>
      <c r="G94" s="270">
        <f t="shared" si="4"/>
        <v>0</v>
      </c>
      <c r="H94" s="270"/>
      <c r="J94" s="44" t="s">
        <v>1868</v>
      </c>
      <c r="K94" s="41">
        <f>COUNTIFS('Recommendations'!F:F,"Phase5",'Recommendations'!D:D,"Must")</f>
        <v>0</v>
      </c>
      <c r="L94" s="41">
        <f>COUNTIFS('Recommendations'!F:F,"Phase5",'Recommendations'!D:D,"Should")</f>
        <v>0</v>
      </c>
      <c r="M94" s="41">
        <f>COUNTIFS('Recommendations'!F:F,"Phase5",'Recommendations'!D:D,"Could")</f>
        <v>0</v>
      </c>
      <c r="N94" s="41">
        <f>COUNTIFS('Recommendations'!F:F,"Phase5",'Recommendations'!D:D,"Won't")</f>
        <v>0</v>
      </c>
      <c r="O94" s="41">
        <f>COUNTIFS('Recommendations'!F:F,"Phase5",'Recommendations'!D:D,"Unassigned")</f>
        <v>0</v>
      </c>
    </row>
    <row r="95" spans="2:15" x14ac:dyDescent="0.35">
      <c r="B95" s="44" t="s">
        <v>19</v>
      </c>
      <c r="C95" s="269" t="s">
        <v>20</v>
      </c>
      <c r="D95" s="269"/>
      <c r="E95" s="41">
        <f>COUNTIF('Recommendations'!F:F,"Pending")-COUNTIFS('Recommendations'!F:F,"Pending",'Recommendations'!G:G,"Risk Accepted")-COUNTIFS('Recommendations'!F:F,"Pending",'Recommendations'!G:G,"N/A")</f>
        <v>367</v>
      </c>
      <c r="F95" s="41">
        <f>COUNTIFS('Recommendations'!F:F,"Pending",'Recommendations'!M:M,"Resolved")</f>
        <v>0</v>
      </c>
      <c r="G95" s="270">
        <f t="shared" si="4"/>
        <v>0</v>
      </c>
      <c r="H95" s="270"/>
      <c r="J95" s="44" t="s">
        <v>19</v>
      </c>
      <c r="K95" s="41">
        <f>COUNTIFS('Recommendations'!F:F,"Pending",'Recommendations'!D:D,"Must")</f>
        <v>0</v>
      </c>
      <c r="L95" s="41">
        <f>COUNTIFS('Recommendations'!F:F,"Pending",'Recommendations'!D:D,"Should")</f>
        <v>0</v>
      </c>
      <c r="M95" s="41">
        <f>COUNTIFS('Recommendations'!F:F,"Pending",'Recommendations'!D:D,"Could")</f>
        <v>0</v>
      </c>
      <c r="N95" s="41">
        <f>COUNTIFS('Recommendations'!F:F,"Pending",'Recommendations'!D:D,"Won't")</f>
        <v>0</v>
      </c>
      <c r="O95" s="41">
        <f>COUNTIFS('Recommendations'!F:F,"Pending",'Recommendations'!D:D,"Unassigned")</f>
        <v>367</v>
      </c>
    </row>
    <row r="102" spans="2:24" ht="21" x14ac:dyDescent="0.5">
      <c r="B102" s="36" t="s">
        <v>1883</v>
      </c>
      <c r="P102" s="53" t="s">
        <v>1884</v>
      </c>
    </row>
    <row r="104" spans="2:24" ht="60" customHeight="1" x14ac:dyDescent="0.35">
      <c r="B104" s="271" t="s">
        <v>1885</v>
      </c>
      <c r="C104" s="264"/>
      <c r="D104" s="264"/>
      <c r="E104" s="264"/>
      <c r="F104" s="264"/>
      <c r="P104" s="271" t="s">
        <v>1886</v>
      </c>
      <c r="Q104" s="264"/>
      <c r="R104" s="264"/>
      <c r="S104" s="264"/>
      <c r="T104" s="264"/>
      <c r="U104" s="264"/>
      <c r="V104" s="264"/>
      <c r="W104" s="264"/>
    </row>
    <row r="106" spans="2:24" ht="30" customHeight="1" x14ac:dyDescent="0.35">
      <c r="P106" s="54" t="s">
        <v>1887</v>
      </c>
      <c r="Q106" s="55">
        <f>C16</f>
        <v>0</v>
      </c>
      <c r="R106" s="56"/>
      <c r="S106" s="55">
        <f>C52</f>
        <v>0</v>
      </c>
      <c r="T106" s="56"/>
      <c r="U106" s="55">
        <f>C53</f>
        <v>0</v>
      </c>
      <c r="V106" s="56"/>
      <c r="W106" s="55">
        <f>C54</f>
        <v>0</v>
      </c>
      <c r="X106" s="56"/>
    </row>
    <row r="107" spans="2:24" ht="35" customHeight="1" x14ac:dyDescent="0.35">
      <c r="P107" s="57" t="s">
        <v>1888</v>
      </c>
      <c r="Q107" s="57" t="s">
        <v>1889</v>
      </c>
      <c r="R107" s="57" t="s">
        <v>1890</v>
      </c>
      <c r="S107" s="57" t="s">
        <v>1891</v>
      </c>
      <c r="T107" s="57" t="s">
        <v>1892</v>
      </c>
      <c r="U107" s="57" t="s">
        <v>1893</v>
      </c>
      <c r="V107" s="57" t="s">
        <v>1894</v>
      </c>
      <c r="W107" s="57" t="s">
        <v>1895</v>
      </c>
      <c r="X107" s="57" t="s">
        <v>1896</v>
      </c>
    </row>
    <row r="108" spans="2:24" x14ac:dyDescent="0.35">
      <c r="O108" s="58" t="s">
        <v>1897</v>
      </c>
      <c r="P108" s="59" t="s">
        <v>1898</v>
      </c>
      <c r="Q108" s="60">
        <v>0</v>
      </c>
      <c r="R108" s="61">
        <f>IF(Dashboard!F16&gt;0, Q108/Dashboard!F16, "")</f>
        <v>0</v>
      </c>
      <c r="S108" s="60">
        <v>0</v>
      </c>
      <c r="T108" s="61" t="str">
        <f>IF(AND(NOT(ISBLANK(S108)),Dashboard!F52&gt;0), S108/Dashboard!F52, "")</f>
        <v/>
      </c>
      <c r="U108" s="60">
        <v>0</v>
      </c>
      <c r="V108" s="61" t="str">
        <f>IF(AND(NOT(ISBLANK(U108)),Dashboard!F53&gt;0), U108/Dashboard!F53, "")</f>
        <v/>
      </c>
      <c r="W108" s="60">
        <v>0</v>
      </c>
      <c r="X108" s="61" t="str">
        <f>IF(AND(NOT(ISBLANK(W108)),Dashboard!F54&gt;0), W108/Dashboard!F54, "")</f>
        <v/>
      </c>
    </row>
    <row r="109" spans="2:24" x14ac:dyDescent="0.35">
      <c r="P109" s="52"/>
      <c r="Q109" s="39"/>
      <c r="R109" s="42" t="str">
        <f>IF(AND(NOT(ISBLANK(Q109)),Dashboard!F16&gt;0), Q109/Dashboard!F16, "")</f>
        <v/>
      </c>
      <c r="S109" s="39"/>
      <c r="T109" s="42" t="str">
        <f>IF(AND(NOT(ISBLANK(S109)),Dashboard!F52&gt;0), S109/Dashboard!F52, "")</f>
        <v/>
      </c>
      <c r="U109" s="39"/>
      <c r="V109" s="42" t="str">
        <f>IF(AND(NOT(ISBLANK(U109)),Dashboard!F53&gt;0), U109/Dashboard!F53, "")</f>
        <v/>
      </c>
      <c r="W109" s="39"/>
      <c r="X109" s="42" t="str">
        <f>IF(AND(NOT(ISBLANK(W109)),Dashboard!F54&gt;0), W109/Dashboard!F54, "")</f>
        <v/>
      </c>
    </row>
    <row r="110" spans="2:24" x14ac:dyDescent="0.35">
      <c r="P110" s="52"/>
      <c r="Q110" s="39"/>
      <c r="R110" s="42" t="str">
        <f>IF(AND(NOT(ISBLANK(Q110)),Dashboard!F16&gt;0), Q110/Dashboard!F16, "")</f>
        <v/>
      </c>
      <c r="S110" s="39"/>
      <c r="T110" s="42" t="str">
        <f>IF(AND(NOT(ISBLANK(S110)),Dashboard!F52&gt;0), S110/Dashboard!F52, "")</f>
        <v/>
      </c>
      <c r="U110" s="39"/>
      <c r="V110" s="42" t="str">
        <f>IF(AND(NOT(ISBLANK(U110)),Dashboard!F53&gt;0), U110/Dashboard!F53, "")</f>
        <v/>
      </c>
      <c r="W110" s="39"/>
      <c r="X110" s="42" t="str">
        <f>IF(AND(NOT(ISBLANK(W110)),Dashboard!F54&gt;0), W110/Dashboard!F54, "")</f>
        <v/>
      </c>
    </row>
    <row r="111" spans="2:24" x14ac:dyDescent="0.35">
      <c r="P111" s="52"/>
      <c r="Q111" s="39"/>
      <c r="R111" s="42" t="str">
        <f>IF(AND(NOT(ISBLANK(Q111)),Dashboard!F16&gt;0), Q111/Dashboard!F16, "")</f>
        <v/>
      </c>
      <c r="S111" s="39"/>
      <c r="T111" s="42" t="str">
        <f>IF(AND(NOT(ISBLANK(S111)),Dashboard!F52&gt;0), S111/Dashboard!F52, "")</f>
        <v/>
      </c>
      <c r="U111" s="39"/>
      <c r="V111" s="42" t="str">
        <f>IF(AND(NOT(ISBLANK(U111)),Dashboard!F53&gt;0), U111/Dashboard!F53, "")</f>
        <v/>
      </c>
      <c r="W111" s="39"/>
      <c r="X111" s="42" t="str">
        <f>IF(AND(NOT(ISBLANK(W111)),Dashboard!F54&gt;0), W111/Dashboard!F54, "")</f>
        <v/>
      </c>
    </row>
    <row r="112" spans="2:24" x14ac:dyDescent="0.35">
      <c r="P112" s="52"/>
      <c r="Q112" s="39"/>
      <c r="R112" s="42" t="str">
        <f>IF(AND(NOT(ISBLANK(Q112)),Dashboard!F16&gt;0), Q112/Dashboard!F16, "")</f>
        <v/>
      </c>
      <c r="S112" s="39"/>
      <c r="T112" s="42" t="str">
        <f>IF(AND(NOT(ISBLANK(S112)),Dashboard!F52&gt;0), S112/Dashboard!F52, "")</f>
        <v/>
      </c>
      <c r="U112" s="39"/>
      <c r="V112" s="42" t="str">
        <f>IF(AND(NOT(ISBLANK(U112)),Dashboard!F53&gt;0), U112/Dashboard!F53, "")</f>
        <v/>
      </c>
      <c r="W112" s="39"/>
      <c r="X112" s="42" t="str">
        <f>IF(AND(NOT(ISBLANK(W112)),Dashboard!F54&gt;0), W112/Dashboard!F54, "")</f>
        <v/>
      </c>
    </row>
    <row r="113" spans="16:24" x14ac:dyDescent="0.35">
      <c r="P113" s="52"/>
      <c r="Q113" s="39"/>
      <c r="R113" s="42" t="str">
        <f>IF(AND(NOT(ISBLANK(Q113)),Dashboard!F16&gt;0), Q113/Dashboard!F16, "")</f>
        <v/>
      </c>
      <c r="S113" s="39"/>
      <c r="T113" s="42" t="str">
        <f>IF(AND(NOT(ISBLANK(S113)),Dashboard!F52&gt;0), S113/Dashboard!F52, "")</f>
        <v/>
      </c>
      <c r="U113" s="39"/>
      <c r="V113" s="42" t="str">
        <f>IF(AND(NOT(ISBLANK(U113)),Dashboard!F53&gt;0), U113/Dashboard!F53, "")</f>
        <v/>
      </c>
      <c r="W113" s="39"/>
      <c r="X113" s="42" t="str">
        <f>IF(AND(NOT(ISBLANK(W113)),Dashboard!F54&gt;0), W113/Dashboard!F54, "")</f>
        <v/>
      </c>
    </row>
    <row r="114" spans="16:24" x14ac:dyDescent="0.35">
      <c r="P114" s="52"/>
      <c r="Q114" s="39"/>
      <c r="R114" s="42" t="str">
        <f>IF(AND(NOT(ISBLANK(Q114)),Dashboard!F16&gt;0), Q114/Dashboard!F16, "")</f>
        <v/>
      </c>
      <c r="S114" s="39"/>
      <c r="T114" s="42" t="str">
        <f>IF(AND(NOT(ISBLANK(S114)),Dashboard!F52&gt;0), S114/Dashboard!F52, "")</f>
        <v/>
      </c>
      <c r="U114" s="39"/>
      <c r="V114" s="42" t="str">
        <f>IF(AND(NOT(ISBLANK(U114)),Dashboard!F53&gt;0), U114/Dashboard!F53, "")</f>
        <v/>
      </c>
      <c r="W114" s="39"/>
      <c r="X114" s="42" t="str">
        <f>IF(AND(NOT(ISBLANK(W114)),Dashboard!F54&gt;0), W114/Dashboard!F54, "")</f>
        <v/>
      </c>
    </row>
    <row r="115" spans="16:24" x14ac:dyDescent="0.35">
      <c r="P115" s="52"/>
      <c r="Q115" s="39"/>
      <c r="R115" s="42" t="str">
        <f>IF(AND(NOT(ISBLANK(Q115)),Dashboard!F16&gt;0), Q115/Dashboard!F16, "")</f>
        <v/>
      </c>
      <c r="S115" s="39"/>
      <c r="T115" s="42" t="str">
        <f>IF(AND(NOT(ISBLANK(S115)),Dashboard!F52&gt;0), S115/Dashboard!F52, "")</f>
        <v/>
      </c>
      <c r="U115" s="39"/>
      <c r="V115" s="42" t="str">
        <f>IF(AND(NOT(ISBLANK(U115)),Dashboard!F53&gt;0), U115/Dashboard!F53, "")</f>
        <v/>
      </c>
      <c r="W115" s="39"/>
      <c r="X115" s="42" t="str">
        <f>IF(AND(NOT(ISBLANK(W115)),Dashboard!F54&gt;0), W115/Dashboard!F54, "")</f>
        <v/>
      </c>
    </row>
    <row r="116" spans="16:24" x14ac:dyDescent="0.35">
      <c r="P116" s="52"/>
      <c r="Q116" s="39"/>
      <c r="R116" s="42" t="str">
        <f>IF(AND(NOT(ISBLANK(Q116)),Dashboard!F16&gt;0), Q116/Dashboard!F16, "")</f>
        <v/>
      </c>
      <c r="S116" s="39"/>
      <c r="T116" s="42" t="str">
        <f>IF(AND(NOT(ISBLANK(S116)),Dashboard!F52&gt;0), S116/Dashboard!F52, "")</f>
        <v/>
      </c>
      <c r="U116" s="39"/>
      <c r="V116" s="42" t="str">
        <f>IF(AND(NOT(ISBLANK(U116)),Dashboard!F53&gt;0), U116/Dashboard!F53, "")</f>
        <v/>
      </c>
      <c r="W116" s="39"/>
      <c r="X116" s="42" t="str">
        <f>IF(AND(NOT(ISBLANK(W116)),Dashboard!F54&gt;0), W116/Dashboard!F54, "")</f>
        <v/>
      </c>
    </row>
    <row r="117" spans="16:24" x14ac:dyDescent="0.35">
      <c r="P117" s="52"/>
      <c r="Q117" s="39"/>
      <c r="R117" s="42" t="str">
        <f>IF(AND(NOT(ISBLANK(Q117)),Dashboard!F16&gt;0), Q117/Dashboard!F16, "")</f>
        <v/>
      </c>
      <c r="S117" s="39"/>
      <c r="T117" s="42" t="str">
        <f>IF(AND(NOT(ISBLANK(S117)),Dashboard!F52&gt;0), S117/Dashboard!F52, "")</f>
        <v/>
      </c>
      <c r="U117" s="39"/>
      <c r="V117" s="42" t="str">
        <f>IF(AND(NOT(ISBLANK(U117)),Dashboard!F53&gt;0), U117/Dashboard!F53, "")</f>
        <v/>
      </c>
      <c r="W117" s="39"/>
      <c r="X117" s="42" t="str">
        <f>IF(AND(NOT(ISBLANK(W117)),Dashboard!F54&gt;0), W117/Dashboard!F54, "")</f>
        <v/>
      </c>
    </row>
    <row r="118" spans="16:24" x14ac:dyDescent="0.35">
      <c r="P118" s="52"/>
      <c r="Q118" s="39"/>
      <c r="R118" s="42" t="str">
        <f>IF(AND(NOT(ISBLANK(Q118)),Dashboard!F16&gt;0), Q118/Dashboard!F16, "")</f>
        <v/>
      </c>
      <c r="S118" s="39"/>
      <c r="T118" s="42" t="str">
        <f>IF(AND(NOT(ISBLANK(S118)),Dashboard!F52&gt;0), S118/Dashboard!F52, "")</f>
        <v/>
      </c>
      <c r="U118" s="39"/>
      <c r="V118" s="42" t="str">
        <f>IF(AND(NOT(ISBLANK(U118)),Dashboard!F53&gt;0), U118/Dashboard!F53, "")</f>
        <v/>
      </c>
      <c r="W118" s="39"/>
      <c r="X118" s="42" t="str">
        <f>IF(AND(NOT(ISBLANK(W118)),Dashboard!F54&gt;0), W118/Dashboard!F54, "")</f>
        <v/>
      </c>
    </row>
    <row r="119" spans="16:24" x14ac:dyDescent="0.35">
      <c r="P119" s="52"/>
      <c r="Q119" s="39"/>
      <c r="R119" s="42" t="str">
        <f>IF(AND(NOT(ISBLANK(Q119)),Dashboard!F16&gt;0), Q119/Dashboard!F16, "")</f>
        <v/>
      </c>
      <c r="S119" s="39"/>
      <c r="T119" s="42" t="str">
        <f>IF(AND(NOT(ISBLANK(S119)),Dashboard!F52&gt;0), S119/Dashboard!F52, "")</f>
        <v/>
      </c>
      <c r="U119" s="39"/>
      <c r="V119" s="42" t="str">
        <f>IF(AND(NOT(ISBLANK(U119)),Dashboard!F53&gt;0), U119/Dashboard!F53, "")</f>
        <v/>
      </c>
      <c r="W119" s="39"/>
      <c r="X119" s="42" t="str">
        <f>IF(AND(NOT(ISBLANK(W119)),Dashboard!F54&gt;0), W119/Dashboard!F54, "")</f>
        <v/>
      </c>
    </row>
    <row r="120" spans="16:24" x14ac:dyDescent="0.35">
      <c r="P120" s="52"/>
      <c r="Q120" s="39"/>
      <c r="R120" s="42" t="str">
        <f>IF(AND(NOT(ISBLANK(Q120)),Dashboard!F16&gt;0), Q120/Dashboard!F16, "")</f>
        <v/>
      </c>
      <c r="S120" s="39"/>
      <c r="T120" s="42" t="str">
        <f>IF(AND(NOT(ISBLANK(S120)),Dashboard!F52&gt;0), S120/Dashboard!F52, "")</f>
        <v/>
      </c>
      <c r="U120" s="39"/>
      <c r="V120" s="42" t="str">
        <f>IF(AND(NOT(ISBLANK(U120)),Dashboard!F53&gt;0), U120/Dashboard!F53, "")</f>
        <v/>
      </c>
      <c r="W120" s="39"/>
      <c r="X120" s="42" t="str">
        <f>IF(AND(NOT(ISBLANK(W120)),Dashboard!F54&gt;0), W120/Dashboard!F54, "")</f>
        <v/>
      </c>
    </row>
    <row r="121" spans="16:24" x14ac:dyDescent="0.35">
      <c r="P121" s="52"/>
      <c r="Q121" s="39"/>
      <c r="R121" s="42" t="str">
        <f>IF(AND(NOT(ISBLANK(Q121)),Dashboard!F16&gt;0), Q121/Dashboard!F16, "")</f>
        <v/>
      </c>
      <c r="S121" s="39"/>
      <c r="T121" s="42" t="str">
        <f>IF(AND(NOT(ISBLANK(S121)),Dashboard!F52&gt;0), S121/Dashboard!F52, "")</f>
        <v/>
      </c>
      <c r="U121" s="39"/>
      <c r="V121" s="42" t="str">
        <f>IF(AND(NOT(ISBLANK(U121)),Dashboard!F53&gt;0), U121/Dashboard!F53, "")</f>
        <v/>
      </c>
      <c r="W121" s="39"/>
      <c r="X121" s="42" t="str">
        <f>IF(AND(NOT(ISBLANK(W121)),Dashboard!F54&gt;0), W121/Dashboard!F54, "")</f>
        <v/>
      </c>
    </row>
    <row r="122" spans="16:24" x14ac:dyDescent="0.35">
      <c r="P122" s="52"/>
      <c r="Q122" s="39"/>
      <c r="R122" s="42" t="str">
        <f>IF(AND(NOT(ISBLANK(Q122)),Dashboard!F16&gt;0), Q122/Dashboard!F16, "")</f>
        <v/>
      </c>
      <c r="S122" s="39"/>
      <c r="T122" s="42" t="str">
        <f>IF(AND(NOT(ISBLANK(S122)),Dashboard!F52&gt;0), S122/Dashboard!F52, "")</f>
        <v/>
      </c>
      <c r="U122" s="39"/>
      <c r="V122" s="42" t="str">
        <f>IF(AND(NOT(ISBLANK(U122)),Dashboard!F53&gt;0), U122/Dashboard!F53, "")</f>
        <v/>
      </c>
      <c r="W122" s="39"/>
      <c r="X122" s="42" t="str">
        <f>IF(AND(NOT(ISBLANK(W122)),Dashboard!F54&gt;0), W122/Dashboard!F54, "")</f>
        <v/>
      </c>
    </row>
    <row r="123" spans="16:24" x14ac:dyDescent="0.35">
      <c r="P123" s="52"/>
      <c r="Q123" s="39"/>
      <c r="R123" s="42" t="str">
        <f>IF(AND(NOT(ISBLANK(Q123)),Dashboard!F16&gt;0), Q123/Dashboard!F16, "")</f>
        <v/>
      </c>
      <c r="S123" s="39"/>
      <c r="T123" s="42" t="str">
        <f>IF(AND(NOT(ISBLANK(S123)),Dashboard!F52&gt;0), S123/Dashboard!F52, "")</f>
        <v/>
      </c>
      <c r="U123" s="39"/>
      <c r="V123" s="42" t="str">
        <f>IF(AND(NOT(ISBLANK(U123)),Dashboard!F53&gt;0), U123/Dashboard!F53, "")</f>
        <v/>
      </c>
      <c r="W123" s="39"/>
      <c r="X123" s="42" t="str">
        <f>IF(AND(NOT(ISBLANK(W123)),Dashboard!F54&gt;0), W123/Dashboard!F54, "")</f>
        <v/>
      </c>
    </row>
    <row r="124" spans="16:24" x14ac:dyDescent="0.35">
      <c r="P124" s="52"/>
      <c r="Q124" s="39"/>
      <c r="R124" s="42" t="str">
        <f>IF(AND(NOT(ISBLANK(Q124)),Dashboard!F16&gt;0), Q124/Dashboard!F16, "")</f>
        <v/>
      </c>
      <c r="S124" s="39"/>
      <c r="T124" s="42" t="str">
        <f>IF(AND(NOT(ISBLANK(S124)),Dashboard!F52&gt;0), S124/Dashboard!F52, "")</f>
        <v/>
      </c>
      <c r="U124" s="39"/>
      <c r="V124" s="42" t="str">
        <f>IF(AND(NOT(ISBLANK(U124)),Dashboard!F53&gt;0), U124/Dashboard!F53, "")</f>
        <v/>
      </c>
      <c r="W124" s="39"/>
      <c r="X124" s="42" t="str">
        <f>IF(AND(NOT(ISBLANK(W124)),Dashboard!F54&gt;0), W124/Dashboard!F54, "")</f>
        <v/>
      </c>
    </row>
    <row r="125" spans="16:24" x14ac:dyDescent="0.35">
      <c r="P125" s="52"/>
      <c r="Q125" s="39"/>
      <c r="R125" s="42" t="str">
        <f>IF(AND(NOT(ISBLANK(Q125)),Dashboard!F16&gt;0), Q125/Dashboard!F16, "")</f>
        <v/>
      </c>
      <c r="S125" s="39"/>
      <c r="T125" s="42" t="str">
        <f>IF(AND(NOT(ISBLANK(S125)),Dashboard!F52&gt;0), S125/Dashboard!F52, "")</f>
        <v/>
      </c>
      <c r="U125" s="39"/>
      <c r="V125" s="42" t="str">
        <f>IF(AND(NOT(ISBLANK(U125)),Dashboard!F53&gt;0), U125/Dashboard!F53, "")</f>
        <v/>
      </c>
      <c r="W125" s="39"/>
      <c r="X125" s="42" t="str">
        <f>IF(AND(NOT(ISBLANK(W125)),Dashboard!F54&gt;0), W125/Dashboard!F54, "")</f>
        <v/>
      </c>
    </row>
    <row r="126" spans="16:24" x14ac:dyDescent="0.35">
      <c r="P126" s="52"/>
      <c r="Q126" s="39"/>
      <c r="R126" s="42" t="str">
        <f>IF(AND(NOT(ISBLANK(Q126)),Dashboard!F16&gt;0), Q126/Dashboard!F16, "")</f>
        <v/>
      </c>
      <c r="S126" s="39"/>
      <c r="T126" s="42" t="str">
        <f>IF(AND(NOT(ISBLANK(S126)),Dashboard!F52&gt;0), S126/Dashboard!F52, "")</f>
        <v/>
      </c>
      <c r="U126" s="39"/>
      <c r="V126" s="42" t="str">
        <f>IF(AND(NOT(ISBLANK(U126)),Dashboard!F53&gt;0), U126/Dashboard!F53, "")</f>
        <v/>
      </c>
      <c r="W126" s="39"/>
      <c r="X126" s="42" t="str">
        <f>IF(AND(NOT(ISBLANK(W126)),Dashboard!F54&gt;0), W126/Dashboard!F54, "")</f>
        <v/>
      </c>
    </row>
    <row r="127" spans="16:24" x14ac:dyDescent="0.35">
      <c r="P127" s="52"/>
      <c r="Q127" s="39"/>
      <c r="R127" s="42" t="str">
        <f>IF(AND(NOT(ISBLANK(Q127)),Dashboard!F16&gt;0), Q127/Dashboard!F16, "")</f>
        <v/>
      </c>
      <c r="S127" s="39"/>
      <c r="T127" s="42" t="str">
        <f>IF(AND(NOT(ISBLANK(S127)),Dashboard!F52&gt;0), S127/Dashboard!F52, "")</f>
        <v/>
      </c>
      <c r="U127" s="39"/>
      <c r="V127" s="42" t="str">
        <f>IF(AND(NOT(ISBLANK(U127)),Dashboard!F53&gt;0), U127/Dashboard!F53, "")</f>
        <v/>
      </c>
      <c r="W127" s="39"/>
      <c r="X127" s="42" t="str">
        <f>IF(AND(NOT(ISBLANK(W127)),Dashboard!F54&gt;0), W127/Dashboard!F54, "")</f>
        <v/>
      </c>
    </row>
    <row r="128" spans="16:24" x14ac:dyDescent="0.35">
      <c r="P128" s="52"/>
      <c r="Q128" s="39"/>
      <c r="R128" s="42" t="str">
        <f>IF(AND(NOT(ISBLANK(Q128)),Dashboard!F16&gt;0), Q128/Dashboard!F16, "")</f>
        <v/>
      </c>
      <c r="S128" s="39"/>
      <c r="T128" s="42" t="str">
        <f>IF(AND(NOT(ISBLANK(S128)),Dashboard!F52&gt;0), S128/Dashboard!F52, "")</f>
        <v/>
      </c>
      <c r="U128" s="39"/>
      <c r="V128" s="42" t="str">
        <f>IF(AND(NOT(ISBLANK(U128)),Dashboard!F53&gt;0), U128/Dashboard!F53, "")</f>
        <v/>
      </c>
      <c r="W128" s="39"/>
      <c r="X128" s="42" t="str">
        <f>IF(AND(NOT(ISBLANK(W128)),Dashboard!F54&gt;0), W128/Dashboard!F54, "")</f>
        <v/>
      </c>
    </row>
    <row r="129" spans="2:24" x14ac:dyDescent="0.35">
      <c r="P129" s="52"/>
      <c r="Q129" s="39"/>
      <c r="R129" s="42" t="str">
        <f>IF(AND(NOT(ISBLANK(Q129)),Dashboard!F16&gt;0), Q129/Dashboard!F16, "")</f>
        <v/>
      </c>
      <c r="S129" s="39"/>
      <c r="T129" s="42" t="str">
        <f>IF(AND(NOT(ISBLANK(S129)),Dashboard!F52&gt;0), S129/Dashboard!F52, "")</f>
        <v/>
      </c>
      <c r="U129" s="39"/>
      <c r="V129" s="42" t="str">
        <f>IF(AND(NOT(ISBLANK(U129)),Dashboard!F53&gt;0), U129/Dashboard!F53, "")</f>
        <v/>
      </c>
      <c r="W129" s="39"/>
      <c r="X129" s="42" t="str">
        <f>IF(AND(NOT(ISBLANK(W129)),Dashboard!F54&gt;0), W129/Dashboard!F54, "")</f>
        <v/>
      </c>
    </row>
    <row r="130" spans="2:24" x14ac:dyDescent="0.35">
      <c r="P130" s="52"/>
      <c r="Q130" s="39"/>
      <c r="R130" s="42" t="str">
        <f>IF(AND(NOT(ISBLANK(Q130)),Dashboard!F16&gt;0), Q130/Dashboard!F16, "")</f>
        <v/>
      </c>
      <c r="S130" s="39"/>
      <c r="T130" s="42" t="str">
        <f>IF(AND(NOT(ISBLANK(S130)),Dashboard!F52&gt;0), S130/Dashboard!F52, "")</f>
        <v/>
      </c>
      <c r="U130" s="39"/>
      <c r="V130" s="42" t="str">
        <f>IF(AND(NOT(ISBLANK(U130)),Dashboard!F53&gt;0), U130/Dashboard!F53, "")</f>
        <v/>
      </c>
      <c r="W130" s="39"/>
      <c r="X130" s="42" t="str">
        <f>IF(AND(NOT(ISBLANK(W130)),Dashboard!F54&gt;0), W130/Dashboard!F54, "")</f>
        <v/>
      </c>
    </row>
    <row r="131" spans="2:24" x14ac:dyDescent="0.35">
      <c r="P131" s="52"/>
      <c r="Q131" s="39"/>
      <c r="R131" s="42" t="str">
        <f>IF(AND(NOT(ISBLANK(Q131)),Dashboard!F16&gt;0), Q131/Dashboard!F16, "")</f>
        <v/>
      </c>
      <c r="S131" s="39"/>
      <c r="T131" s="42" t="str">
        <f>IF(AND(NOT(ISBLANK(S131)),Dashboard!F52&gt;0), S131/Dashboard!F52, "")</f>
        <v/>
      </c>
      <c r="U131" s="39"/>
      <c r="V131" s="42" t="str">
        <f>IF(AND(NOT(ISBLANK(U131)),Dashboard!F53&gt;0), U131/Dashboard!F53, "")</f>
        <v/>
      </c>
      <c r="W131" s="39"/>
      <c r="X131" s="42" t="str">
        <f>IF(AND(NOT(ISBLANK(W131)),Dashboard!F54&gt;0), W131/Dashboard!F54, "")</f>
        <v/>
      </c>
    </row>
    <row r="132" spans="2:24" x14ac:dyDescent="0.35">
      <c r="P132" s="52"/>
      <c r="Q132" s="39"/>
      <c r="R132" s="42" t="str">
        <f>IF(AND(NOT(ISBLANK(Q132)),Dashboard!F16&gt;0), Q132/Dashboard!F16, "")</f>
        <v/>
      </c>
      <c r="S132" s="39"/>
      <c r="T132" s="42" t="str">
        <f>IF(AND(NOT(ISBLANK(S132)),Dashboard!F52&gt;0), S132/Dashboard!F52, "")</f>
        <v/>
      </c>
      <c r="U132" s="39"/>
      <c r="V132" s="42" t="str">
        <f>IF(AND(NOT(ISBLANK(U132)),Dashboard!F53&gt;0), U132/Dashboard!F53, "")</f>
        <v/>
      </c>
      <c r="W132" s="39"/>
      <c r="X132" s="42" t="str">
        <f>IF(AND(NOT(ISBLANK(W132)),Dashboard!F54&gt;0), W132/Dashboard!F54, "")</f>
        <v/>
      </c>
    </row>
    <row r="133" spans="2:24" x14ac:dyDescent="0.35">
      <c r="P133" s="52"/>
      <c r="Q133" s="39"/>
      <c r="R133" s="42" t="str">
        <f>IF(AND(NOT(ISBLANK(Q133)),Dashboard!F16&gt;0), Q133/Dashboard!F16, "")</f>
        <v/>
      </c>
      <c r="S133" s="39"/>
      <c r="T133" s="42" t="str">
        <f>IF(AND(NOT(ISBLANK(S133)),Dashboard!F52&gt;0), S133/Dashboard!F52, "")</f>
        <v/>
      </c>
      <c r="U133" s="39"/>
      <c r="V133" s="42" t="str">
        <f>IF(AND(NOT(ISBLANK(U133)),Dashboard!F53&gt;0), U133/Dashboard!F53, "")</f>
        <v/>
      </c>
      <c r="W133" s="39"/>
      <c r="X133" s="42" t="str">
        <f>IF(AND(NOT(ISBLANK(W133)),Dashboard!F54&gt;0), W133/Dashboard!F54, "")</f>
        <v/>
      </c>
    </row>
    <row r="134" spans="2:24" x14ac:dyDescent="0.35">
      <c r="P134" s="52"/>
      <c r="Q134" s="39"/>
      <c r="R134" s="42" t="str">
        <f>IF(AND(NOT(ISBLANK(Q134)),Dashboard!F16&gt;0), Q134/Dashboard!F16, "")</f>
        <v/>
      </c>
      <c r="S134" s="39"/>
      <c r="T134" s="42" t="str">
        <f>IF(AND(NOT(ISBLANK(S134)),Dashboard!F52&gt;0), S134/Dashboard!F52, "")</f>
        <v/>
      </c>
      <c r="U134" s="39"/>
      <c r="V134" s="42" t="str">
        <f>IF(AND(NOT(ISBLANK(U134)),Dashboard!F53&gt;0), U134/Dashboard!F53, "")</f>
        <v/>
      </c>
      <c r="W134" s="39"/>
      <c r="X134" s="42" t="str">
        <f>IF(AND(NOT(ISBLANK(W134)),Dashboard!F54&gt;0), W134/Dashboard!F54, "")</f>
        <v/>
      </c>
    </row>
    <row r="135" spans="2:24" x14ac:dyDescent="0.35">
      <c r="P135" s="52"/>
      <c r="Q135" s="39"/>
      <c r="R135" s="42" t="str">
        <f>IF(AND(NOT(ISBLANK(Q135)),Dashboard!F16&gt;0), Q135/Dashboard!F16, "")</f>
        <v/>
      </c>
      <c r="S135" s="39"/>
      <c r="T135" s="42" t="str">
        <f>IF(AND(NOT(ISBLANK(S135)),Dashboard!F52&gt;0), S135/Dashboard!F52, "")</f>
        <v/>
      </c>
      <c r="U135" s="39"/>
      <c r="V135" s="42" t="str">
        <f>IF(AND(NOT(ISBLANK(U135)),Dashboard!F53&gt;0), U135/Dashboard!F53, "")</f>
        <v/>
      </c>
      <c r="W135" s="39"/>
      <c r="X135" s="42" t="str">
        <f>IF(AND(NOT(ISBLANK(W135)),Dashboard!F54&gt;0), W135/Dashboard!F54, "")</f>
        <v/>
      </c>
    </row>
    <row r="136" spans="2:24" x14ac:dyDescent="0.35">
      <c r="P136" s="52"/>
      <c r="Q136" s="39"/>
      <c r="R136" s="42" t="str">
        <f>IF(AND(NOT(ISBLANK(Q136)),Dashboard!F16&gt;0), Q136/Dashboard!F16, "")</f>
        <v/>
      </c>
      <c r="S136" s="39"/>
      <c r="T136" s="42" t="str">
        <f>IF(AND(NOT(ISBLANK(S136)),Dashboard!F52&gt;0), S136/Dashboard!F52, "")</f>
        <v/>
      </c>
      <c r="U136" s="39"/>
      <c r="V136" s="42" t="str">
        <f>IF(AND(NOT(ISBLANK(U136)),Dashboard!F53&gt;0), U136/Dashboard!F53, "")</f>
        <v/>
      </c>
      <c r="W136" s="39"/>
      <c r="X136" s="42" t="str">
        <f>IF(AND(NOT(ISBLANK(W136)),Dashboard!F54&gt;0), W136/Dashboard!F54, "")</f>
        <v/>
      </c>
    </row>
    <row r="137" spans="2:24" x14ac:dyDescent="0.35">
      <c r="P137" s="52"/>
      <c r="Q137" s="39"/>
      <c r="R137" s="42" t="str">
        <f>IF(AND(NOT(ISBLANK(Q137)),Dashboard!F16&gt;0), Q137/Dashboard!F16, "")</f>
        <v/>
      </c>
      <c r="S137" s="39"/>
      <c r="T137" s="42" t="str">
        <f>IF(AND(NOT(ISBLANK(S137)),Dashboard!F52&gt;0), S137/Dashboard!F52, "")</f>
        <v/>
      </c>
      <c r="U137" s="39"/>
      <c r="V137" s="42" t="str">
        <f>IF(AND(NOT(ISBLANK(U137)),Dashboard!F53&gt;0), U137/Dashboard!F53, "")</f>
        <v/>
      </c>
      <c r="W137" s="39"/>
      <c r="X137" s="42" t="str">
        <f>IF(AND(NOT(ISBLANK(W137)),Dashboard!F54&gt;0), W137/Dashboard!F54, "")</f>
        <v/>
      </c>
    </row>
    <row r="138" spans="2:24" x14ac:dyDescent="0.35">
      <c r="P138" s="52"/>
      <c r="Q138" s="39"/>
      <c r="R138" s="42" t="str">
        <f>IF(AND(NOT(ISBLANK(Q138)),Dashboard!F16&gt;0), Q138/Dashboard!F16, "")</f>
        <v/>
      </c>
      <c r="S138" s="39"/>
      <c r="T138" s="42" t="str">
        <f>IF(AND(NOT(ISBLANK(S138)),Dashboard!F52&gt;0), S138/Dashboard!F52, "")</f>
        <v/>
      </c>
      <c r="U138" s="39"/>
      <c r="V138" s="42" t="str">
        <f>IF(AND(NOT(ISBLANK(U138)),Dashboard!F53&gt;0), U138/Dashboard!F53, "")</f>
        <v/>
      </c>
      <c r="W138" s="39"/>
      <c r="X138" s="42" t="str">
        <f>IF(AND(NOT(ISBLANK(W138)),Dashboard!F54&gt;0), W138/Dashboard!F54, "")</f>
        <v/>
      </c>
    </row>
    <row r="143" spans="2:24" ht="21" x14ac:dyDescent="0.5">
      <c r="B143" s="36" t="s">
        <v>1899</v>
      </c>
      <c r="P143" s="53" t="s">
        <v>1900</v>
      </c>
    </row>
    <row r="145" spans="2:22" ht="45" customHeight="1" x14ac:dyDescent="0.35">
      <c r="B145" s="271" t="s">
        <v>1901</v>
      </c>
      <c r="C145" s="264"/>
      <c r="D145" s="264"/>
      <c r="E145" s="264"/>
      <c r="F145" s="264"/>
      <c r="P145" s="271" t="s">
        <v>1902</v>
      </c>
      <c r="Q145" s="264"/>
      <c r="R145" s="264"/>
      <c r="S145" s="264"/>
      <c r="T145" s="264"/>
      <c r="U145" s="264"/>
    </row>
    <row r="146" spans="2:22" ht="35" customHeight="1" x14ac:dyDescent="0.35">
      <c r="P146" s="268" t="s">
        <v>1903</v>
      </c>
      <c r="Q146" s="268"/>
      <c r="R146" s="268" t="s">
        <v>1904</v>
      </c>
      <c r="S146" s="268"/>
      <c r="T146" s="268"/>
    </row>
    <row r="147" spans="2:22" ht="30" customHeight="1" x14ac:dyDescent="0.35">
      <c r="P147" s="272">
        <v>0</v>
      </c>
      <c r="Q147" s="273"/>
      <c r="R147" s="274" t="s">
        <v>1905</v>
      </c>
      <c r="S147" s="275"/>
      <c r="T147" s="275"/>
    </row>
    <row r="150" spans="2:22" ht="25" customHeight="1" x14ac:dyDescent="0.35">
      <c r="P150" s="62" t="s">
        <v>1888</v>
      </c>
      <c r="Q150" s="62" t="s">
        <v>1906</v>
      </c>
      <c r="R150" s="62" t="s">
        <v>1907</v>
      </c>
      <c r="S150" s="276" t="s">
        <v>7</v>
      </c>
      <c r="T150" s="276"/>
      <c r="U150" s="276"/>
      <c r="V150" s="264"/>
    </row>
    <row r="151" spans="2:22" ht="20" customHeight="1" x14ac:dyDescent="0.35">
      <c r="P151" s="64"/>
      <c r="Q151" s="65"/>
      <c r="R151" s="66" t="str">
        <f>IF(AND(NOT(ISBLANK(Q151)), Dashboard!$P147&gt;0), Q151/Dashboard!$P147, "")</f>
        <v/>
      </c>
      <c r="S151" s="277"/>
      <c r="T151" s="278"/>
      <c r="U151" s="278"/>
      <c r="V151" s="278"/>
    </row>
    <row r="152" spans="2:22" ht="20" customHeight="1" x14ac:dyDescent="0.35">
      <c r="P152" s="64"/>
      <c r="Q152" s="65"/>
      <c r="R152" s="66" t="str">
        <f>IF(AND(NOT(ISBLANK(Q152)), Dashboard!$P147&gt;0), Q152/Dashboard!$P147, "")</f>
        <v/>
      </c>
      <c r="S152" s="277"/>
      <c r="T152" s="278"/>
      <c r="U152" s="278"/>
      <c r="V152" s="278"/>
    </row>
    <row r="153" spans="2:22" ht="20" customHeight="1" x14ac:dyDescent="0.35">
      <c r="P153" s="64"/>
      <c r="Q153" s="65"/>
      <c r="R153" s="66" t="str">
        <f>IF(AND(NOT(ISBLANK(Q153)), Dashboard!$P147&gt;0), Q153/Dashboard!$P147, "")</f>
        <v/>
      </c>
      <c r="S153" s="277"/>
      <c r="T153" s="278"/>
      <c r="U153" s="278"/>
      <c r="V153" s="278"/>
    </row>
    <row r="154" spans="2:22" ht="20" customHeight="1" x14ac:dyDescent="0.35">
      <c r="P154" s="64"/>
      <c r="Q154" s="65"/>
      <c r="R154" s="66" t="str">
        <f>IF(AND(NOT(ISBLANK(Q154)), Dashboard!$P147&gt;0), Q154/Dashboard!$P147, "")</f>
        <v/>
      </c>
      <c r="S154" s="277"/>
      <c r="T154" s="278"/>
      <c r="U154" s="278"/>
      <c r="V154" s="278"/>
    </row>
    <row r="155" spans="2:22" ht="20" customHeight="1" x14ac:dyDescent="0.35">
      <c r="P155" s="64"/>
      <c r="Q155" s="65"/>
      <c r="R155" s="66" t="str">
        <f>IF(AND(NOT(ISBLANK(Q155)), Dashboard!$P147&gt;0), Q155/Dashboard!$P147, "")</f>
        <v/>
      </c>
      <c r="S155" s="277"/>
      <c r="T155" s="278"/>
      <c r="U155" s="278"/>
      <c r="V155" s="278"/>
    </row>
    <row r="156" spans="2:22" ht="20" customHeight="1" x14ac:dyDescent="0.35">
      <c r="P156" s="64"/>
      <c r="Q156" s="65"/>
      <c r="R156" s="66" t="str">
        <f>IF(AND(NOT(ISBLANK(Q156)), Dashboard!$P147&gt;0), Q156/Dashboard!$P147, "")</f>
        <v/>
      </c>
      <c r="S156" s="277"/>
      <c r="T156" s="278"/>
      <c r="U156" s="278"/>
      <c r="V156" s="278"/>
    </row>
    <row r="157" spans="2:22" ht="20" customHeight="1" x14ac:dyDescent="0.35">
      <c r="P157" s="64"/>
      <c r="Q157" s="65"/>
      <c r="R157" s="66" t="str">
        <f>IF(AND(NOT(ISBLANK(Q157)), Dashboard!$P147&gt;0), Q157/Dashboard!$P147, "")</f>
        <v/>
      </c>
      <c r="S157" s="277"/>
      <c r="T157" s="278"/>
      <c r="U157" s="278"/>
      <c r="V157" s="278"/>
    </row>
    <row r="158" spans="2:22" ht="20" customHeight="1" x14ac:dyDescent="0.35">
      <c r="P158" s="64"/>
      <c r="Q158" s="65"/>
      <c r="R158" s="66" t="str">
        <f>IF(AND(NOT(ISBLANK(Q158)), Dashboard!$P147&gt;0), Q158/Dashboard!$P147, "")</f>
        <v/>
      </c>
      <c r="S158" s="277"/>
      <c r="T158" s="278"/>
      <c r="U158" s="278"/>
      <c r="V158" s="278"/>
    </row>
    <row r="159" spans="2:22" ht="20" customHeight="1" x14ac:dyDescent="0.35">
      <c r="P159" s="64"/>
      <c r="Q159" s="65"/>
      <c r="R159" s="66" t="str">
        <f>IF(AND(NOT(ISBLANK(Q159)), Dashboard!$P147&gt;0), Q159/Dashboard!$P147, "")</f>
        <v/>
      </c>
      <c r="S159" s="277"/>
      <c r="T159" s="278"/>
      <c r="U159" s="278"/>
      <c r="V159" s="278"/>
    </row>
    <row r="160" spans="2:22" ht="20" customHeight="1" x14ac:dyDescent="0.35">
      <c r="P160" s="64"/>
      <c r="Q160" s="65"/>
      <c r="R160" s="66" t="str">
        <f>IF(AND(NOT(ISBLANK(Q160)), Dashboard!$P147&gt;0), Q160/Dashboard!$P147, "")</f>
        <v/>
      </c>
      <c r="S160" s="277"/>
      <c r="T160" s="278"/>
      <c r="U160" s="278"/>
      <c r="V160" s="278"/>
    </row>
    <row r="161" spans="2:22" ht="20" customHeight="1" x14ac:dyDescent="0.35">
      <c r="P161" s="64"/>
      <c r="Q161" s="65"/>
      <c r="R161" s="66" t="str">
        <f>IF(AND(NOT(ISBLANK(Q161)), Dashboard!$P147&gt;0), Q161/Dashboard!$P147, "")</f>
        <v/>
      </c>
      <c r="S161" s="277"/>
      <c r="T161" s="278"/>
      <c r="U161" s="278"/>
      <c r="V161" s="278"/>
    </row>
    <row r="162" spans="2:22" ht="20" customHeight="1" x14ac:dyDescent="0.35">
      <c r="P162" s="64"/>
      <c r="Q162" s="65"/>
      <c r="R162" s="66" t="str">
        <f>IF(AND(NOT(ISBLANK(Q162)), Dashboard!$P147&gt;0), Q162/Dashboard!$P147, "")</f>
        <v/>
      </c>
      <c r="S162" s="277"/>
      <c r="T162" s="278"/>
      <c r="U162" s="278"/>
      <c r="V162" s="278"/>
    </row>
    <row r="163" spans="2:22" ht="20" customHeight="1" x14ac:dyDescent="0.35">
      <c r="P163" s="64"/>
      <c r="Q163" s="65"/>
      <c r="R163" s="66" t="str">
        <f>IF(AND(NOT(ISBLANK(Q163)), Dashboard!$P147&gt;0), Q163/Dashboard!$P147, "")</f>
        <v/>
      </c>
      <c r="S163" s="277"/>
      <c r="T163" s="278"/>
      <c r="U163" s="278"/>
      <c r="V163" s="278"/>
    </row>
    <row r="164" spans="2:22" ht="20" customHeight="1" x14ac:dyDescent="0.35">
      <c r="P164" s="64"/>
      <c r="Q164" s="65"/>
      <c r="R164" s="66" t="str">
        <f>IF(AND(NOT(ISBLANK(Q164)), Dashboard!$P147&gt;0), Q164/Dashboard!$P147, "")</f>
        <v/>
      </c>
      <c r="S164" s="277"/>
      <c r="T164" s="278"/>
      <c r="U164" s="278"/>
      <c r="V164" s="278"/>
    </row>
    <row r="165" spans="2:22" ht="20" customHeight="1" x14ac:dyDescent="0.35">
      <c r="P165" s="64"/>
      <c r="Q165" s="65"/>
      <c r="R165" s="66" t="str">
        <f>IF(AND(NOT(ISBLANK(Q165)), Dashboard!$P147&gt;0), Q165/Dashboard!$P147, "")</f>
        <v/>
      </c>
      <c r="S165" s="277"/>
      <c r="T165" s="278"/>
      <c r="U165" s="278"/>
      <c r="V165" s="278"/>
    </row>
    <row r="166" spans="2:22" ht="20" customHeight="1" x14ac:dyDescent="0.35">
      <c r="P166" s="64"/>
      <c r="Q166" s="65"/>
      <c r="R166" s="66" t="str">
        <f>IF(AND(NOT(ISBLANK(Q166)), Dashboard!$P147&gt;0), Q166/Dashboard!$P147, "")</f>
        <v/>
      </c>
      <c r="S166" s="277"/>
      <c r="T166" s="278"/>
      <c r="U166" s="278"/>
      <c r="V166" s="278"/>
    </row>
    <row r="167" spans="2:22" ht="20" customHeight="1" x14ac:dyDescent="0.35">
      <c r="P167" s="64"/>
      <c r="Q167" s="65"/>
      <c r="R167" s="66" t="str">
        <f>IF(AND(NOT(ISBLANK(Q167)), Dashboard!$P147&gt;0), Q167/Dashboard!$P147, "")</f>
        <v/>
      </c>
      <c r="S167" s="277"/>
      <c r="T167" s="278"/>
      <c r="U167" s="278"/>
      <c r="V167" s="278"/>
    </row>
    <row r="168" spans="2:22" ht="20" customHeight="1" x14ac:dyDescent="0.35">
      <c r="P168" s="64"/>
      <c r="Q168" s="65"/>
      <c r="R168" s="66" t="str">
        <f>IF(AND(NOT(ISBLANK(Q168)), Dashboard!$P147&gt;0), Q168/Dashboard!$P147, "")</f>
        <v/>
      </c>
      <c r="S168" s="277"/>
      <c r="T168" s="278"/>
      <c r="U168" s="278"/>
      <c r="V168" s="278"/>
    </row>
    <row r="169" spans="2:22" ht="20" customHeight="1" x14ac:dyDescent="0.35">
      <c r="P169" s="64"/>
      <c r="Q169" s="65"/>
      <c r="R169" s="66" t="str">
        <f>IF(AND(NOT(ISBLANK(Q169)), Dashboard!$P147&gt;0), Q169/Dashboard!$P147, "")</f>
        <v/>
      </c>
      <c r="S169" s="277"/>
      <c r="T169" s="278"/>
      <c r="U169" s="278"/>
      <c r="V169" s="278"/>
    </row>
    <row r="170" spans="2:22" ht="20" customHeight="1" x14ac:dyDescent="0.35">
      <c r="P170" s="64"/>
      <c r="Q170" s="65"/>
      <c r="R170" s="66" t="str">
        <f>IF(AND(NOT(ISBLANK(Q170)), Dashboard!$P147&gt;0), Q170/Dashboard!$P147, "")</f>
        <v/>
      </c>
      <c r="S170" s="277"/>
      <c r="T170" s="278"/>
      <c r="U170" s="278"/>
      <c r="V170" s="278"/>
    </row>
    <row r="174" spans="2:22" ht="32" customHeight="1" x14ac:dyDescent="0.35">
      <c r="B174" s="262" t="s">
        <v>1766</v>
      </c>
      <c r="C174" s="262"/>
      <c r="D174" s="262"/>
      <c r="E174" s="262"/>
      <c r="F174" s="262"/>
      <c r="G174" s="262"/>
      <c r="H174" s="262"/>
      <c r="I174" s="262"/>
    </row>
  </sheetData>
  <mergeCells count="55">
    <mergeCell ref="B174:I174"/>
    <mergeCell ref="S166:V166"/>
    <mergeCell ref="S167:V167"/>
    <mergeCell ref="S168:V168"/>
    <mergeCell ref="S169:V169"/>
    <mergeCell ref="S170:V170"/>
    <mergeCell ref="S161:V161"/>
    <mergeCell ref="S162:V162"/>
    <mergeCell ref="S163:V163"/>
    <mergeCell ref="S164:V164"/>
    <mergeCell ref="S165:V165"/>
    <mergeCell ref="S156:V156"/>
    <mergeCell ref="S157:V157"/>
    <mergeCell ref="S158:V158"/>
    <mergeCell ref="S159:V159"/>
    <mergeCell ref="S160:V160"/>
    <mergeCell ref="S151:V151"/>
    <mergeCell ref="S152:V152"/>
    <mergeCell ref="S153:V153"/>
    <mergeCell ref="S154:V154"/>
    <mergeCell ref="S155:V155"/>
    <mergeCell ref="P146:Q146"/>
    <mergeCell ref="R146:T146"/>
    <mergeCell ref="P147:Q147"/>
    <mergeCell ref="R147:T147"/>
    <mergeCell ref="S150:V150"/>
    <mergeCell ref="C95:D95"/>
    <mergeCell ref="G95:H95"/>
    <mergeCell ref="B104:F104"/>
    <mergeCell ref="P104:W104"/>
    <mergeCell ref="B145:F145"/>
    <mergeCell ref="P145:U145"/>
    <mergeCell ref="C92:D92"/>
    <mergeCell ref="G92:H92"/>
    <mergeCell ref="C93:D93"/>
    <mergeCell ref="G93:H93"/>
    <mergeCell ref="C94:D94"/>
    <mergeCell ref="G94:H94"/>
    <mergeCell ref="C89:D89"/>
    <mergeCell ref="G89:H89"/>
    <mergeCell ref="C90:D90"/>
    <mergeCell ref="G90:H90"/>
    <mergeCell ref="C91:D91"/>
    <mergeCell ref="G91:H91"/>
    <mergeCell ref="F7:H7"/>
    <mergeCell ref="I7:O7"/>
    <mergeCell ref="F8:H8"/>
    <mergeCell ref="I8:O8"/>
    <mergeCell ref="F9:H9"/>
    <mergeCell ref="I9:O9"/>
    <mergeCell ref="B2:I2"/>
    <mergeCell ref="F5:H5"/>
    <mergeCell ref="I5:O5"/>
    <mergeCell ref="F6:H6"/>
    <mergeCell ref="I6:O6"/>
  </mergeCells>
  <conditionalFormatting sqref="D7">
    <cfRule type="cellIs" dxfId="74" priority="1" operator="greaterThanOrEqual">
      <formula>0.9</formula>
    </cfRule>
    <cfRule type="cellIs" dxfId="73" priority="2" operator="greaterThanOrEqual">
      <formula>0.5</formula>
    </cfRule>
    <cfRule type="cellIs" dxfId="72" priority="3" operator="lessThan">
      <formula>0.5</formula>
    </cfRule>
  </conditionalFormatting>
  <conditionalFormatting sqref="G90:H95">
    <cfRule type="expression" dxfId="71" priority="4">
      <formula>$G90&gt;=0.8</formula>
    </cfRule>
    <cfRule type="expression" dxfId="70" priority="5">
      <formula>AND($G90&gt;=0.5,$G90&lt;0.8)</formula>
    </cfRule>
    <cfRule type="expression" dxfId="69" priority="6">
      <formula>$G90&lt;0.5</formula>
    </cfRule>
  </conditionalFormatting>
  <conditionalFormatting sqref="K90:K95">
    <cfRule type="cellIs" dxfId="68" priority="7" operator="greaterThan">
      <formula>0</formula>
    </cfRule>
  </conditionalFormatting>
  <conditionalFormatting sqref="L90:L95">
    <cfRule type="cellIs" dxfId="67" priority="8" operator="greaterThan">
      <formula>0</formula>
    </cfRule>
  </conditionalFormatting>
  <conditionalFormatting sqref="M90:M95">
    <cfRule type="cellIs" dxfId="66" priority="9" operator="greaterThan">
      <formula>0</formula>
    </cfRule>
  </conditionalFormatting>
  <conditionalFormatting sqref="N90:N95">
    <cfRule type="cellIs" dxfId="65" priority="10" operator="greaterThan">
      <formula>0</formula>
    </cfRule>
  </conditionalFormatting>
  <dataValidations count="140">
    <dataValidation type="whole" allowBlank="1" showErrorMessage="1" errorTitle="Invalid overall count" error="Overall count must be between 0 and the current implemented total." sqref="Q109" xr:uid="{00000000-0002-0000-0100-000000000000}">
      <formula1>0</formula1>
      <formula2>C16</formula2>
    </dataValidation>
    <dataValidation type="whole" allowBlank="1" showErrorMessage="1" errorTitle="Invalid count" error="Value must be between 0 and the current implemented total." sqref="S109" xr:uid="{00000000-0002-0000-0100-000001000000}">
      <formula1>0</formula1>
      <formula2>C52</formula2>
    </dataValidation>
    <dataValidation type="whole" allowBlank="1" showErrorMessage="1" errorTitle="Invalid count" error="Value must be between 0 and the current implemented total." sqref="U109" xr:uid="{00000000-0002-0000-0100-000002000000}">
      <formula1>0</formula1>
      <formula2>C53</formula2>
    </dataValidation>
    <dataValidation type="whole" allowBlank="1" showErrorMessage="1" errorTitle="Invalid count" error="Value must be between 0 and the current implemented total." sqref="W109" xr:uid="{00000000-0002-0000-0100-000003000000}">
      <formula1>0</formula1>
      <formula2>C54</formula2>
    </dataValidation>
    <dataValidation type="whole" allowBlank="1" showErrorMessage="1" errorTitle="Invalid overall count" error="Overall count must be between 0 and the current implemented total." sqref="Q110" xr:uid="{00000000-0002-0000-0100-000004000000}">
      <formula1>0</formula1>
      <formula2>C16</formula2>
    </dataValidation>
    <dataValidation type="whole" allowBlank="1" showErrorMessage="1" errorTitle="Invalid count" error="Value must be between 0 and the current implemented total." sqref="S110" xr:uid="{00000000-0002-0000-0100-000005000000}">
      <formula1>0</formula1>
      <formula2>C52</formula2>
    </dataValidation>
    <dataValidation type="whole" allowBlank="1" showErrorMessage="1" errorTitle="Invalid count" error="Value must be between 0 and the current implemented total." sqref="U110" xr:uid="{00000000-0002-0000-0100-000006000000}">
      <formula1>0</formula1>
      <formula2>C53</formula2>
    </dataValidation>
    <dataValidation type="whole" allowBlank="1" showErrorMessage="1" errorTitle="Invalid count" error="Value must be between 0 and the current implemented total." sqref="W110" xr:uid="{00000000-0002-0000-0100-000007000000}">
      <formula1>0</formula1>
      <formula2>C54</formula2>
    </dataValidation>
    <dataValidation type="whole" allowBlank="1" showErrorMessage="1" errorTitle="Invalid overall count" error="Overall count must be between 0 and the current implemented total." sqref="Q111" xr:uid="{00000000-0002-0000-0100-000008000000}">
      <formula1>0</formula1>
      <formula2>C16</formula2>
    </dataValidation>
    <dataValidation type="whole" allowBlank="1" showErrorMessage="1" errorTitle="Invalid count" error="Value must be between 0 and the current implemented total." sqref="S111" xr:uid="{00000000-0002-0000-0100-000009000000}">
      <formula1>0</formula1>
      <formula2>C52</formula2>
    </dataValidation>
    <dataValidation type="whole" allowBlank="1" showErrorMessage="1" errorTitle="Invalid count" error="Value must be between 0 and the current implemented total." sqref="U111" xr:uid="{00000000-0002-0000-0100-00000A000000}">
      <formula1>0</formula1>
      <formula2>C53</formula2>
    </dataValidation>
    <dataValidation type="whole" allowBlank="1" showErrorMessage="1" errorTitle="Invalid count" error="Value must be between 0 and the current implemented total." sqref="W111" xr:uid="{00000000-0002-0000-0100-00000B000000}">
      <formula1>0</formula1>
      <formula2>C54</formula2>
    </dataValidation>
    <dataValidation type="whole" allowBlank="1" showErrorMessage="1" errorTitle="Invalid overall count" error="Overall count must be between 0 and the current implemented total." sqref="Q112" xr:uid="{00000000-0002-0000-0100-00000C000000}">
      <formula1>0</formula1>
      <formula2>C16</formula2>
    </dataValidation>
    <dataValidation type="whole" allowBlank="1" showErrorMessage="1" errorTitle="Invalid count" error="Value must be between 0 and the current implemented total." sqref="S112" xr:uid="{00000000-0002-0000-0100-00000D000000}">
      <formula1>0</formula1>
      <formula2>C52</formula2>
    </dataValidation>
    <dataValidation type="whole" allowBlank="1" showErrorMessage="1" errorTitle="Invalid count" error="Value must be between 0 and the current implemented total." sqref="U112" xr:uid="{00000000-0002-0000-0100-00000E000000}">
      <formula1>0</formula1>
      <formula2>C53</formula2>
    </dataValidation>
    <dataValidation type="whole" allowBlank="1" showErrorMessage="1" errorTitle="Invalid count" error="Value must be between 0 and the current implemented total." sqref="W112" xr:uid="{00000000-0002-0000-0100-00000F000000}">
      <formula1>0</formula1>
      <formula2>C54</formula2>
    </dataValidation>
    <dataValidation type="whole" allowBlank="1" showErrorMessage="1" errorTitle="Invalid overall count" error="Overall count must be between 0 and the current implemented total." sqref="Q113" xr:uid="{00000000-0002-0000-0100-000010000000}">
      <formula1>0</formula1>
      <formula2>C16</formula2>
    </dataValidation>
    <dataValidation type="whole" allowBlank="1" showErrorMessage="1" errorTitle="Invalid count" error="Value must be between 0 and the current implemented total." sqref="S113" xr:uid="{00000000-0002-0000-0100-000011000000}">
      <formula1>0</formula1>
      <formula2>C52</formula2>
    </dataValidation>
    <dataValidation type="whole" allowBlank="1" showErrorMessage="1" errorTitle="Invalid count" error="Value must be between 0 and the current implemented total." sqref="U113" xr:uid="{00000000-0002-0000-0100-000012000000}">
      <formula1>0</formula1>
      <formula2>C53</formula2>
    </dataValidation>
    <dataValidation type="whole" allowBlank="1" showErrorMessage="1" errorTitle="Invalid count" error="Value must be between 0 and the current implemented total." sqref="W113" xr:uid="{00000000-0002-0000-0100-000013000000}">
      <formula1>0</formula1>
      <formula2>C54</formula2>
    </dataValidation>
    <dataValidation type="whole" allowBlank="1" showErrorMessage="1" errorTitle="Invalid overall count" error="Overall count must be between 0 and the current implemented total." sqref="Q114" xr:uid="{00000000-0002-0000-0100-000014000000}">
      <formula1>0</formula1>
      <formula2>C16</formula2>
    </dataValidation>
    <dataValidation type="whole" allowBlank="1" showErrorMessage="1" errorTitle="Invalid count" error="Value must be between 0 and the current implemented total." sqref="S114" xr:uid="{00000000-0002-0000-0100-000015000000}">
      <formula1>0</formula1>
      <formula2>C52</formula2>
    </dataValidation>
    <dataValidation type="whole" allowBlank="1" showErrorMessage="1" errorTitle="Invalid count" error="Value must be between 0 and the current implemented total." sqref="U114" xr:uid="{00000000-0002-0000-0100-000016000000}">
      <formula1>0</formula1>
      <formula2>C53</formula2>
    </dataValidation>
    <dataValidation type="whole" allowBlank="1" showErrorMessage="1" errorTitle="Invalid count" error="Value must be between 0 and the current implemented total." sqref="W114" xr:uid="{00000000-0002-0000-0100-000017000000}">
      <formula1>0</formula1>
      <formula2>C54</formula2>
    </dataValidation>
    <dataValidation type="whole" allowBlank="1" showErrorMessage="1" errorTitle="Invalid overall count" error="Overall count must be between 0 and the current implemented total." sqref="Q115" xr:uid="{00000000-0002-0000-0100-000018000000}">
      <formula1>0</formula1>
      <formula2>C16</formula2>
    </dataValidation>
    <dataValidation type="whole" allowBlank="1" showErrorMessage="1" errorTitle="Invalid count" error="Value must be between 0 and the current implemented total." sqref="S115" xr:uid="{00000000-0002-0000-0100-000019000000}">
      <formula1>0</formula1>
      <formula2>C52</formula2>
    </dataValidation>
    <dataValidation type="whole" allowBlank="1" showErrorMessage="1" errorTitle="Invalid count" error="Value must be between 0 and the current implemented total." sqref="U115" xr:uid="{00000000-0002-0000-0100-00001A000000}">
      <formula1>0</formula1>
      <formula2>C53</formula2>
    </dataValidation>
    <dataValidation type="whole" allowBlank="1" showErrorMessage="1" errorTitle="Invalid count" error="Value must be between 0 and the current implemented total." sqref="W115" xr:uid="{00000000-0002-0000-0100-00001B000000}">
      <formula1>0</formula1>
      <formula2>C54</formula2>
    </dataValidation>
    <dataValidation type="whole" allowBlank="1" showErrorMessage="1" errorTitle="Invalid overall count" error="Overall count must be between 0 and the current implemented total." sqref="Q116" xr:uid="{00000000-0002-0000-0100-00001C000000}">
      <formula1>0</formula1>
      <formula2>C16</formula2>
    </dataValidation>
    <dataValidation type="whole" allowBlank="1" showErrorMessage="1" errorTitle="Invalid count" error="Value must be between 0 and the current implemented total." sqref="S116" xr:uid="{00000000-0002-0000-0100-00001D000000}">
      <formula1>0</formula1>
      <formula2>C52</formula2>
    </dataValidation>
    <dataValidation type="whole" allowBlank="1" showErrorMessage="1" errorTitle="Invalid count" error="Value must be between 0 and the current implemented total." sqref="U116" xr:uid="{00000000-0002-0000-0100-00001E000000}">
      <formula1>0</formula1>
      <formula2>C53</formula2>
    </dataValidation>
    <dataValidation type="whole" allowBlank="1" showErrorMessage="1" errorTitle="Invalid count" error="Value must be between 0 and the current implemented total." sqref="W116" xr:uid="{00000000-0002-0000-0100-00001F000000}">
      <formula1>0</formula1>
      <formula2>C54</formula2>
    </dataValidation>
    <dataValidation type="whole" allowBlank="1" showErrorMessage="1" errorTitle="Invalid overall count" error="Overall count must be between 0 and the current implemented total." sqref="Q117" xr:uid="{00000000-0002-0000-0100-000020000000}">
      <formula1>0</formula1>
      <formula2>C16</formula2>
    </dataValidation>
    <dataValidation type="whole" allowBlank="1" showErrorMessage="1" errorTitle="Invalid count" error="Value must be between 0 and the current implemented total." sqref="S117" xr:uid="{00000000-0002-0000-0100-000021000000}">
      <formula1>0</formula1>
      <formula2>C52</formula2>
    </dataValidation>
    <dataValidation type="whole" allowBlank="1" showErrorMessage="1" errorTitle="Invalid count" error="Value must be between 0 and the current implemented total." sqref="U117" xr:uid="{00000000-0002-0000-0100-000022000000}">
      <formula1>0</formula1>
      <formula2>C53</formula2>
    </dataValidation>
    <dataValidation type="whole" allowBlank="1" showErrorMessage="1" errorTitle="Invalid count" error="Value must be between 0 and the current implemented total." sqref="W117" xr:uid="{00000000-0002-0000-0100-000023000000}">
      <formula1>0</formula1>
      <formula2>C54</formula2>
    </dataValidation>
    <dataValidation type="whole" allowBlank="1" showErrorMessage="1" errorTitle="Invalid overall count" error="Overall count must be between 0 and the current implemented total." sqref="Q118" xr:uid="{00000000-0002-0000-0100-000024000000}">
      <formula1>0</formula1>
      <formula2>C16</formula2>
    </dataValidation>
    <dataValidation type="whole" allowBlank="1" showErrorMessage="1" errorTitle="Invalid count" error="Value must be between 0 and the current implemented total." sqref="S118" xr:uid="{00000000-0002-0000-0100-000025000000}">
      <formula1>0</formula1>
      <formula2>C52</formula2>
    </dataValidation>
    <dataValidation type="whole" allowBlank="1" showErrorMessage="1" errorTitle="Invalid count" error="Value must be between 0 and the current implemented total." sqref="U118" xr:uid="{00000000-0002-0000-0100-000026000000}">
      <formula1>0</formula1>
      <formula2>C53</formula2>
    </dataValidation>
    <dataValidation type="whole" allowBlank="1" showErrorMessage="1" errorTitle="Invalid count" error="Value must be between 0 and the current implemented total." sqref="W118" xr:uid="{00000000-0002-0000-0100-000027000000}">
      <formula1>0</formula1>
      <formula2>C54</formula2>
    </dataValidation>
    <dataValidation type="whole" allowBlank="1" showErrorMessage="1" errorTitle="Invalid overall count" error="Overall count must be between 0 and the current implemented total." sqref="Q119" xr:uid="{00000000-0002-0000-0100-000028000000}">
      <formula1>0</formula1>
      <formula2>C16</formula2>
    </dataValidation>
    <dataValidation type="whole" allowBlank="1" showErrorMessage="1" errorTitle="Invalid count" error="Value must be between 0 and the current implemented total." sqref="S119" xr:uid="{00000000-0002-0000-0100-000029000000}">
      <formula1>0</formula1>
      <formula2>C52</formula2>
    </dataValidation>
    <dataValidation type="whole" allowBlank="1" showErrorMessage="1" errorTitle="Invalid count" error="Value must be between 0 and the current implemented total." sqref="U119" xr:uid="{00000000-0002-0000-0100-00002A000000}">
      <formula1>0</formula1>
      <formula2>C53</formula2>
    </dataValidation>
    <dataValidation type="whole" allowBlank="1" showErrorMessage="1" errorTitle="Invalid count" error="Value must be between 0 and the current implemented total." sqref="W119" xr:uid="{00000000-0002-0000-0100-00002B000000}">
      <formula1>0</formula1>
      <formula2>C54</formula2>
    </dataValidation>
    <dataValidation type="whole" allowBlank="1" showErrorMessage="1" errorTitle="Invalid overall count" error="Overall count must be between 0 and the current implemented total." sqref="Q120" xr:uid="{00000000-0002-0000-0100-00002C000000}">
      <formula1>0</formula1>
      <formula2>C16</formula2>
    </dataValidation>
    <dataValidation type="whole" allowBlank="1" showErrorMessage="1" errorTitle="Invalid count" error="Value must be between 0 and the current implemented total." sqref="S120" xr:uid="{00000000-0002-0000-0100-00002D000000}">
      <formula1>0</formula1>
      <formula2>C52</formula2>
    </dataValidation>
    <dataValidation type="whole" allowBlank="1" showErrorMessage="1" errorTitle="Invalid count" error="Value must be between 0 and the current implemented total." sqref="U120" xr:uid="{00000000-0002-0000-0100-00002E000000}">
      <formula1>0</formula1>
      <formula2>C53</formula2>
    </dataValidation>
    <dataValidation type="whole" allowBlank="1" showErrorMessage="1" errorTitle="Invalid count" error="Value must be between 0 and the current implemented total." sqref="W120" xr:uid="{00000000-0002-0000-0100-00002F000000}">
      <formula1>0</formula1>
      <formula2>C54</formula2>
    </dataValidation>
    <dataValidation type="whole" allowBlank="1" showErrorMessage="1" errorTitle="Invalid overall count" error="Overall count must be between 0 and the current implemented total." sqref="Q121" xr:uid="{00000000-0002-0000-0100-000030000000}">
      <formula1>0</formula1>
      <formula2>C16</formula2>
    </dataValidation>
    <dataValidation type="whole" allowBlank="1" showErrorMessage="1" errorTitle="Invalid count" error="Value must be between 0 and the current implemented total." sqref="S121" xr:uid="{00000000-0002-0000-0100-000031000000}">
      <formula1>0</formula1>
      <formula2>C52</formula2>
    </dataValidation>
    <dataValidation type="whole" allowBlank="1" showErrorMessage="1" errorTitle="Invalid count" error="Value must be between 0 and the current implemented total." sqref="U121" xr:uid="{00000000-0002-0000-0100-000032000000}">
      <formula1>0</formula1>
      <formula2>C53</formula2>
    </dataValidation>
    <dataValidation type="whole" allowBlank="1" showErrorMessage="1" errorTitle="Invalid count" error="Value must be between 0 and the current implemented total." sqref="W121" xr:uid="{00000000-0002-0000-0100-000033000000}">
      <formula1>0</formula1>
      <formula2>C54</formula2>
    </dataValidation>
    <dataValidation type="whole" allowBlank="1" showErrorMessage="1" errorTitle="Invalid overall count" error="Overall count must be between 0 and the current implemented total." sqref="Q122" xr:uid="{00000000-0002-0000-0100-000034000000}">
      <formula1>0</formula1>
      <formula2>C16</formula2>
    </dataValidation>
    <dataValidation type="whole" allowBlank="1" showErrorMessage="1" errorTitle="Invalid count" error="Value must be between 0 and the current implemented total." sqref="S122" xr:uid="{00000000-0002-0000-0100-000035000000}">
      <formula1>0</formula1>
      <formula2>C52</formula2>
    </dataValidation>
    <dataValidation type="whole" allowBlank="1" showErrorMessage="1" errorTitle="Invalid count" error="Value must be between 0 and the current implemented total." sqref="U122" xr:uid="{00000000-0002-0000-0100-000036000000}">
      <formula1>0</formula1>
      <formula2>C53</formula2>
    </dataValidation>
    <dataValidation type="whole" allowBlank="1" showErrorMessage="1" errorTitle="Invalid count" error="Value must be between 0 and the current implemented total." sqref="W122" xr:uid="{00000000-0002-0000-0100-000037000000}">
      <formula1>0</formula1>
      <formula2>C54</formula2>
    </dataValidation>
    <dataValidation type="whole" allowBlank="1" showErrorMessage="1" errorTitle="Invalid overall count" error="Overall count must be between 0 and the current implemented total." sqref="Q123" xr:uid="{00000000-0002-0000-0100-000038000000}">
      <formula1>0</formula1>
      <formula2>C16</formula2>
    </dataValidation>
    <dataValidation type="whole" allowBlank="1" showErrorMessage="1" errorTitle="Invalid count" error="Value must be between 0 and the current implemented total." sqref="S123" xr:uid="{00000000-0002-0000-0100-000039000000}">
      <formula1>0</formula1>
      <formula2>C52</formula2>
    </dataValidation>
    <dataValidation type="whole" allowBlank="1" showErrorMessage="1" errorTitle="Invalid count" error="Value must be between 0 and the current implemented total." sqref="U123" xr:uid="{00000000-0002-0000-0100-00003A000000}">
      <formula1>0</formula1>
      <formula2>C53</formula2>
    </dataValidation>
    <dataValidation type="whole" allowBlank="1" showErrorMessage="1" errorTitle="Invalid count" error="Value must be between 0 and the current implemented total." sqref="W123" xr:uid="{00000000-0002-0000-0100-00003B000000}">
      <formula1>0</formula1>
      <formula2>C54</formula2>
    </dataValidation>
    <dataValidation type="whole" allowBlank="1" showErrorMessage="1" errorTitle="Invalid overall count" error="Overall count must be between 0 and the current implemented total." sqref="Q124" xr:uid="{00000000-0002-0000-0100-00003C000000}">
      <formula1>0</formula1>
      <formula2>C16</formula2>
    </dataValidation>
    <dataValidation type="whole" allowBlank="1" showErrorMessage="1" errorTitle="Invalid count" error="Value must be between 0 and the current implemented total." sqref="S124" xr:uid="{00000000-0002-0000-0100-00003D000000}">
      <formula1>0</formula1>
      <formula2>C52</formula2>
    </dataValidation>
    <dataValidation type="whole" allowBlank="1" showErrorMessage="1" errorTitle="Invalid count" error="Value must be between 0 and the current implemented total." sqref="U124" xr:uid="{00000000-0002-0000-0100-00003E000000}">
      <formula1>0</formula1>
      <formula2>C53</formula2>
    </dataValidation>
    <dataValidation type="whole" allowBlank="1" showErrorMessage="1" errorTitle="Invalid count" error="Value must be between 0 and the current implemented total." sqref="W124" xr:uid="{00000000-0002-0000-0100-00003F000000}">
      <formula1>0</formula1>
      <formula2>C54</formula2>
    </dataValidation>
    <dataValidation type="whole" allowBlank="1" showErrorMessage="1" errorTitle="Invalid overall count" error="Overall count must be between 0 and the current implemented total." sqref="Q125" xr:uid="{00000000-0002-0000-0100-000040000000}">
      <formula1>0</formula1>
      <formula2>C16</formula2>
    </dataValidation>
    <dataValidation type="whole" allowBlank="1" showErrorMessage="1" errorTitle="Invalid count" error="Value must be between 0 and the current implemented total." sqref="S125" xr:uid="{00000000-0002-0000-0100-000041000000}">
      <formula1>0</formula1>
      <formula2>C52</formula2>
    </dataValidation>
    <dataValidation type="whole" allowBlank="1" showErrorMessage="1" errorTitle="Invalid count" error="Value must be between 0 and the current implemented total." sqref="U125" xr:uid="{00000000-0002-0000-0100-000042000000}">
      <formula1>0</formula1>
      <formula2>C53</formula2>
    </dataValidation>
    <dataValidation type="whole" allowBlank="1" showErrorMessage="1" errorTitle="Invalid count" error="Value must be between 0 and the current implemented total." sqref="W125" xr:uid="{00000000-0002-0000-0100-000043000000}">
      <formula1>0</formula1>
      <formula2>C54</formula2>
    </dataValidation>
    <dataValidation type="whole" allowBlank="1" showErrorMessage="1" errorTitle="Invalid overall count" error="Overall count must be between 0 and the current implemented total." sqref="Q126" xr:uid="{00000000-0002-0000-0100-000044000000}">
      <formula1>0</formula1>
      <formula2>C16</formula2>
    </dataValidation>
    <dataValidation type="whole" allowBlank="1" showErrorMessage="1" errorTitle="Invalid count" error="Value must be between 0 and the current implemented total." sqref="S126" xr:uid="{00000000-0002-0000-0100-000045000000}">
      <formula1>0</formula1>
      <formula2>C52</formula2>
    </dataValidation>
    <dataValidation type="whole" allowBlank="1" showErrorMessage="1" errorTitle="Invalid count" error="Value must be between 0 and the current implemented total." sqref="U126" xr:uid="{00000000-0002-0000-0100-000046000000}">
      <formula1>0</formula1>
      <formula2>C53</formula2>
    </dataValidation>
    <dataValidation type="whole" allowBlank="1" showErrorMessage="1" errorTitle="Invalid count" error="Value must be between 0 and the current implemented total." sqref="W126" xr:uid="{00000000-0002-0000-0100-000047000000}">
      <formula1>0</formula1>
      <formula2>C54</formula2>
    </dataValidation>
    <dataValidation type="whole" allowBlank="1" showErrorMessage="1" errorTitle="Invalid overall count" error="Overall count must be between 0 and the current implemented total." sqref="Q127" xr:uid="{00000000-0002-0000-0100-000048000000}">
      <formula1>0</formula1>
      <formula2>C16</formula2>
    </dataValidation>
    <dataValidation type="whole" allowBlank="1" showErrorMessage="1" errorTitle="Invalid count" error="Value must be between 0 and the current implemented total." sqref="S127" xr:uid="{00000000-0002-0000-0100-000049000000}">
      <formula1>0</formula1>
      <formula2>C52</formula2>
    </dataValidation>
    <dataValidation type="whole" allowBlank="1" showErrorMessage="1" errorTitle="Invalid count" error="Value must be between 0 and the current implemented total." sqref="U127" xr:uid="{00000000-0002-0000-0100-00004A000000}">
      <formula1>0</formula1>
      <formula2>C53</formula2>
    </dataValidation>
    <dataValidation type="whole" allowBlank="1" showErrorMessage="1" errorTitle="Invalid count" error="Value must be between 0 and the current implemented total." sqref="W127" xr:uid="{00000000-0002-0000-0100-00004B000000}">
      <formula1>0</formula1>
      <formula2>C54</formula2>
    </dataValidation>
    <dataValidation type="whole" allowBlank="1" showErrorMessage="1" errorTitle="Invalid overall count" error="Overall count must be between 0 and the current implemented total." sqref="Q128" xr:uid="{00000000-0002-0000-0100-00004C000000}">
      <formula1>0</formula1>
      <formula2>C16</formula2>
    </dataValidation>
    <dataValidation type="whole" allowBlank="1" showErrorMessage="1" errorTitle="Invalid count" error="Value must be between 0 and the current implemented total." sqref="S128" xr:uid="{00000000-0002-0000-0100-00004D000000}">
      <formula1>0</formula1>
      <formula2>C52</formula2>
    </dataValidation>
    <dataValidation type="whole" allowBlank="1" showErrorMessage="1" errorTitle="Invalid count" error="Value must be between 0 and the current implemented total." sqref="U128" xr:uid="{00000000-0002-0000-0100-00004E000000}">
      <formula1>0</formula1>
      <formula2>C53</formula2>
    </dataValidation>
    <dataValidation type="whole" allowBlank="1" showErrorMessage="1" errorTitle="Invalid count" error="Value must be between 0 and the current implemented total." sqref="W128" xr:uid="{00000000-0002-0000-0100-00004F000000}">
      <formula1>0</formula1>
      <formula2>C54</formula2>
    </dataValidation>
    <dataValidation type="whole" allowBlank="1" showErrorMessage="1" errorTitle="Invalid overall count" error="Overall count must be between 0 and the current implemented total." sqref="Q129" xr:uid="{00000000-0002-0000-0100-000050000000}">
      <formula1>0</formula1>
      <formula2>C16</formula2>
    </dataValidation>
    <dataValidation type="whole" allowBlank="1" showErrorMessage="1" errorTitle="Invalid count" error="Value must be between 0 and the current implemented total." sqref="S129" xr:uid="{00000000-0002-0000-0100-000051000000}">
      <formula1>0</formula1>
      <formula2>C52</formula2>
    </dataValidation>
    <dataValidation type="whole" allowBlank="1" showErrorMessage="1" errorTitle="Invalid count" error="Value must be between 0 and the current implemented total." sqref="U129" xr:uid="{00000000-0002-0000-0100-000052000000}">
      <formula1>0</formula1>
      <formula2>C53</formula2>
    </dataValidation>
    <dataValidation type="whole" allowBlank="1" showErrorMessage="1" errorTitle="Invalid count" error="Value must be between 0 and the current implemented total." sqref="W129" xr:uid="{00000000-0002-0000-0100-000053000000}">
      <formula1>0</formula1>
      <formula2>C54</formula2>
    </dataValidation>
    <dataValidation type="whole" allowBlank="1" showErrorMessage="1" errorTitle="Invalid overall count" error="Overall count must be between 0 and the current implemented total." sqref="Q130" xr:uid="{00000000-0002-0000-0100-000054000000}">
      <formula1>0</formula1>
      <formula2>C16</formula2>
    </dataValidation>
    <dataValidation type="whole" allowBlank="1" showErrorMessage="1" errorTitle="Invalid count" error="Value must be between 0 and the current implemented total." sqref="S130" xr:uid="{00000000-0002-0000-0100-000055000000}">
      <formula1>0</formula1>
      <formula2>C52</formula2>
    </dataValidation>
    <dataValidation type="whole" allowBlank="1" showErrorMessage="1" errorTitle="Invalid count" error="Value must be between 0 and the current implemented total." sqref="U130" xr:uid="{00000000-0002-0000-0100-000056000000}">
      <formula1>0</formula1>
      <formula2>C53</formula2>
    </dataValidation>
    <dataValidation type="whole" allowBlank="1" showErrorMessage="1" errorTitle="Invalid count" error="Value must be between 0 and the current implemented total." sqref="W130" xr:uid="{00000000-0002-0000-0100-000057000000}">
      <formula1>0</formula1>
      <formula2>C54</formula2>
    </dataValidation>
    <dataValidation type="whole" allowBlank="1" showErrorMessage="1" errorTitle="Invalid overall count" error="Overall count must be between 0 and the current implemented total." sqref="Q131" xr:uid="{00000000-0002-0000-0100-000058000000}">
      <formula1>0</formula1>
      <formula2>C16</formula2>
    </dataValidation>
    <dataValidation type="whole" allowBlank="1" showErrorMessage="1" errorTitle="Invalid count" error="Value must be between 0 and the current implemented total." sqref="S131" xr:uid="{00000000-0002-0000-0100-000059000000}">
      <formula1>0</formula1>
      <formula2>C52</formula2>
    </dataValidation>
    <dataValidation type="whole" allowBlank="1" showErrorMessage="1" errorTitle="Invalid count" error="Value must be between 0 and the current implemented total." sqref="U131" xr:uid="{00000000-0002-0000-0100-00005A000000}">
      <formula1>0</formula1>
      <formula2>C53</formula2>
    </dataValidation>
    <dataValidation type="whole" allowBlank="1" showErrorMessage="1" errorTitle="Invalid count" error="Value must be between 0 and the current implemented total." sqref="W131" xr:uid="{00000000-0002-0000-0100-00005B000000}">
      <formula1>0</formula1>
      <formula2>C54</formula2>
    </dataValidation>
    <dataValidation type="whole" allowBlank="1" showErrorMessage="1" errorTitle="Invalid overall count" error="Overall count must be between 0 and the current implemented total." sqref="Q132" xr:uid="{00000000-0002-0000-0100-00005C000000}">
      <formula1>0</formula1>
      <formula2>C16</formula2>
    </dataValidation>
    <dataValidation type="whole" allowBlank="1" showErrorMessage="1" errorTitle="Invalid count" error="Value must be between 0 and the current implemented total." sqref="S132" xr:uid="{00000000-0002-0000-0100-00005D000000}">
      <formula1>0</formula1>
      <formula2>C52</formula2>
    </dataValidation>
    <dataValidation type="whole" allowBlank="1" showErrorMessage="1" errorTitle="Invalid count" error="Value must be between 0 and the current implemented total." sqref="U132" xr:uid="{00000000-0002-0000-0100-00005E000000}">
      <formula1>0</formula1>
      <formula2>C53</formula2>
    </dataValidation>
    <dataValidation type="whole" allowBlank="1" showErrorMessage="1" errorTitle="Invalid count" error="Value must be between 0 and the current implemented total." sqref="W132" xr:uid="{00000000-0002-0000-0100-00005F000000}">
      <formula1>0</formula1>
      <formula2>C54</formula2>
    </dataValidation>
    <dataValidation type="whole" allowBlank="1" showErrorMessage="1" errorTitle="Invalid overall count" error="Overall count must be between 0 and the current implemented total." sqref="Q133" xr:uid="{00000000-0002-0000-0100-000060000000}">
      <formula1>0</formula1>
      <formula2>C16</formula2>
    </dataValidation>
    <dataValidation type="whole" allowBlank="1" showErrorMessage="1" errorTitle="Invalid count" error="Value must be between 0 and the current implemented total." sqref="S133" xr:uid="{00000000-0002-0000-0100-000061000000}">
      <formula1>0</formula1>
      <formula2>C52</formula2>
    </dataValidation>
    <dataValidation type="whole" allowBlank="1" showErrorMessage="1" errorTitle="Invalid count" error="Value must be between 0 and the current implemented total." sqref="U133" xr:uid="{00000000-0002-0000-0100-000062000000}">
      <formula1>0</formula1>
      <formula2>C53</formula2>
    </dataValidation>
    <dataValidation type="whole" allowBlank="1" showErrorMessage="1" errorTitle="Invalid count" error="Value must be between 0 and the current implemented total." sqref="W133" xr:uid="{00000000-0002-0000-0100-000063000000}">
      <formula1>0</formula1>
      <formula2>C54</formula2>
    </dataValidation>
    <dataValidation type="whole" allowBlank="1" showErrorMessage="1" errorTitle="Invalid overall count" error="Overall count must be between 0 and the current implemented total." sqref="Q134" xr:uid="{00000000-0002-0000-0100-000064000000}">
      <formula1>0</formula1>
      <formula2>C16</formula2>
    </dataValidation>
    <dataValidation type="whole" allowBlank="1" showErrorMessage="1" errorTitle="Invalid count" error="Value must be between 0 and the current implemented total." sqref="S134" xr:uid="{00000000-0002-0000-0100-000065000000}">
      <formula1>0</formula1>
      <formula2>C52</formula2>
    </dataValidation>
    <dataValidation type="whole" allowBlank="1" showErrorMessage="1" errorTitle="Invalid count" error="Value must be between 0 and the current implemented total." sqref="U134" xr:uid="{00000000-0002-0000-0100-000066000000}">
      <formula1>0</formula1>
      <formula2>C53</formula2>
    </dataValidation>
    <dataValidation type="whole" allowBlank="1" showErrorMessage="1" errorTitle="Invalid count" error="Value must be between 0 and the current implemented total." sqref="W134" xr:uid="{00000000-0002-0000-0100-000067000000}">
      <formula1>0</formula1>
      <formula2>C54</formula2>
    </dataValidation>
    <dataValidation type="whole" allowBlank="1" showErrorMessage="1" errorTitle="Invalid overall count" error="Overall count must be between 0 and the current implemented total." sqref="Q135" xr:uid="{00000000-0002-0000-0100-000068000000}">
      <formula1>0</formula1>
      <formula2>C16</formula2>
    </dataValidation>
    <dataValidation type="whole" allowBlank="1" showErrorMessage="1" errorTitle="Invalid count" error="Value must be between 0 and the current implemented total." sqref="S135" xr:uid="{00000000-0002-0000-0100-000069000000}">
      <formula1>0</formula1>
      <formula2>C52</formula2>
    </dataValidation>
    <dataValidation type="whole" allowBlank="1" showErrorMessage="1" errorTitle="Invalid count" error="Value must be between 0 and the current implemented total." sqref="U135" xr:uid="{00000000-0002-0000-0100-00006A000000}">
      <formula1>0</formula1>
      <formula2>C53</formula2>
    </dataValidation>
    <dataValidation type="whole" allowBlank="1" showErrorMessage="1" errorTitle="Invalid count" error="Value must be between 0 and the current implemented total." sqref="W135" xr:uid="{00000000-0002-0000-0100-00006B000000}">
      <formula1>0</formula1>
      <formula2>C54</formula2>
    </dataValidation>
    <dataValidation type="whole" allowBlank="1" showErrorMessage="1" errorTitle="Invalid overall count" error="Overall count must be between 0 and the current implemented total." sqref="Q136" xr:uid="{00000000-0002-0000-0100-00006C000000}">
      <formula1>0</formula1>
      <formula2>C16</formula2>
    </dataValidation>
    <dataValidation type="whole" allowBlank="1" showErrorMessage="1" errorTitle="Invalid count" error="Value must be between 0 and the current implemented total." sqref="S136" xr:uid="{00000000-0002-0000-0100-00006D000000}">
      <formula1>0</formula1>
      <formula2>C52</formula2>
    </dataValidation>
    <dataValidation type="whole" allowBlank="1" showErrorMessage="1" errorTitle="Invalid count" error="Value must be between 0 and the current implemented total." sqref="U136" xr:uid="{00000000-0002-0000-0100-00006E000000}">
      <formula1>0</formula1>
      <formula2>C53</formula2>
    </dataValidation>
    <dataValidation type="whole" allowBlank="1" showErrorMessage="1" errorTitle="Invalid count" error="Value must be between 0 and the current implemented total." sqref="W136" xr:uid="{00000000-0002-0000-0100-00006F000000}">
      <formula1>0</formula1>
      <formula2>C54</formula2>
    </dataValidation>
    <dataValidation type="whole" allowBlank="1" showErrorMessage="1" errorTitle="Invalid overall count" error="Overall count must be between 0 and the current implemented total." sqref="Q137" xr:uid="{00000000-0002-0000-0100-000070000000}">
      <formula1>0</formula1>
      <formula2>C16</formula2>
    </dataValidation>
    <dataValidation type="whole" allowBlank="1" showErrorMessage="1" errorTitle="Invalid count" error="Value must be between 0 and the current implemented total." sqref="S137" xr:uid="{00000000-0002-0000-0100-000071000000}">
      <formula1>0</formula1>
      <formula2>C52</formula2>
    </dataValidation>
    <dataValidation type="whole" allowBlank="1" showErrorMessage="1" errorTitle="Invalid count" error="Value must be between 0 and the current implemented total." sqref="U137" xr:uid="{00000000-0002-0000-0100-000072000000}">
      <formula1>0</formula1>
      <formula2>C53</formula2>
    </dataValidation>
    <dataValidation type="whole" allowBlank="1" showErrorMessage="1" errorTitle="Invalid count" error="Value must be between 0 and the current implemented total." sqref="W137" xr:uid="{00000000-0002-0000-0100-000073000000}">
      <formula1>0</formula1>
      <formula2>C54</formula2>
    </dataValidation>
    <dataValidation type="whole" allowBlank="1" showErrorMessage="1" errorTitle="Invalid overall count" error="Overall count must be between 0 and the current implemented total." sqref="Q138" xr:uid="{00000000-0002-0000-0100-000074000000}">
      <formula1>0</formula1>
      <formula2>C16</formula2>
    </dataValidation>
    <dataValidation type="whole" allowBlank="1" showErrorMessage="1" errorTitle="Invalid count" error="Value must be between 0 and the current implemented total." sqref="S138" xr:uid="{00000000-0002-0000-0100-000075000000}">
      <formula1>0</formula1>
      <formula2>C52</formula2>
    </dataValidation>
    <dataValidation type="whole" allowBlank="1" showErrorMessage="1" errorTitle="Invalid count" error="Value must be between 0 and the current implemented total." sqref="U138" xr:uid="{00000000-0002-0000-0100-000076000000}">
      <formula1>0</formula1>
      <formula2>C53</formula2>
    </dataValidation>
    <dataValidation type="whole" allowBlank="1" showErrorMessage="1" errorTitle="Invalid count" error="Value must be between 0 and the current implemented total." sqref="W138" xr:uid="{00000000-0002-0000-0100-000077000000}">
      <formula1>0</formula1>
      <formula2>C54</formula2>
    </dataValidation>
    <dataValidation type="whole" allowBlank="1" showErrorMessage="1" errorTitle="Invalid Asset Count" error="Value must be between 0 and the Total Asset Numbers above." sqref="Q151" xr:uid="{00000000-0002-0000-0100-000078000000}">
      <formula1>0</formula1>
      <formula2>$P147</formula2>
    </dataValidation>
    <dataValidation type="whole" allowBlank="1" showErrorMessage="1" errorTitle="Invalid Asset Count" error="Value must be between 0 and the Total Asset Numbers above." sqref="Q152" xr:uid="{00000000-0002-0000-0100-000079000000}">
      <formula1>0</formula1>
      <formula2>$P147</formula2>
    </dataValidation>
    <dataValidation type="whole" allowBlank="1" showErrorMessage="1" errorTitle="Invalid Asset Count" error="Value must be between 0 and the Total Asset Numbers above." sqref="Q153" xr:uid="{00000000-0002-0000-0100-00007A000000}">
      <formula1>0</formula1>
      <formula2>$P147</formula2>
    </dataValidation>
    <dataValidation type="whole" allowBlank="1" showErrorMessage="1" errorTitle="Invalid Asset Count" error="Value must be between 0 and the Total Asset Numbers above." sqref="Q154" xr:uid="{00000000-0002-0000-0100-00007B000000}">
      <formula1>0</formula1>
      <formula2>$P147</formula2>
    </dataValidation>
    <dataValidation type="whole" allowBlank="1" showErrorMessage="1" errorTitle="Invalid Asset Count" error="Value must be between 0 and the Total Asset Numbers above." sqref="Q155" xr:uid="{00000000-0002-0000-0100-00007C000000}">
      <formula1>0</formula1>
      <formula2>$P147</formula2>
    </dataValidation>
    <dataValidation type="whole" allowBlank="1" showErrorMessage="1" errorTitle="Invalid Asset Count" error="Value must be between 0 and the Total Asset Numbers above." sqref="Q156" xr:uid="{00000000-0002-0000-0100-00007D000000}">
      <formula1>0</formula1>
      <formula2>$P147</formula2>
    </dataValidation>
    <dataValidation type="whole" allowBlank="1" showErrorMessage="1" errorTitle="Invalid Asset Count" error="Value must be between 0 and the Total Asset Numbers above." sqref="Q157" xr:uid="{00000000-0002-0000-0100-00007E000000}">
      <formula1>0</formula1>
      <formula2>$P147</formula2>
    </dataValidation>
    <dataValidation type="whole" allowBlank="1" showErrorMessage="1" errorTitle="Invalid Asset Count" error="Value must be between 0 and the Total Asset Numbers above." sqref="Q158" xr:uid="{00000000-0002-0000-0100-00007F000000}">
      <formula1>0</formula1>
      <formula2>$P147</formula2>
    </dataValidation>
    <dataValidation type="whole" allowBlank="1" showErrorMessage="1" errorTitle="Invalid Asset Count" error="Value must be between 0 and the Total Asset Numbers above." sqref="Q159" xr:uid="{00000000-0002-0000-0100-000080000000}">
      <formula1>0</formula1>
      <formula2>$P147</formula2>
    </dataValidation>
    <dataValidation type="whole" allowBlank="1" showErrorMessage="1" errorTitle="Invalid Asset Count" error="Value must be between 0 and the Total Asset Numbers above." sqref="Q160" xr:uid="{00000000-0002-0000-0100-000081000000}">
      <formula1>0</formula1>
      <formula2>$P147</formula2>
    </dataValidation>
    <dataValidation type="whole" allowBlank="1" showErrorMessage="1" errorTitle="Invalid Asset Count" error="Value must be between 0 and the Total Asset Numbers above." sqref="Q161" xr:uid="{00000000-0002-0000-0100-000082000000}">
      <formula1>0</formula1>
      <formula2>$P147</formula2>
    </dataValidation>
    <dataValidation type="whole" allowBlank="1" showErrorMessage="1" errorTitle="Invalid Asset Count" error="Value must be between 0 and the Total Asset Numbers above." sqref="Q162" xr:uid="{00000000-0002-0000-0100-000083000000}">
      <formula1>0</formula1>
      <formula2>$P147</formula2>
    </dataValidation>
    <dataValidation type="whole" allowBlank="1" showErrorMessage="1" errorTitle="Invalid Asset Count" error="Value must be between 0 and the Total Asset Numbers above." sqref="Q163" xr:uid="{00000000-0002-0000-0100-000084000000}">
      <formula1>0</formula1>
      <formula2>$P147</formula2>
    </dataValidation>
    <dataValidation type="whole" allowBlank="1" showErrorMessage="1" errorTitle="Invalid Asset Count" error="Value must be between 0 and the Total Asset Numbers above." sqref="Q164" xr:uid="{00000000-0002-0000-0100-000085000000}">
      <formula1>0</formula1>
      <formula2>$P147</formula2>
    </dataValidation>
    <dataValidation type="whole" allowBlank="1" showErrorMessage="1" errorTitle="Invalid Asset Count" error="Value must be between 0 and the Total Asset Numbers above." sqref="Q165" xr:uid="{00000000-0002-0000-0100-000086000000}">
      <formula1>0</formula1>
      <formula2>$P147</formula2>
    </dataValidation>
    <dataValidation type="whole" allowBlank="1" showErrorMessage="1" errorTitle="Invalid Asset Count" error="Value must be between 0 and the Total Asset Numbers above." sqref="Q166" xr:uid="{00000000-0002-0000-0100-000087000000}">
      <formula1>0</formula1>
      <formula2>$P147</formula2>
    </dataValidation>
    <dataValidation type="whole" allowBlank="1" showErrorMessage="1" errorTitle="Invalid Asset Count" error="Value must be between 0 and the Total Asset Numbers above." sqref="Q167" xr:uid="{00000000-0002-0000-0100-000088000000}">
      <formula1>0</formula1>
      <formula2>$P147</formula2>
    </dataValidation>
    <dataValidation type="whole" allowBlank="1" showErrorMessage="1" errorTitle="Invalid Asset Count" error="Value must be between 0 and the Total Asset Numbers above." sqref="Q168" xr:uid="{00000000-0002-0000-0100-000089000000}">
      <formula1>0</formula1>
      <formula2>$P147</formula2>
    </dataValidation>
    <dataValidation type="whole" allowBlank="1" showErrorMessage="1" errorTitle="Invalid Asset Count" error="Value must be between 0 and the Total Asset Numbers above." sqref="Q169" xr:uid="{00000000-0002-0000-0100-00008A000000}">
      <formula1>0</formula1>
      <formula2>$P147</formula2>
    </dataValidation>
    <dataValidation type="whole" allowBlank="1" showErrorMessage="1" errorTitle="Invalid Asset Count" error="Value must be between 0 and the Total Asset Numbers above." sqref="Q170" xr:uid="{00000000-0002-0000-0100-00008B000000}">
      <formula1>0</formula1>
      <formula2>$P147</formula2>
    </dataValidation>
  </dataValidations>
  <hyperlinks>
    <hyperlink ref="B17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7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30" customWidth="1" outlineLevel="1"/>
    <col min="2" max="2" width="12" customWidth="1"/>
    <col min="3" max="3" width="60" customWidth="1"/>
    <col min="4" max="4" width="12" customWidth="1"/>
    <col min="5" max="5" width="13" customWidth="1"/>
    <col min="6" max="6" width="10" customWidth="1"/>
    <col min="7" max="7" width="15" customWidth="1"/>
    <col min="8" max="8" width="40" customWidth="1"/>
    <col min="9" max="9" width="55" customWidth="1"/>
    <col min="10" max="10" width="55" hidden="1" customWidth="1" outlineLevel="1" collapsed="1"/>
    <col min="11" max="11" width="38" hidden="1" customWidth="1" outlineLevel="1" collapsed="1"/>
    <col min="12" max="12" width="30" hidden="1" customWidth="1" outlineLevel="1" collapsed="1"/>
    <col min="13" max="13" width="18" hidden="1" customWidth="1" outlineLevel="1" collapsed="1"/>
    <col min="14" max="14" width="14" customWidth="1"/>
  </cols>
  <sheetData>
    <row r="1" spans="1:14" ht="25" customHeight="1" x14ac:dyDescent="0.35">
      <c r="A1" s="13" t="s">
        <v>0</v>
      </c>
      <c r="B1" s="14" t="s">
        <v>1</v>
      </c>
      <c r="C1" s="14" t="s">
        <v>2</v>
      </c>
      <c r="D1" s="14" t="s">
        <v>3</v>
      </c>
      <c r="E1" s="14" t="s">
        <v>4</v>
      </c>
      <c r="F1" s="14" t="s">
        <v>5</v>
      </c>
      <c r="G1" s="14" t="s">
        <v>6</v>
      </c>
      <c r="H1" s="14" t="s">
        <v>7</v>
      </c>
      <c r="I1" s="14" t="s">
        <v>8</v>
      </c>
      <c r="J1" s="14" t="s">
        <v>9</v>
      </c>
      <c r="K1" s="14" t="s">
        <v>10</v>
      </c>
      <c r="L1" s="14" t="s">
        <v>11</v>
      </c>
      <c r="M1" s="14" t="s">
        <v>12</v>
      </c>
      <c r="N1" s="15" t="s">
        <v>13</v>
      </c>
    </row>
    <row r="2" spans="1:14" ht="60" customHeight="1" x14ac:dyDescent="0.35">
      <c r="A2" s="9" t="s">
        <v>14</v>
      </c>
      <c r="B2" s="2" t="s">
        <v>15</v>
      </c>
      <c r="C2" s="1" t="s">
        <v>16</v>
      </c>
      <c r="D2" s="3" t="s">
        <v>17</v>
      </c>
      <c r="E2" s="3" t="s">
        <v>18</v>
      </c>
      <c r="F2" s="3" t="s">
        <v>19</v>
      </c>
      <c r="G2" s="3" t="s">
        <v>20</v>
      </c>
      <c r="H2" s="4" t="s">
        <v>20</v>
      </c>
      <c r="I2" s="4" t="s">
        <v>21</v>
      </c>
      <c r="J2" s="4" t="s">
        <v>22</v>
      </c>
      <c r="K2" s="4" t="s">
        <v>23</v>
      </c>
      <c r="L2" s="4"/>
      <c r="M2" s="3" t="str">
        <f t="shared" ref="M2:M256" si="0">IF(OR(G2="Implemented",G2="Compensated"),"Resolved",IF(OR(G2="Risk Accepted",G2="N/A"),"Excluded",IF(G2="Testing","Testing","Outstanding")))</f>
        <v>Outstanding</v>
      </c>
      <c r="N2" s="11" t="s">
        <v>20</v>
      </c>
    </row>
    <row r="3" spans="1:14" ht="60" customHeight="1" x14ac:dyDescent="0.35">
      <c r="A3" s="9" t="s">
        <v>14</v>
      </c>
      <c r="B3" s="2" t="s">
        <v>24</v>
      </c>
      <c r="C3" s="1" t="s">
        <v>25</v>
      </c>
      <c r="D3" s="3" t="s">
        <v>17</v>
      </c>
      <c r="E3" s="3" t="s">
        <v>18</v>
      </c>
      <c r="F3" s="3" t="s">
        <v>19</v>
      </c>
      <c r="G3" s="3" t="s">
        <v>20</v>
      </c>
      <c r="H3" s="4" t="s">
        <v>20</v>
      </c>
      <c r="I3" s="4" t="s">
        <v>26</v>
      </c>
      <c r="J3" s="4" t="s">
        <v>27</v>
      </c>
      <c r="K3" s="4" t="s">
        <v>23</v>
      </c>
      <c r="L3" s="4"/>
      <c r="M3" s="3" t="str">
        <f t="shared" si="0"/>
        <v>Outstanding</v>
      </c>
      <c r="N3" s="11" t="s">
        <v>20</v>
      </c>
    </row>
    <row r="4" spans="1:14" ht="60" customHeight="1" x14ac:dyDescent="0.35">
      <c r="A4" s="9" t="s">
        <v>14</v>
      </c>
      <c r="B4" s="2" t="s">
        <v>28</v>
      </c>
      <c r="C4" s="1" t="s">
        <v>29</v>
      </c>
      <c r="D4" s="3" t="s">
        <v>17</v>
      </c>
      <c r="E4" s="3" t="s">
        <v>18</v>
      </c>
      <c r="F4" s="3" t="s">
        <v>19</v>
      </c>
      <c r="G4" s="3" t="s">
        <v>20</v>
      </c>
      <c r="H4" s="4" t="s">
        <v>20</v>
      </c>
      <c r="I4" s="4" t="s">
        <v>30</v>
      </c>
      <c r="J4" s="4" t="s">
        <v>31</v>
      </c>
      <c r="K4" s="4" t="s">
        <v>23</v>
      </c>
      <c r="L4" s="4"/>
      <c r="M4" s="3" t="str">
        <f t="shared" si="0"/>
        <v>Outstanding</v>
      </c>
      <c r="N4" s="11" t="s">
        <v>20</v>
      </c>
    </row>
    <row r="5" spans="1:14" ht="60" customHeight="1" x14ac:dyDescent="0.35">
      <c r="A5" s="9" t="s">
        <v>14</v>
      </c>
      <c r="B5" s="2" t="s">
        <v>32</v>
      </c>
      <c r="C5" s="1" t="s">
        <v>33</v>
      </c>
      <c r="D5" s="3" t="s">
        <v>17</v>
      </c>
      <c r="E5" s="3" t="s">
        <v>18</v>
      </c>
      <c r="F5" s="3" t="s">
        <v>19</v>
      </c>
      <c r="G5" s="3" t="s">
        <v>20</v>
      </c>
      <c r="H5" s="4" t="s">
        <v>20</v>
      </c>
      <c r="I5" s="4" t="s">
        <v>34</v>
      </c>
      <c r="J5" s="4" t="s">
        <v>35</v>
      </c>
      <c r="K5" s="4" t="s">
        <v>23</v>
      </c>
      <c r="L5" s="4"/>
      <c r="M5" s="3" t="str">
        <f t="shared" si="0"/>
        <v>Outstanding</v>
      </c>
      <c r="N5" s="11" t="s">
        <v>20</v>
      </c>
    </row>
    <row r="6" spans="1:14" ht="60" customHeight="1" x14ac:dyDescent="0.35">
      <c r="A6" s="9" t="s">
        <v>36</v>
      </c>
      <c r="B6" s="2" t="s">
        <v>37</v>
      </c>
      <c r="C6" s="1" t="s">
        <v>38</v>
      </c>
      <c r="D6" s="3" t="s">
        <v>17</v>
      </c>
      <c r="E6" s="3" t="s">
        <v>18</v>
      </c>
      <c r="F6" s="3" t="s">
        <v>19</v>
      </c>
      <c r="G6" s="3" t="s">
        <v>20</v>
      </c>
      <c r="H6" s="4" t="s">
        <v>20</v>
      </c>
      <c r="I6" s="4" t="s">
        <v>39</v>
      </c>
      <c r="J6" s="4" t="s">
        <v>40</v>
      </c>
      <c r="K6" s="4" t="s">
        <v>41</v>
      </c>
      <c r="L6" s="4"/>
      <c r="M6" s="3" t="str">
        <f t="shared" si="0"/>
        <v>Outstanding</v>
      </c>
      <c r="N6" s="11" t="s">
        <v>20</v>
      </c>
    </row>
    <row r="7" spans="1:14" ht="60" customHeight="1" x14ac:dyDescent="0.35">
      <c r="A7" s="9" t="s">
        <v>36</v>
      </c>
      <c r="B7" s="2" t="s">
        <v>42</v>
      </c>
      <c r="C7" s="1" t="s">
        <v>43</v>
      </c>
      <c r="D7" s="3" t="s">
        <v>17</v>
      </c>
      <c r="E7" s="3" t="s">
        <v>18</v>
      </c>
      <c r="F7" s="3" t="s">
        <v>19</v>
      </c>
      <c r="G7" s="3" t="s">
        <v>20</v>
      </c>
      <c r="H7" s="4" t="s">
        <v>20</v>
      </c>
      <c r="I7" s="4" t="s">
        <v>44</v>
      </c>
      <c r="J7" s="4" t="s">
        <v>45</v>
      </c>
      <c r="K7" s="4" t="s">
        <v>41</v>
      </c>
      <c r="L7" s="4"/>
      <c r="M7" s="3" t="str">
        <f t="shared" si="0"/>
        <v>Outstanding</v>
      </c>
      <c r="N7" s="11" t="s">
        <v>20</v>
      </c>
    </row>
    <row r="8" spans="1:14" ht="60" customHeight="1" x14ac:dyDescent="0.35">
      <c r="A8" s="9" t="s">
        <v>36</v>
      </c>
      <c r="B8" s="2" t="s">
        <v>46</v>
      </c>
      <c r="C8" s="1" t="s">
        <v>47</v>
      </c>
      <c r="D8" s="3" t="s">
        <v>17</v>
      </c>
      <c r="E8" s="3" t="s">
        <v>18</v>
      </c>
      <c r="F8" s="3" t="s">
        <v>19</v>
      </c>
      <c r="G8" s="3" t="s">
        <v>20</v>
      </c>
      <c r="H8" s="4" t="s">
        <v>20</v>
      </c>
      <c r="I8" s="4" t="s">
        <v>48</v>
      </c>
      <c r="J8" s="4" t="s">
        <v>49</v>
      </c>
      <c r="K8" s="4" t="s">
        <v>41</v>
      </c>
      <c r="L8" s="4"/>
      <c r="M8" s="3" t="str">
        <f t="shared" si="0"/>
        <v>Outstanding</v>
      </c>
      <c r="N8" s="11" t="s">
        <v>20</v>
      </c>
    </row>
    <row r="9" spans="1:14" ht="60" customHeight="1" x14ac:dyDescent="0.35">
      <c r="A9" s="9" t="s">
        <v>36</v>
      </c>
      <c r="B9" s="2" t="s">
        <v>50</v>
      </c>
      <c r="C9" s="1" t="s">
        <v>51</v>
      </c>
      <c r="D9" s="3" t="s">
        <v>17</v>
      </c>
      <c r="E9" s="3" t="s">
        <v>18</v>
      </c>
      <c r="F9" s="3" t="s">
        <v>19</v>
      </c>
      <c r="G9" s="3" t="s">
        <v>20</v>
      </c>
      <c r="H9" s="4" t="s">
        <v>20</v>
      </c>
      <c r="I9" s="4" t="s">
        <v>52</v>
      </c>
      <c r="J9" s="4" t="s">
        <v>53</v>
      </c>
      <c r="K9" s="4" t="s">
        <v>41</v>
      </c>
      <c r="L9" s="4"/>
      <c r="M9" s="3" t="str">
        <f t="shared" si="0"/>
        <v>Outstanding</v>
      </c>
      <c r="N9" s="11" t="s">
        <v>20</v>
      </c>
    </row>
    <row r="10" spans="1:14" ht="60" customHeight="1" x14ac:dyDescent="0.35">
      <c r="A10" s="9" t="s">
        <v>54</v>
      </c>
      <c r="B10" s="2" t="s">
        <v>55</v>
      </c>
      <c r="C10" s="1" t="s">
        <v>56</v>
      </c>
      <c r="D10" s="3" t="s">
        <v>17</v>
      </c>
      <c r="E10" s="3" t="s">
        <v>18</v>
      </c>
      <c r="F10" s="3" t="s">
        <v>19</v>
      </c>
      <c r="G10" s="3" t="s">
        <v>20</v>
      </c>
      <c r="H10" s="4" t="s">
        <v>20</v>
      </c>
      <c r="I10" s="4" t="s">
        <v>57</v>
      </c>
      <c r="J10" s="4" t="s">
        <v>58</v>
      </c>
      <c r="K10" s="4" t="s">
        <v>59</v>
      </c>
      <c r="L10" s="4"/>
      <c r="M10" s="3" t="str">
        <f t="shared" si="0"/>
        <v>Outstanding</v>
      </c>
      <c r="N10" s="11" t="s">
        <v>20</v>
      </c>
    </row>
    <row r="11" spans="1:14" ht="60" customHeight="1" x14ac:dyDescent="0.35">
      <c r="A11" s="9" t="s">
        <v>54</v>
      </c>
      <c r="B11" s="2" t="s">
        <v>60</v>
      </c>
      <c r="C11" s="1" t="s">
        <v>61</v>
      </c>
      <c r="D11" s="3" t="s">
        <v>17</v>
      </c>
      <c r="E11" s="3" t="s">
        <v>18</v>
      </c>
      <c r="F11" s="3" t="s">
        <v>19</v>
      </c>
      <c r="G11" s="3" t="s">
        <v>20</v>
      </c>
      <c r="H11" s="4" t="s">
        <v>20</v>
      </c>
      <c r="I11" s="4" t="s">
        <v>62</v>
      </c>
      <c r="J11" s="4" t="s">
        <v>63</v>
      </c>
      <c r="K11" s="4" t="s">
        <v>64</v>
      </c>
      <c r="L11" s="4"/>
      <c r="M11" s="3" t="str">
        <f t="shared" si="0"/>
        <v>Outstanding</v>
      </c>
      <c r="N11" s="11" t="s">
        <v>20</v>
      </c>
    </row>
    <row r="12" spans="1:14" ht="60" customHeight="1" x14ac:dyDescent="0.35">
      <c r="A12" s="9" t="s">
        <v>54</v>
      </c>
      <c r="B12" s="2" t="s">
        <v>65</v>
      </c>
      <c r="C12" s="1" t="s">
        <v>66</v>
      </c>
      <c r="D12" s="3" t="s">
        <v>17</v>
      </c>
      <c r="E12" s="3" t="s">
        <v>18</v>
      </c>
      <c r="F12" s="3" t="s">
        <v>19</v>
      </c>
      <c r="G12" s="3" t="s">
        <v>20</v>
      </c>
      <c r="H12" s="4" t="s">
        <v>20</v>
      </c>
      <c r="I12" s="4" t="s">
        <v>67</v>
      </c>
      <c r="J12" s="4" t="s">
        <v>68</v>
      </c>
      <c r="K12" s="4" t="s">
        <v>69</v>
      </c>
      <c r="L12" s="4"/>
      <c r="M12" s="3" t="str">
        <f t="shared" si="0"/>
        <v>Outstanding</v>
      </c>
      <c r="N12" s="11" t="s">
        <v>20</v>
      </c>
    </row>
    <row r="13" spans="1:14" ht="60" customHeight="1" x14ac:dyDescent="0.35">
      <c r="A13" s="9" t="s">
        <v>54</v>
      </c>
      <c r="B13" s="2" t="s">
        <v>70</v>
      </c>
      <c r="C13" s="1" t="s">
        <v>71</v>
      </c>
      <c r="D13" s="3" t="s">
        <v>17</v>
      </c>
      <c r="E13" s="3" t="s">
        <v>18</v>
      </c>
      <c r="F13" s="3" t="s">
        <v>19</v>
      </c>
      <c r="G13" s="3" t="s">
        <v>20</v>
      </c>
      <c r="H13" s="4" t="s">
        <v>20</v>
      </c>
      <c r="I13" s="4" t="s">
        <v>72</v>
      </c>
      <c r="J13" s="4" t="s">
        <v>73</v>
      </c>
      <c r="K13" s="4" t="s">
        <v>74</v>
      </c>
      <c r="L13" s="4"/>
      <c r="M13" s="3" t="str">
        <f t="shared" si="0"/>
        <v>Outstanding</v>
      </c>
      <c r="N13" s="11" t="s">
        <v>20</v>
      </c>
    </row>
    <row r="14" spans="1:14" ht="60" customHeight="1" x14ac:dyDescent="0.35">
      <c r="A14" s="9" t="s">
        <v>54</v>
      </c>
      <c r="B14" s="2" t="s">
        <v>75</v>
      </c>
      <c r="C14" s="1" t="s">
        <v>76</v>
      </c>
      <c r="D14" s="3" t="s">
        <v>17</v>
      </c>
      <c r="E14" s="3" t="s">
        <v>18</v>
      </c>
      <c r="F14" s="3" t="s">
        <v>19</v>
      </c>
      <c r="G14" s="3" t="s">
        <v>20</v>
      </c>
      <c r="H14" s="4" t="s">
        <v>20</v>
      </c>
      <c r="I14" s="4" t="s">
        <v>77</v>
      </c>
      <c r="J14" s="4" t="s">
        <v>78</v>
      </c>
      <c r="K14" s="4" t="s">
        <v>79</v>
      </c>
      <c r="L14" s="4"/>
      <c r="M14" s="3" t="str">
        <f t="shared" si="0"/>
        <v>Outstanding</v>
      </c>
      <c r="N14" s="11" t="s">
        <v>20</v>
      </c>
    </row>
    <row r="15" spans="1:14" ht="60" customHeight="1" x14ac:dyDescent="0.35">
      <c r="A15" s="9" t="s">
        <v>54</v>
      </c>
      <c r="B15" s="2" t="s">
        <v>80</v>
      </c>
      <c r="C15" s="1" t="s">
        <v>81</v>
      </c>
      <c r="D15" s="3" t="s">
        <v>17</v>
      </c>
      <c r="E15" s="3" t="s">
        <v>18</v>
      </c>
      <c r="F15" s="3" t="s">
        <v>19</v>
      </c>
      <c r="G15" s="3" t="s">
        <v>20</v>
      </c>
      <c r="H15" s="4" t="s">
        <v>20</v>
      </c>
      <c r="I15" s="4" t="s">
        <v>82</v>
      </c>
      <c r="J15" s="4" t="s">
        <v>83</v>
      </c>
      <c r="K15" s="4" t="s">
        <v>84</v>
      </c>
      <c r="L15" s="4"/>
      <c r="M15" s="3" t="str">
        <f t="shared" si="0"/>
        <v>Outstanding</v>
      </c>
      <c r="N15" s="11" t="s">
        <v>20</v>
      </c>
    </row>
    <row r="16" spans="1:14" ht="60" customHeight="1" x14ac:dyDescent="0.35">
      <c r="A16" s="9" t="s">
        <v>54</v>
      </c>
      <c r="B16" s="2" t="s">
        <v>85</v>
      </c>
      <c r="C16" s="1" t="s">
        <v>86</v>
      </c>
      <c r="D16" s="3" t="s">
        <v>17</v>
      </c>
      <c r="E16" s="3" t="s">
        <v>18</v>
      </c>
      <c r="F16" s="3" t="s">
        <v>19</v>
      </c>
      <c r="G16" s="3" t="s">
        <v>20</v>
      </c>
      <c r="H16" s="4" t="s">
        <v>20</v>
      </c>
      <c r="I16" s="4" t="s">
        <v>87</v>
      </c>
      <c r="J16" s="4" t="s">
        <v>88</v>
      </c>
      <c r="K16" s="4" t="s">
        <v>89</v>
      </c>
      <c r="L16" s="4"/>
      <c r="M16" s="3" t="str">
        <f t="shared" si="0"/>
        <v>Outstanding</v>
      </c>
      <c r="N16" s="11" t="s">
        <v>20</v>
      </c>
    </row>
    <row r="17" spans="1:14" ht="60" customHeight="1" x14ac:dyDescent="0.35">
      <c r="A17" s="9" t="s">
        <v>54</v>
      </c>
      <c r="B17" s="2" t="s">
        <v>90</v>
      </c>
      <c r="C17" s="1" t="s">
        <v>91</v>
      </c>
      <c r="D17" s="3" t="s">
        <v>17</v>
      </c>
      <c r="E17" s="3" t="s">
        <v>18</v>
      </c>
      <c r="F17" s="3" t="s">
        <v>19</v>
      </c>
      <c r="G17" s="3" t="s">
        <v>20</v>
      </c>
      <c r="H17" s="4" t="s">
        <v>20</v>
      </c>
      <c r="I17" s="4" t="s">
        <v>92</v>
      </c>
      <c r="J17" s="4" t="s">
        <v>93</v>
      </c>
      <c r="K17" s="4" t="s">
        <v>94</v>
      </c>
      <c r="L17" s="4"/>
      <c r="M17" s="3" t="str">
        <f t="shared" si="0"/>
        <v>Outstanding</v>
      </c>
      <c r="N17" s="11" t="s">
        <v>20</v>
      </c>
    </row>
    <row r="18" spans="1:14" ht="60" customHeight="1" x14ac:dyDescent="0.35">
      <c r="A18" s="9" t="s">
        <v>54</v>
      </c>
      <c r="B18" s="2" t="s">
        <v>95</v>
      </c>
      <c r="C18" s="1" t="s">
        <v>96</v>
      </c>
      <c r="D18" s="3" t="s">
        <v>17</v>
      </c>
      <c r="E18" s="3" t="s">
        <v>18</v>
      </c>
      <c r="F18" s="3" t="s">
        <v>19</v>
      </c>
      <c r="G18" s="3" t="s">
        <v>20</v>
      </c>
      <c r="H18" s="4" t="s">
        <v>20</v>
      </c>
      <c r="I18" s="4" t="s">
        <v>97</v>
      </c>
      <c r="J18" s="4" t="s">
        <v>98</v>
      </c>
      <c r="K18" s="4" t="s">
        <v>99</v>
      </c>
      <c r="L18" s="4"/>
      <c r="M18" s="3" t="str">
        <f t="shared" si="0"/>
        <v>Outstanding</v>
      </c>
      <c r="N18" s="11" t="s">
        <v>20</v>
      </c>
    </row>
    <row r="19" spans="1:14" ht="60" customHeight="1" x14ac:dyDescent="0.35">
      <c r="A19" s="9" t="s">
        <v>54</v>
      </c>
      <c r="B19" s="2" t="s">
        <v>100</v>
      </c>
      <c r="C19" s="1" t="s">
        <v>101</v>
      </c>
      <c r="D19" s="3" t="s">
        <v>17</v>
      </c>
      <c r="E19" s="3" t="s">
        <v>18</v>
      </c>
      <c r="F19" s="3" t="s">
        <v>19</v>
      </c>
      <c r="G19" s="3" t="s">
        <v>20</v>
      </c>
      <c r="H19" s="4" t="s">
        <v>20</v>
      </c>
      <c r="I19" s="4" t="s">
        <v>102</v>
      </c>
      <c r="J19" s="4" t="s">
        <v>103</v>
      </c>
      <c r="K19" s="4" t="s">
        <v>104</v>
      </c>
      <c r="L19" s="4"/>
      <c r="M19" s="3" t="str">
        <f t="shared" si="0"/>
        <v>Outstanding</v>
      </c>
      <c r="N19" s="11" t="s">
        <v>20</v>
      </c>
    </row>
    <row r="20" spans="1:14" ht="60" customHeight="1" x14ac:dyDescent="0.35">
      <c r="A20" s="9" t="s">
        <v>54</v>
      </c>
      <c r="B20" s="2" t="s">
        <v>105</v>
      </c>
      <c r="C20" s="1" t="s">
        <v>106</v>
      </c>
      <c r="D20" s="3" t="s">
        <v>17</v>
      </c>
      <c r="E20" s="3" t="s">
        <v>18</v>
      </c>
      <c r="F20" s="3" t="s">
        <v>19</v>
      </c>
      <c r="G20" s="3" t="s">
        <v>20</v>
      </c>
      <c r="H20" s="4" t="s">
        <v>20</v>
      </c>
      <c r="I20" s="4" t="s">
        <v>107</v>
      </c>
      <c r="J20" s="4" t="s">
        <v>108</v>
      </c>
      <c r="K20" s="4" t="s">
        <v>109</v>
      </c>
      <c r="L20" s="4"/>
      <c r="M20" s="3" t="str">
        <f t="shared" si="0"/>
        <v>Outstanding</v>
      </c>
      <c r="N20" s="11" t="s">
        <v>20</v>
      </c>
    </row>
    <row r="21" spans="1:14" ht="60" customHeight="1" x14ac:dyDescent="0.35">
      <c r="A21" s="9" t="s">
        <v>54</v>
      </c>
      <c r="B21" s="2" t="s">
        <v>110</v>
      </c>
      <c r="C21" s="1" t="s">
        <v>111</v>
      </c>
      <c r="D21" s="3" t="s">
        <v>17</v>
      </c>
      <c r="E21" s="3" t="s">
        <v>18</v>
      </c>
      <c r="F21" s="3" t="s">
        <v>19</v>
      </c>
      <c r="G21" s="3" t="s">
        <v>20</v>
      </c>
      <c r="H21" s="4" t="s">
        <v>20</v>
      </c>
      <c r="I21" s="4" t="s">
        <v>112</v>
      </c>
      <c r="J21" s="4" t="s">
        <v>113</v>
      </c>
      <c r="K21" s="4" t="s">
        <v>114</v>
      </c>
      <c r="L21" s="4"/>
      <c r="M21" s="3" t="str">
        <f t="shared" si="0"/>
        <v>Outstanding</v>
      </c>
      <c r="N21" s="11" t="s">
        <v>20</v>
      </c>
    </row>
    <row r="22" spans="1:14" ht="60" customHeight="1" x14ac:dyDescent="0.35">
      <c r="A22" s="9" t="s">
        <v>54</v>
      </c>
      <c r="B22" s="2" t="s">
        <v>115</v>
      </c>
      <c r="C22" s="1" t="s">
        <v>116</v>
      </c>
      <c r="D22" s="3" t="s">
        <v>17</v>
      </c>
      <c r="E22" s="3" t="s">
        <v>18</v>
      </c>
      <c r="F22" s="3" t="s">
        <v>19</v>
      </c>
      <c r="G22" s="3" t="s">
        <v>20</v>
      </c>
      <c r="H22" s="4" t="s">
        <v>20</v>
      </c>
      <c r="I22" s="4" t="s">
        <v>117</v>
      </c>
      <c r="J22" s="4" t="s">
        <v>118</v>
      </c>
      <c r="K22" s="4" t="s">
        <v>119</v>
      </c>
      <c r="L22" s="4"/>
      <c r="M22" s="3" t="str">
        <f t="shared" si="0"/>
        <v>Outstanding</v>
      </c>
      <c r="N22" s="11" t="s">
        <v>20</v>
      </c>
    </row>
    <row r="23" spans="1:14" ht="60" customHeight="1" x14ac:dyDescent="0.35">
      <c r="A23" s="9" t="s">
        <v>54</v>
      </c>
      <c r="B23" s="2" t="s">
        <v>120</v>
      </c>
      <c r="C23" s="1" t="s">
        <v>121</v>
      </c>
      <c r="D23" s="3" t="s">
        <v>17</v>
      </c>
      <c r="E23" s="3" t="s">
        <v>18</v>
      </c>
      <c r="F23" s="3" t="s">
        <v>19</v>
      </c>
      <c r="G23" s="3" t="s">
        <v>20</v>
      </c>
      <c r="H23" s="4" t="s">
        <v>20</v>
      </c>
      <c r="I23" s="4" t="s">
        <v>122</v>
      </c>
      <c r="J23" s="4" t="s">
        <v>123</v>
      </c>
      <c r="K23" s="4" t="s">
        <v>124</v>
      </c>
      <c r="L23" s="4"/>
      <c r="M23" s="3" t="str">
        <f t="shared" si="0"/>
        <v>Outstanding</v>
      </c>
      <c r="N23" s="11" t="s">
        <v>20</v>
      </c>
    </row>
    <row r="24" spans="1:14" ht="60" customHeight="1" x14ac:dyDescent="0.35">
      <c r="A24" s="9" t="s">
        <v>54</v>
      </c>
      <c r="B24" s="2" t="s">
        <v>125</v>
      </c>
      <c r="C24" s="1" t="s">
        <v>126</v>
      </c>
      <c r="D24" s="3" t="s">
        <v>17</v>
      </c>
      <c r="E24" s="3" t="s">
        <v>18</v>
      </c>
      <c r="F24" s="3" t="s">
        <v>19</v>
      </c>
      <c r="G24" s="3" t="s">
        <v>20</v>
      </c>
      <c r="H24" s="4" t="s">
        <v>20</v>
      </c>
      <c r="I24" s="4" t="s">
        <v>127</v>
      </c>
      <c r="J24" s="4" t="s">
        <v>128</v>
      </c>
      <c r="K24" s="4" t="s">
        <v>129</v>
      </c>
      <c r="L24" s="4"/>
      <c r="M24" s="3" t="str">
        <f t="shared" si="0"/>
        <v>Outstanding</v>
      </c>
      <c r="N24" s="11" t="s">
        <v>20</v>
      </c>
    </row>
    <row r="25" spans="1:14" ht="60" customHeight="1" x14ac:dyDescent="0.35">
      <c r="A25" s="9" t="s">
        <v>54</v>
      </c>
      <c r="B25" s="2" t="s">
        <v>130</v>
      </c>
      <c r="C25" s="1" t="s">
        <v>131</v>
      </c>
      <c r="D25" s="3" t="s">
        <v>17</v>
      </c>
      <c r="E25" s="3" t="s">
        <v>18</v>
      </c>
      <c r="F25" s="3" t="s">
        <v>19</v>
      </c>
      <c r="G25" s="3" t="s">
        <v>20</v>
      </c>
      <c r="H25" s="4" t="s">
        <v>20</v>
      </c>
      <c r="I25" s="4" t="s">
        <v>132</v>
      </c>
      <c r="J25" s="4" t="s">
        <v>133</v>
      </c>
      <c r="K25" s="4" t="s">
        <v>134</v>
      </c>
      <c r="L25" s="4"/>
      <c r="M25" s="3" t="str">
        <f t="shared" si="0"/>
        <v>Outstanding</v>
      </c>
      <c r="N25" s="11" t="s">
        <v>20</v>
      </c>
    </row>
    <row r="26" spans="1:14" ht="60" customHeight="1" x14ac:dyDescent="0.35">
      <c r="A26" s="9" t="s">
        <v>54</v>
      </c>
      <c r="B26" s="2" t="s">
        <v>135</v>
      </c>
      <c r="C26" s="1" t="s">
        <v>136</v>
      </c>
      <c r="D26" s="3" t="s">
        <v>17</v>
      </c>
      <c r="E26" s="3" t="s">
        <v>18</v>
      </c>
      <c r="F26" s="3" t="s">
        <v>19</v>
      </c>
      <c r="G26" s="3" t="s">
        <v>20</v>
      </c>
      <c r="H26" s="4" t="s">
        <v>20</v>
      </c>
      <c r="I26" s="4" t="s">
        <v>137</v>
      </c>
      <c r="J26" s="4" t="s">
        <v>138</v>
      </c>
      <c r="K26" s="4" t="s">
        <v>139</v>
      </c>
      <c r="L26" s="4"/>
      <c r="M26" s="3" t="str">
        <f t="shared" si="0"/>
        <v>Outstanding</v>
      </c>
      <c r="N26" s="11" t="s">
        <v>20</v>
      </c>
    </row>
    <row r="27" spans="1:14" ht="60" customHeight="1" x14ac:dyDescent="0.35">
      <c r="A27" s="9" t="s">
        <v>54</v>
      </c>
      <c r="B27" s="2" t="s">
        <v>140</v>
      </c>
      <c r="C27" s="1" t="s">
        <v>141</v>
      </c>
      <c r="D27" s="3" t="s">
        <v>17</v>
      </c>
      <c r="E27" s="3" t="s">
        <v>18</v>
      </c>
      <c r="F27" s="3" t="s">
        <v>19</v>
      </c>
      <c r="G27" s="3" t="s">
        <v>20</v>
      </c>
      <c r="H27" s="4" t="s">
        <v>20</v>
      </c>
      <c r="I27" s="4" t="s">
        <v>142</v>
      </c>
      <c r="J27" s="4" t="s">
        <v>143</v>
      </c>
      <c r="K27" s="4" t="s">
        <v>144</v>
      </c>
      <c r="L27" s="4"/>
      <c r="M27" s="3" t="str">
        <f t="shared" si="0"/>
        <v>Outstanding</v>
      </c>
      <c r="N27" s="11" t="s">
        <v>20</v>
      </c>
    </row>
    <row r="28" spans="1:14" ht="60" customHeight="1" x14ac:dyDescent="0.35">
      <c r="A28" s="9" t="s">
        <v>54</v>
      </c>
      <c r="B28" s="2" t="s">
        <v>145</v>
      </c>
      <c r="C28" s="1" t="s">
        <v>146</v>
      </c>
      <c r="D28" s="3" t="s">
        <v>17</v>
      </c>
      <c r="E28" s="3" t="s">
        <v>18</v>
      </c>
      <c r="F28" s="3" t="s">
        <v>19</v>
      </c>
      <c r="G28" s="3" t="s">
        <v>20</v>
      </c>
      <c r="H28" s="4" t="s">
        <v>20</v>
      </c>
      <c r="I28" s="4" t="s">
        <v>147</v>
      </c>
      <c r="J28" s="4" t="s">
        <v>148</v>
      </c>
      <c r="K28" s="4" t="s">
        <v>149</v>
      </c>
      <c r="L28" s="4"/>
      <c r="M28" s="3" t="str">
        <f t="shared" si="0"/>
        <v>Outstanding</v>
      </c>
      <c r="N28" s="11" t="s">
        <v>20</v>
      </c>
    </row>
    <row r="29" spans="1:14" ht="60" customHeight="1" x14ac:dyDescent="0.35">
      <c r="A29" s="9" t="s">
        <v>54</v>
      </c>
      <c r="B29" s="2" t="s">
        <v>150</v>
      </c>
      <c r="C29" s="1" t="s">
        <v>151</v>
      </c>
      <c r="D29" s="3" t="s">
        <v>17</v>
      </c>
      <c r="E29" s="3" t="s">
        <v>18</v>
      </c>
      <c r="F29" s="3" t="s">
        <v>19</v>
      </c>
      <c r="G29" s="3" t="s">
        <v>20</v>
      </c>
      <c r="H29" s="4" t="s">
        <v>20</v>
      </c>
      <c r="I29" s="4" t="s">
        <v>152</v>
      </c>
      <c r="J29" s="4" t="s">
        <v>153</v>
      </c>
      <c r="K29" s="4" t="s">
        <v>154</v>
      </c>
      <c r="L29" s="4"/>
      <c r="M29" s="3" t="str">
        <f t="shared" si="0"/>
        <v>Outstanding</v>
      </c>
      <c r="N29" s="11" t="s">
        <v>20</v>
      </c>
    </row>
    <row r="30" spans="1:14" ht="60" customHeight="1" x14ac:dyDescent="0.35">
      <c r="A30" s="9" t="s">
        <v>54</v>
      </c>
      <c r="B30" s="2" t="s">
        <v>155</v>
      </c>
      <c r="C30" s="1" t="s">
        <v>156</v>
      </c>
      <c r="D30" s="3" t="s">
        <v>17</v>
      </c>
      <c r="E30" s="3" t="s">
        <v>18</v>
      </c>
      <c r="F30" s="3" t="s">
        <v>19</v>
      </c>
      <c r="G30" s="3" t="s">
        <v>20</v>
      </c>
      <c r="H30" s="4" t="s">
        <v>20</v>
      </c>
      <c r="I30" s="4" t="s">
        <v>157</v>
      </c>
      <c r="J30" s="4" t="s">
        <v>158</v>
      </c>
      <c r="K30" s="4" t="s">
        <v>159</v>
      </c>
      <c r="L30" s="4"/>
      <c r="M30" s="3" t="str">
        <f t="shared" si="0"/>
        <v>Outstanding</v>
      </c>
      <c r="N30" s="11" t="s">
        <v>20</v>
      </c>
    </row>
    <row r="31" spans="1:14" ht="60" customHeight="1" x14ac:dyDescent="0.35">
      <c r="A31" s="9" t="s">
        <v>54</v>
      </c>
      <c r="B31" s="2" t="s">
        <v>160</v>
      </c>
      <c r="C31" s="1" t="s">
        <v>161</v>
      </c>
      <c r="D31" s="3" t="s">
        <v>17</v>
      </c>
      <c r="E31" s="3" t="s">
        <v>18</v>
      </c>
      <c r="F31" s="3" t="s">
        <v>19</v>
      </c>
      <c r="G31" s="3" t="s">
        <v>20</v>
      </c>
      <c r="H31" s="4" t="s">
        <v>20</v>
      </c>
      <c r="I31" s="4" t="s">
        <v>162</v>
      </c>
      <c r="J31" s="4" t="s">
        <v>163</v>
      </c>
      <c r="K31" s="4" t="s">
        <v>164</v>
      </c>
      <c r="L31" s="4"/>
      <c r="M31" s="3" t="str">
        <f t="shared" si="0"/>
        <v>Outstanding</v>
      </c>
      <c r="N31" s="11" t="s">
        <v>20</v>
      </c>
    </row>
    <row r="32" spans="1:14" ht="60" customHeight="1" x14ac:dyDescent="0.35">
      <c r="A32" s="9" t="s">
        <v>54</v>
      </c>
      <c r="B32" s="2" t="s">
        <v>165</v>
      </c>
      <c r="C32" s="1" t="s">
        <v>166</v>
      </c>
      <c r="D32" s="3" t="s">
        <v>17</v>
      </c>
      <c r="E32" s="3" t="s">
        <v>18</v>
      </c>
      <c r="F32" s="3" t="s">
        <v>19</v>
      </c>
      <c r="G32" s="3" t="s">
        <v>20</v>
      </c>
      <c r="H32" s="4" t="s">
        <v>20</v>
      </c>
      <c r="I32" s="4" t="s">
        <v>167</v>
      </c>
      <c r="J32" s="4" t="s">
        <v>168</v>
      </c>
      <c r="K32" s="4" t="s">
        <v>169</v>
      </c>
      <c r="L32" s="4"/>
      <c r="M32" s="3" t="str">
        <f t="shared" si="0"/>
        <v>Outstanding</v>
      </c>
      <c r="N32" s="11" t="s">
        <v>20</v>
      </c>
    </row>
    <row r="33" spans="1:14" ht="60" customHeight="1" x14ac:dyDescent="0.35">
      <c r="A33" s="9" t="s">
        <v>54</v>
      </c>
      <c r="B33" s="2" t="s">
        <v>170</v>
      </c>
      <c r="C33" s="1" t="s">
        <v>171</v>
      </c>
      <c r="D33" s="3" t="s">
        <v>17</v>
      </c>
      <c r="E33" s="3" t="s">
        <v>18</v>
      </c>
      <c r="F33" s="3" t="s">
        <v>19</v>
      </c>
      <c r="G33" s="3" t="s">
        <v>20</v>
      </c>
      <c r="H33" s="4" t="s">
        <v>20</v>
      </c>
      <c r="I33" s="4" t="s">
        <v>172</v>
      </c>
      <c r="J33" s="4" t="s">
        <v>173</v>
      </c>
      <c r="K33" s="4" t="s">
        <v>174</v>
      </c>
      <c r="L33" s="4"/>
      <c r="M33" s="3" t="str">
        <f t="shared" si="0"/>
        <v>Outstanding</v>
      </c>
      <c r="N33" s="11" t="s">
        <v>20</v>
      </c>
    </row>
    <row r="34" spans="1:14" ht="60" customHeight="1" x14ac:dyDescent="0.35">
      <c r="A34" s="9" t="s">
        <v>54</v>
      </c>
      <c r="B34" s="2" t="s">
        <v>175</v>
      </c>
      <c r="C34" s="1" t="s">
        <v>176</v>
      </c>
      <c r="D34" s="3" t="s">
        <v>17</v>
      </c>
      <c r="E34" s="3" t="s">
        <v>18</v>
      </c>
      <c r="F34" s="3" t="s">
        <v>19</v>
      </c>
      <c r="G34" s="3" t="s">
        <v>20</v>
      </c>
      <c r="H34" s="4" t="s">
        <v>20</v>
      </c>
      <c r="I34" s="4" t="s">
        <v>177</v>
      </c>
      <c r="J34" s="4" t="s">
        <v>178</v>
      </c>
      <c r="K34" s="4" t="s">
        <v>179</v>
      </c>
      <c r="L34" s="4"/>
      <c r="M34" s="3" t="str">
        <f t="shared" si="0"/>
        <v>Outstanding</v>
      </c>
      <c r="N34" s="11" t="s">
        <v>20</v>
      </c>
    </row>
    <row r="35" spans="1:14" ht="60" customHeight="1" x14ac:dyDescent="0.35">
      <c r="A35" s="9" t="s">
        <v>54</v>
      </c>
      <c r="B35" s="2" t="s">
        <v>180</v>
      </c>
      <c r="C35" s="1" t="s">
        <v>181</v>
      </c>
      <c r="D35" s="3" t="s">
        <v>17</v>
      </c>
      <c r="E35" s="3" t="s">
        <v>18</v>
      </c>
      <c r="F35" s="3" t="s">
        <v>19</v>
      </c>
      <c r="G35" s="3" t="s">
        <v>20</v>
      </c>
      <c r="H35" s="4" t="s">
        <v>20</v>
      </c>
      <c r="I35" s="4" t="s">
        <v>182</v>
      </c>
      <c r="J35" s="4" t="s">
        <v>183</v>
      </c>
      <c r="K35" s="4" t="s">
        <v>184</v>
      </c>
      <c r="L35" s="4"/>
      <c r="M35" s="3" t="str">
        <f t="shared" si="0"/>
        <v>Outstanding</v>
      </c>
      <c r="N35" s="11" t="s">
        <v>20</v>
      </c>
    </row>
    <row r="36" spans="1:14" ht="60" customHeight="1" x14ac:dyDescent="0.35">
      <c r="A36" s="9" t="s">
        <v>54</v>
      </c>
      <c r="B36" s="2" t="s">
        <v>185</v>
      </c>
      <c r="C36" s="1" t="s">
        <v>186</v>
      </c>
      <c r="D36" s="3" t="s">
        <v>17</v>
      </c>
      <c r="E36" s="3" t="s">
        <v>18</v>
      </c>
      <c r="F36" s="3" t="s">
        <v>19</v>
      </c>
      <c r="G36" s="3" t="s">
        <v>20</v>
      </c>
      <c r="H36" s="4" t="s">
        <v>20</v>
      </c>
      <c r="I36" s="4" t="s">
        <v>187</v>
      </c>
      <c r="J36" s="4" t="s">
        <v>188</v>
      </c>
      <c r="K36" s="4" t="s">
        <v>189</v>
      </c>
      <c r="L36" s="4"/>
      <c r="M36" s="3" t="str">
        <f t="shared" si="0"/>
        <v>Outstanding</v>
      </c>
      <c r="N36" s="11" t="s">
        <v>20</v>
      </c>
    </row>
    <row r="37" spans="1:14" ht="60" customHeight="1" x14ac:dyDescent="0.35">
      <c r="A37" s="9" t="s">
        <v>54</v>
      </c>
      <c r="B37" s="2" t="s">
        <v>190</v>
      </c>
      <c r="C37" s="1" t="s">
        <v>191</v>
      </c>
      <c r="D37" s="3" t="s">
        <v>17</v>
      </c>
      <c r="E37" s="3" t="s">
        <v>18</v>
      </c>
      <c r="F37" s="3" t="s">
        <v>19</v>
      </c>
      <c r="G37" s="3" t="s">
        <v>20</v>
      </c>
      <c r="H37" s="4" t="s">
        <v>20</v>
      </c>
      <c r="I37" s="4" t="s">
        <v>192</v>
      </c>
      <c r="J37" s="4" t="s">
        <v>193</v>
      </c>
      <c r="K37" s="4" t="s">
        <v>194</v>
      </c>
      <c r="L37" s="4"/>
      <c r="M37" s="3" t="str">
        <f t="shared" si="0"/>
        <v>Outstanding</v>
      </c>
      <c r="N37" s="11" t="s">
        <v>20</v>
      </c>
    </row>
    <row r="38" spans="1:14" ht="60" customHeight="1" x14ac:dyDescent="0.35">
      <c r="A38" s="9" t="s">
        <v>54</v>
      </c>
      <c r="B38" s="2" t="s">
        <v>195</v>
      </c>
      <c r="C38" s="1" t="s">
        <v>196</v>
      </c>
      <c r="D38" s="3" t="s">
        <v>17</v>
      </c>
      <c r="E38" s="3" t="s">
        <v>18</v>
      </c>
      <c r="F38" s="3" t="s">
        <v>19</v>
      </c>
      <c r="G38" s="3" t="s">
        <v>20</v>
      </c>
      <c r="H38" s="4" t="s">
        <v>20</v>
      </c>
      <c r="I38" s="4" t="s">
        <v>197</v>
      </c>
      <c r="J38" s="4" t="s">
        <v>198</v>
      </c>
      <c r="K38" s="4" t="s">
        <v>199</v>
      </c>
      <c r="L38" s="4"/>
      <c r="M38" s="3" t="str">
        <f t="shared" si="0"/>
        <v>Outstanding</v>
      </c>
      <c r="N38" s="11" t="s">
        <v>20</v>
      </c>
    </row>
    <row r="39" spans="1:14" ht="60" customHeight="1" x14ac:dyDescent="0.35">
      <c r="A39" s="9" t="s">
        <v>54</v>
      </c>
      <c r="B39" s="2" t="s">
        <v>200</v>
      </c>
      <c r="C39" s="1" t="s">
        <v>201</v>
      </c>
      <c r="D39" s="3" t="s">
        <v>17</v>
      </c>
      <c r="E39" s="3" t="s">
        <v>18</v>
      </c>
      <c r="F39" s="3" t="s">
        <v>19</v>
      </c>
      <c r="G39" s="3" t="s">
        <v>20</v>
      </c>
      <c r="H39" s="4" t="s">
        <v>20</v>
      </c>
      <c r="I39" s="4" t="s">
        <v>202</v>
      </c>
      <c r="J39" s="4" t="s">
        <v>203</v>
      </c>
      <c r="K39" s="4" t="s">
        <v>204</v>
      </c>
      <c r="L39" s="4"/>
      <c r="M39" s="3" t="str">
        <f t="shared" si="0"/>
        <v>Outstanding</v>
      </c>
      <c r="N39" s="11" t="s">
        <v>20</v>
      </c>
    </row>
    <row r="40" spans="1:14" ht="60" customHeight="1" x14ac:dyDescent="0.35">
      <c r="A40" s="9" t="s">
        <v>54</v>
      </c>
      <c r="B40" s="2" t="s">
        <v>205</v>
      </c>
      <c r="C40" s="1" t="s">
        <v>206</v>
      </c>
      <c r="D40" s="3" t="s">
        <v>17</v>
      </c>
      <c r="E40" s="3" t="s">
        <v>18</v>
      </c>
      <c r="F40" s="3" t="s">
        <v>19</v>
      </c>
      <c r="G40" s="3" t="s">
        <v>20</v>
      </c>
      <c r="H40" s="4" t="s">
        <v>20</v>
      </c>
      <c r="I40" s="4" t="s">
        <v>207</v>
      </c>
      <c r="J40" s="4" t="s">
        <v>208</v>
      </c>
      <c r="K40" s="4" t="s">
        <v>209</v>
      </c>
      <c r="L40" s="4"/>
      <c r="M40" s="3" t="str">
        <f t="shared" si="0"/>
        <v>Outstanding</v>
      </c>
      <c r="N40" s="11" t="s">
        <v>20</v>
      </c>
    </row>
    <row r="41" spans="1:14" ht="60" customHeight="1" x14ac:dyDescent="0.35">
      <c r="A41" s="9" t="s">
        <v>54</v>
      </c>
      <c r="B41" s="2" t="s">
        <v>210</v>
      </c>
      <c r="C41" s="1" t="s">
        <v>211</v>
      </c>
      <c r="D41" s="3" t="s">
        <v>17</v>
      </c>
      <c r="E41" s="3" t="s">
        <v>18</v>
      </c>
      <c r="F41" s="3" t="s">
        <v>19</v>
      </c>
      <c r="G41" s="3" t="s">
        <v>20</v>
      </c>
      <c r="H41" s="4" t="s">
        <v>20</v>
      </c>
      <c r="I41" s="4" t="s">
        <v>212</v>
      </c>
      <c r="J41" s="4" t="s">
        <v>213</v>
      </c>
      <c r="K41" s="4" t="s">
        <v>214</v>
      </c>
      <c r="L41" s="4"/>
      <c r="M41" s="3" t="str">
        <f t="shared" si="0"/>
        <v>Outstanding</v>
      </c>
      <c r="N41" s="11" t="s">
        <v>20</v>
      </c>
    </row>
    <row r="42" spans="1:14" ht="60" customHeight="1" x14ac:dyDescent="0.35">
      <c r="A42" s="9" t="s">
        <v>215</v>
      </c>
      <c r="B42" s="2" t="s">
        <v>216</v>
      </c>
      <c r="C42" s="1" t="s">
        <v>217</v>
      </c>
      <c r="D42" s="3" t="s">
        <v>17</v>
      </c>
      <c r="E42" s="3" t="s">
        <v>18</v>
      </c>
      <c r="F42" s="3" t="s">
        <v>19</v>
      </c>
      <c r="G42" s="3" t="s">
        <v>20</v>
      </c>
      <c r="H42" s="4" t="s">
        <v>20</v>
      </c>
      <c r="I42" s="4" t="s">
        <v>218</v>
      </c>
      <c r="J42" s="4" t="s">
        <v>219</v>
      </c>
      <c r="K42" s="4" t="s">
        <v>220</v>
      </c>
      <c r="L42" s="4"/>
      <c r="M42" s="3" t="str">
        <f t="shared" si="0"/>
        <v>Outstanding</v>
      </c>
      <c r="N42" s="11" t="s">
        <v>20</v>
      </c>
    </row>
    <row r="43" spans="1:14" ht="60" customHeight="1" x14ac:dyDescent="0.35">
      <c r="A43" s="9" t="s">
        <v>215</v>
      </c>
      <c r="B43" s="2" t="s">
        <v>221</v>
      </c>
      <c r="C43" s="1" t="s">
        <v>222</v>
      </c>
      <c r="D43" s="3" t="s">
        <v>17</v>
      </c>
      <c r="E43" s="3" t="s">
        <v>18</v>
      </c>
      <c r="F43" s="3" t="s">
        <v>19</v>
      </c>
      <c r="G43" s="3" t="s">
        <v>20</v>
      </c>
      <c r="H43" s="4" t="s">
        <v>20</v>
      </c>
      <c r="I43" s="4" t="s">
        <v>223</v>
      </c>
      <c r="J43" s="4" t="s">
        <v>224</v>
      </c>
      <c r="K43" s="4" t="s">
        <v>220</v>
      </c>
      <c r="L43" s="4"/>
      <c r="M43" s="3" t="str">
        <f t="shared" si="0"/>
        <v>Outstanding</v>
      </c>
      <c r="N43" s="11" t="s">
        <v>20</v>
      </c>
    </row>
    <row r="44" spans="1:14" ht="60" customHeight="1" x14ac:dyDescent="0.35">
      <c r="A44" s="9" t="s">
        <v>215</v>
      </c>
      <c r="B44" s="2" t="s">
        <v>225</v>
      </c>
      <c r="C44" s="1" t="s">
        <v>226</v>
      </c>
      <c r="D44" s="3" t="s">
        <v>17</v>
      </c>
      <c r="E44" s="3" t="s">
        <v>18</v>
      </c>
      <c r="F44" s="3" t="s">
        <v>19</v>
      </c>
      <c r="G44" s="3" t="s">
        <v>20</v>
      </c>
      <c r="H44" s="4" t="s">
        <v>20</v>
      </c>
      <c r="I44" s="4" t="s">
        <v>227</v>
      </c>
      <c r="J44" s="4" t="s">
        <v>228</v>
      </c>
      <c r="K44" s="4" t="s">
        <v>220</v>
      </c>
      <c r="L44" s="4"/>
      <c r="M44" s="3" t="str">
        <f t="shared" si="0"/>
        <v>Outstanding</v>
      </c>
      <c r="N44" s="11" t="s">
        <v>20</v>
      </c>
    </row>
    <row r="45" spans="1:14" ht="60" customHeight="1" x14ac:dyDescent="0.35">
      <c r="A45" s="9" t="s">
        <v>215</v>
      </c>
      <c r="B45" s="2" t="s">
        <v>229</v>
      </c>
      <c r="C45" s="1" t="s">
        <v>230</v>
      </c>
      <c r="D45" s="3" t="s">
        <v>17</v>
      </c>
      <c r="E45" s="3" t="s">
        <v>18</v>
      </c>
      <c r="F45" s="3" t="s">
        <v>19</v>
      </c>
      <c r="G45" s="3" t="s">
        <v>20</v>
      </c>
      <c r="H45" s="4" t="s">
        <v>20</v>
      </c>
      <c r="I45" s="4" t="s">
        <v>231</v>
      </c>
      <c r="J45" s="4" t="s">
        <v>232</v>
      </c>
      <c r="K45" s="4" t="s">
        <v>220</v>
      </c>
      <c r="L45" s="4"/>
      <c r="M45" s="3" t="str">
        <f t="shared" si="0"/>
        <v>Outstanding</v>
      </c>
      <c r="N45" s="11" t="s">
        <v>20</v>
      </c>
    </row>
    <row r="46" spans="1:14" ht="60" customHeight="1" x14ac:dyDescent="0.35">
      <c r="A46" s="9" t="s">
        <v>215</v>
      </c>
      <c r="B46" s="2" t="s">
        <v>233</v>
      </c>
      <c r="C46" s="1" t="s">
        <v>234</v>
      </c>
      <c r="D46" s="3" t="s">
        <v>17</v>
      </c>
      <c r="E46" s="3" t="s">
        <v>18</v>
      </c>
      <c r="F46" s="3" t="s">
        <v>19</v>
      </c>
      <c r="G46" s="3" t="s">
        <v>20</v>
      </c>
      <c r="H46" s="4" t="s">
        <v>20</v>
      </c>
      <c r="I46" s="4" t="s">
        <v>235</v>
      </c>
      <c r="J46" s="4" t="s">
        <v>236</v>
      </c>
      <c r="K46" s="4" t="s">
        <v>220</v>
      </c>
      <c r="L46" s="4"/>
      <c r="M46" s="3" t="str">
        <f t="shared" si="0"/>
        <v>Outstanding</v>
      </c>
      <c r="N46" s="11" t="s">
        <v>20</v>
      </c>
    </row>
    <row r="47" spans="1:14" ht="60" customHeight="1" x14ac:dyDescent="0.35">
      <c r="A47" s="9" t="s">
        <v>215</v>
      </c>
      <c r="B47" s="2" t="s">
        <v>237</v>
      </c>
      <c r="C47" s="1" t="s">
        <v>238</v>
      </c>
      <c r="D47" s="3" t="s">
        <v>17</v>
      </c>
      <c r="E47" s="3" t="s">
        <v>18</v>
      </c>
      <c r="F47" s="3" t="s">
        <v>19</v>
      </c>
      <c r="G47" s="3" t="s">
        <v>20</v>
      </c>
      <c r="H47" s="4" t="s">
        <v>20</v>
      </c>
      <c r="I47" s="4" t="s">
        <v>239</v>
      </c>
      <c r="J47" s="4" t="s">
        <v>240</v>
      </c>
      <c r="K47" s="4" t="s">
        <v>220</v>
      </c>
      <c r="L47" s="4"/>
      <c r="M47" s="3" t="str">
        <f t="shared" si="0"/>
        <v>Outstanding</v>
      </c>
      <c r="N47" s="11" t="s">
        <v>20</v>
      </c>
    </row>
    <row r="48" spans="1:14" ht="60" customHeight="1" x14ac:dyDescent="0.35">
      <c r="A48" s="9" t="s">
        <v>215</v>
      </c>
      <c r="B48" s="2" t="s">
        <v>241</v>
      </c>
      <c r="C48" s="1" t="s">
        <v>242</v>
      </c>
      <c r="D48" s="3" t="s">
        <v>17</v>
      </c>
      <c r="E48" s="3" t="s">
        <v>18</v>
      </c>
      <c r="F48" s="3" t="s">
        <v>19</v>
      </c>
      <c r="G48" s="3" t="s">
        <v>20</v>
      </c>
      <c r="H48" s="4" t="s">
        <v>20</v>
      </c>
      <c r="I48" s="4" t="s">
        <v>243</v>
      </c>
      <c r="J48" s="4" t="s">
        <v>244</v>
      </c>
      <c r="K48" s="4" t="s">
        <v>220</v>
      </c>
      <c r="L48" s="4"/>
      <c r="M48" s="3" t="str">
        <f t="shared" si="0"/>
        <v>Outstanding</v>
      </c>
      <c r="N48" s="11" t="s">
        <v>20</v>
      </c>
    </row>
    <row r="49" spans="1:14" ht="60" customHeight="1" x14ac:dyDescent="0.35">
      <c r="A49" s="9" t="s">
        <v>215</v>
      </c>
      <c r="B49" s="2" t="s">
        <v>245</v>
      </c>
      <c r="C49" s="1" t="s">
        <v>246</v>
      </c>
      <c r="D49" s="3" t="s">
        <v>17</v>
      </c>
      <c r="E49" s="3" t="s">
        <v>18</v>
      </c>
      <c r="F49" s="3" t="s">
        <v>19</v>
      </c>
      <c r="G49" s="3" t="s">
        <v>20</v>
      </c>
      <c r="H49" s="4" t="s">
        <v>20</v>
      </c>
      <c r="I49" s="4" t="s">
        <v>247</v>
      </c>
      <c r="J49" s="4" t="s">
        <v>248</v>
      </c>
      <c r="K49" s="4" t="s">
        <v>220</v>
      </c>
      <c r="L49" s="4"/>
      <c r="M49" s="3" t="str">
        <f t="shared" si="0"/>
        <v>Outstanding</v>
      </c>
      <c r="N49" s="11" t="s">
        <v>20</v>
      </c>
    </row>
    <row r="50" spans="1:14" ht="60" customHeight="1" x14ac:dyDescent="0.35">
      <c r="A50" s="9" t="s">
        <v>215</v>
      </c>
      <c r="B50" s="2" t="s">
        <v>249</v>
      </c>
      <c r="C50" s="1" t="s">
        <v>250</v>
      </c>
      <c r="D50" s="3" t="s">
        <v>17</v>
      </c>
      <c r="E50" s="3" t="s">
        <v>18</v>
      </c>
      <c r="F50" s="3" t="s">
        <v>19</v>
      </c>
      <c r="G50" s="3" t="s">
        <v>20</v>
      </c>
      <c r="H50" s="4" t="s">
        <v>20</v>
      </c>
      <c r="I50" s="4" t="s">
        <v>251</v>
      </c>
      <c r="J50" s="4" t="s">
        <v>252</v>
      </c>
      <c r="K50" s="4" t="s">
        <v>220</v>
      </c>
      <c r="L50" s="4"/>
      <c r="M50" s="3" t="str">
        <f t="shared" si="0"/>
        <v>Outstanding</v>
      </c>
      <c r="N50" s="11" t="s">
        <v>20</v>
      </c>
    </row>
    <row r="51" spans="1:14" ht="60" customHeight="1" x14ac:dyDescent="0.35">
      <c r="A51" s="9" t="s">
        <v>215</v>
      </c>
      <c r="B51" s="2" t="s">
        <v>253</v>
      </c>
      <c r="C51" s="1" t="s">
        <v>254</v>
      </c>
      <c r="D51" s="3" t="s">
        <v>17</v>
      </c>
      <c r="E51" s="3" t="s">
        <v>18</v>
      </c>
      <c r="F51" s="3" t="s">
        <v>19</v>
      </c>
      <c r="G51" s="3" t="s">
        <v>20</v>
      </c>
      <c r="H51" s="4" t="s">
        <v>20</v>
      </c>
      <c r="I51" s="4" t="s">
        <v>255</v>
      </c>
      <c r="J51" s="4" t="s">
        <v>256</v>
      </c>
      <c r="K51" s="4" t="s">
        <v>220</v>
      </c>
      <c r="L51" s="4"/>
      <c r="M51" s="3" t="str">
        <f t="shared" si="0"/>
        <v>Outstanding</v>
      </c>
      <c r="N51" s="11" t="s">
        <v>20</v>
      </c>
    </row>
    <row r="52" spans="1:14" ht="60" customHeight="1" x14ac:dyDescent="0.35">
      <c r="A52" s="9" t="s">
        <v>215</v>
      </c>
      <c r="B52" s="2" t="s">
        <v>257</v>
      </c>
      <c r="C52" s="1" t="s">
        <v>258</v>
      </c>
      <c r="D52" s="3" t="s">
        <v>17</v>
      </c>
      <c r="E52" s="3" t="s">
        <v>18</v>
      </c>
      <c r="F52" s="3" t="s">
        <v>19</v>
      </c>
      <c r="G52" s="3" t="s">
        <v>20</v>
      </c>
      <c r="H52" s="4" t="s">
        <v>20</v>
      </c>
      <c r="I52" s="4" t="s">
        <v>259</v>
      </c>
      <c r="J52" s="4" t="s">
        <v>260</v>
      </c>
      <c r="K52" s="4" t="s">
        <v>220</v>
      </c>
      <c r="L52" s="4"/>
      <c r="M52" s="3" t="str">
        <f t="shared" si="0"/>
        <v>Outstanding</v>
      </c>
      <c r="N52" s="11" t="s">
        <v>20</v>
      </c>
    </row>
    <row r="53" spans="1:14" ht="60" customHeight="1" x14ac:dyDescent="0.35">
      <c r="A53" s="9" t="s">
        <v>215</v>
      </c>
      <c r="B53" s="2" t="s">
        <v>261</v>
      </c>
      <c r="C53" s="1" t="s">
        <v>262</v>
      </c>
      <c r="D53" s="3" t="s">
        <v>17</v>
      </c>
      <c r="E53" s="3" t="s">
        <v>18</v>
      </c>
      <c r="F53" s="3" t="s">
        <v>19</v>
      </c>
      <c r="G53" s="3" t="s">
        <v>20</v>
      </c>
      <c r="H53" s="4" t="s">
        <v>20</v>
      </c>
      <c r="I53" s="4" t="s">
        <v>263</v>
      </c>
      <c r="J53" s="4" t="s">
        <v>264</v>
      </c>
      <c r="K53" s="4" t="s">
        <v>220</v>
      </c>
      <c r="L53" s="4"/>
      <c r="M53" s="3" t="str">
        <f t="shared" si="0"/>
        <v>Outstanding</v>
      </c>
      <c r="N53" s="11" t="s">
        <v>20</v>
      </c>
    </row>
    <row r="54" spans="1:14" ht="60" customHeight="1" x14ac:dyDescent="0.35">
      <c r="A54" s="9" t="s">
        <v>215</v>
      </c>
      <c r="B54" s="2" t="s">
        <v>265</v>
      </c>
      <c r="C54" s="1" t="s">
        <v>266</v>
      </c>
      <c r="D54" s="3" t="s">
        <v>17</v>
      </c>
      <c r="E54" s="3" t="s">
        <v>18</v>
      </c>
      <c r="F54" s="3" t="s">
        <v>19</v>
      </c>
      <c r="G54" s="3" t="s">
        <v>20</v>
      </c>
      <c r="H54" s="4" t="s">
        <v>20</v>
      </c>
      <c r="I54" s="4" t="s">
        <v>267</v>
      </c>
      <c r="J54" s="4" t="s">
        <v>268</v>
      </c>
      <c r="K54" s="4" t="s">
        <v>220</v>
      </c>
      <c r="L54" s="4"/>
      <c r="M54" s="3" t="str">
        <f t="shared" si="0"/>
        <v>Outstanding</v>
      </c>
      <c r="N54" s="11" t="s">
        <v>20</v>
      </c>
    </row>
    <row r="55" spans="1:14" ht="60" customHeight="1" x14ac:dyDescent="0.35">
      <c r="A55" s="9" t="s">
        <v>215</v>
      </c>
      <c r="B55" s="2" t="s">
        <v>269</v>
      </c>
      <c r="C55" s="1" t="s">
        <v>270</v>
      </c>
      <c r="D55" s="3" t="s">
        <v>17</v>
      </c>
      <c r="E55" s="3" t="s">
        <v>18</v>
      </c>
      <c r="F55" s="3" t="s">
        <v>19</v>
      </c>
      <c r="G55" s="3" t="s">
        <v>20</v>
      </c>
      <c r="H55" s="4" t="s">
        <v>20</v>
      </c>
      <c r="I55" s="4" t="s">
        <v>271</v>
      </c>
      <c r="J55" s="4" t="s">
        <v>272</v>
      </c>
      <c r="K55" s="4" t="s">
        <v>220</v>
      </c>
      <c r="L55" s="4"/>
      <c r="M55" s="3" t="str">
        <f t="shared" si="0"/>
        <v>Outstanding</v>
      </c>
      <c r="N55" s="11" t="s">
        <v>20</v>
      </c>
    </row>
    <row r="56" spans="1:14" ht="60" customHeight="1" x14ac:dyDescent="0.35">
      <c r="A56" s="9" t="s">
        <v>215</v>
      </c>
      <c r="B56" s="2" t="s">
        <v>273</v>
      </c>
      <c r="C56" s="1" t="s">
        <v>274</v>
      </c>
      <c r="D56" s="3" t="s">
        <v>17</v>
      </c>
      <c r="E56" s="3" t="s">
        <v>18</v>
      </c>
      <c r="F56" s="3" t="s">
        <v>19</v>
      </c>
      <c r="G56" s="3" t="s">
        <v>20</v>
      </c>
      <c r="H56" s="4" t="s">
        <v>20</v>
      </c>
      <c r="I56" s="4" t="s">
        <v>275</v>
      </c>
      <c r="J56" s="4" t="s">
        <v>276</v>
      </c>
      <c r="K56" s="4" t="s">
        <v>220</v>
      </c>
      <c r="L56" s="4"/>
      <c r="M56" s="3" t="str">
        <f t="shared" si="0"/>
        <v>Outstanding</v>
      </c>
      <c r="N56" s="11" t="s">
        <v>20</v>
      </c>
    </row>
    <row r="57" spans="1:14" ht="60" customHeight="1" x14ac:dyDescent="0.35">
      <c r="A57" s="9" t="s">
        <v>215</v>
      </c>
      <c r="B57" s="2" t="s">
        <v>277</v>
      </c>
      <c r="C57" s="1" t="s">
        <v>278</v>
      </c>
      <c r="D57" s="3" t="s">
        <v>17</v>
      </c>
      <c r="E57" s="3" t="s">
        <v>18</v>
      </c>
      <c r="F57" s="3" t="s">
        <v>19</v>
      </c>
      <c r="G57" s="3" t="s">
        <v>20</v>
      </c>
      <c r="H57" s="4" t="s">
        <v>20</v>
      </c>
      <c r="I57" s="4" t="s">
        <v>279</v>
      </c>
      <c r="J57" s="4" t="s">
        <v>280</v>
      </c>
      <c r="K57" s="4" t="s">
        <v>220</v>
      </c>
      <c r="L57" s="4"/>
      <c r="M57" s="3" t="str">
        <f t="shared" si="0"/>
        <v>Outstanding</v>
      </c>
      <c r="N57" s="11" t="s">
        <v>20</v>
      </c>
    </row>
    <row r="58" spans="1:14" ht="60" customHeight="1" x14ac:dyDescent="0.35">
      <c r="A58" s="9" t="s">
        <v>215</v>
      </c>
      <c r="B58" s="2" t="s">
        <v>281</v>
      </c>
      <c r="C58" s="1" t="s">
        <v>282</v>
      </c>
      <c r="D58" s="3" t="s">
        <v>17</v>
      </c>
      <c r="E58" s="3" t="s">
        <v>18</v>
      </c>
      <c r="F58" s="3" t="s">
        <v>19</v>
      </c>
      <c r="G58" s="3" t="s">
        <v>20</v>
      </c>
      <c r="H58" s="4" t="s">
        <v>20</v>
      </c>
      <c r="I58" s="4" t="s">
        <v>283</v>
      </c>
      <c r="J58" s="4" t="s">
        <v>284</v>
      </c>
      <c r="K58" s="4" t="s">
        <v>220</v>
      </c>
      <c r="L58" s="4"/>
      <c r="M58" s="3" t="str">
        <f t="shared" si="0"/>
        <v>Outstanding</v>
      </c>
      <c r="N58" s="11" t="s">
        <v>20</v>
      </c>
    </row>
    <row r="59" spans="1:14" ht="60" customHeight="1" x14ac:dyDescent="0.35">
      <c r="A59" s="9" t="s">
        <v>215</v>
      </c>
      <c r="B59" s="2" t="s">
        <v>285</v>
      </c>
      <c r="C59" s="1" t="s">
        <v>286</v>
      </c>
      <c r="D59" s="3" t="s">
        <v>17</v>
      </c>
      <c r="E59" s="3" t="s">
        <v>18</v>
      </c>
      <c r="F59" s="3" t="s">
        <v>19</v>
      </c>
      <c r="G59" s="3" t="s">
        <v>20</v>
      </c>
      <c r="H59" s="4" t="s">
        <v>20</v>
      </c>
      <c r="I59" s="4" t="s">
        <v>287</v>
      </c>
      <c r="J59" s="4" t="s">
        <v>288</v>
      </c>
      <c r="K59" s="4" t="s">
        <v>220</v>
      </c>
      <c r="L59" s="4"/>
      <c r="M59" s="3" t="str">
        <f t="shared" si="0"/>
        <v>Outstanding</v>
      </c>
      <c r="N59" s="11" t="s">
        <v>20</v>
      </c>
    </row>
    <row r="60" spans="1:14" ht="60" customHeight="1" x14ac:dyDescent="0.35">
      <c r="A60" s="9" t="s">
        <v>215</v>
      </c>
      <c r="B60" s="2" t="s">
        <v>289</v>
      </c>
      <c r="C60" s="1" t="s">
        <v>290</v>
      </c>
      <c r="D60" s="3" t="s">
        <v>17</v>
      </c>
      <c r="E60" s="3" t="s">
        <v>18</v>
      </c>
      <c r="F60" s="3" t="s">
        <v>19</v>
      </c>
      <c r="G60" s="3" t="s">
        <v>20</v>
      </c>
      <c r="H60" s="4" t="s">
        <v>20</v>
      </c>
      <c r="I60" s="4" t="s">
        <v>291</v>
      </c>
      <c r="J60" s="4" t="s">
        <v>292</v>
      </c>
      <c r="K60" s="4" t="s">
        <v>220</v>
      </c>
      <c r="L60" s="4"/>
      <c r="M60" s="3" t="str">
        <f t="shared" si="0"/>
        <v>Outstanding</v>
      </c>
      <c r="N60" s="11" t="s">
        <v>20</v>
      </c>
    </row>
    <row r="61" spans="1:14" ht="60" customHeight="1" x14ac:dyDescent="0.35">
      <c r="A61" s="9" t="s">
        <v>215</v>
      </c>
      <c r="B61" s="2" t="s">
        <v>293</v>
      </c>
      <c r="C61" s="1" t="s">
        <v>294</v>
      </c>
      <c r="D61" s="3" t="s">
        <v>17</v>
      </c>
      <c r="E61" s="3" t="s">
        <v>18</v>
      </c>
      <c r="F61" s="3" t="s">
        <v>19</v>
      </c>
      <c r="G61" s="3" t="s">
        <v>20</v>
      </c>
      <c r="H61" s="4" t="s">
        <v>20</v>
      </c>
      <c r="I61" s="4" t="s">
        <v>295</v>
      </c>
      <c r="J61" s="4" t="s">
        <v>296</v>
      </c>
      <c r="K61" s="4" t="s">
        <v>220</v>
      </c>
      <c r="L61" s="4"/>
      <c r="M61" s="3" t="str">
        <f t="shared" si="0"/>
        <v>Outstanding</v>
      </c>
      <c r="N61" s="11" t="s">
        <v>20</v>
      </c>
    </row>
    <row r="62" spans="1:14" ht="60" customHeight="1" x14ac:dyDescent="0.35">
      <c r="A62" s="9" t="s">
        <v>215</v>
      </c>
      <c r="B62" s="2" t="s">
        <v>297</v>
      </c>
      <c r="C62" s="1" t="s">
        <v>298</v>
      </c>
      <c r="D62" s="3" t="s">
        <v>17</v>
      </c>
      <c r="E62" s="3" t="s">
        <v>18</v>
      </c>
      <c r="F62" s="3" t="s">
        <v>19</v>
      </c>
      <c r="G62" s="3" t="s">
        <v>20</v>
      </c>
      <c r="H62" s="4" t="s">
        <v>20</v>
      </c>
      <c r="I62" s="4" t="s">
        <v>299</v>
      </c>
      <c r="J62" s="4" t="s">
        <v>300</v>
      </c>
      <c r="K62" s="4" t="s">
        <v>220</v>
      </c>
      <c r="L62" s="4"/>
      <c r="M62" s="3" t="str">
        <f t="shared" si="0"/>
        <v>Outstanding</v>
      </c>
      <c r="N62" s="11" t="s">
        <v>20</v>
      </c>
    </row>
    <row r="63" spans="1:14" ht="60" customHeight="1" x14ac:dyDescent="0.35">
      <c r="A63" s="9" t="s">
        <v>215</v>
      </c>
      <c r="B63" s="2" t="s">
        <v>301</v>
      </c>
      <c r="C63" s="1" t="s">
        <v>302</v>
      </c>
      <c r="D63" s="3" t="s">
        <v>17</v>
      </c>
      <c r="E63" s="3" t="s">
        <v>18</v>
      </c>
      <c r="F63" s="3" t="s">
        <v>19</v>
      </c>
      <c r="G63" s="3" t="s">
        <v>20</v>
      </c>
      <c r="H63" s="4" t="s">
        <v>20</v>
      </c>
      <c r="I63" s="4" t="s">
        <v>303</v>
      </c>
      <c r="J63" s="4" t="s">
        <v>304</v>
      </c>
      <c r="K63" s="4" t="s">
        <v>220</v>
      </c>
      <c r="L63" s="4"/>
      <c r="M63" s="3" t="str">
        <f t="shared" si="0"/>
        <v>Outstanding</v>
      </c>
      <c r="N63" s="11" t="s">
        <v>20</v>
      </c>
    </row>
    <row r="64" spans="1:14" ht="60" customHeight="1" x14ac:dyDescent="0.35">
      <c r="A64" s="9" t="s">
        <v>215</v>
      </c>
      <c r="B64" s="2" t="s">
        <v>305</v>
      </c>
      <c r="C64" s="1" t="s">
        <v>306</v>
      </c>
      <c r="D64" s="3" t="s">
        <v>17</v>
      </c>
      <c r="E64" s="3" t="s">
        <v>18</v>
      </c>
      <c r="F64" s="3" t="s">
        <v>19</v>
      </c>
      <c r="G64" s="3" t="s">
        <v>20</v>
      </c>
      <c r="H64" s="4" t="s">
        <v>20</v>
      </c>
      <c r="I64" s="4" t="s">
        <v>307</v>
      </c>
      <c r="J64" s="4" t="s">
        <v>308</v>
      </c>
      <c r="K64" s="4" t="s">
        <v>220</v>
      </c>
      <c r="L64" s="4"/>
      <c r="M64" s="3" t="str">
        <f t="shared" si="0"/>
        <v>Outstanding</v>
      </c>
      <c r="N64" s="11" t="s">
        <v>20</v>
      </c>
    </row>
    <row r="65" spans="1:14" ht="60" customHeight="1" x14ac:dyDescent="0.35">
      <c r="A65" s="9" t="s">
        <v>309</v>
      </c>
      <c r="B65" s="2" t="s">
        <v>310</v>
      </c>
      <c r="C65" s="1" t="s">
        <v>311</v>
      </c>
      <c r="D65" s="3" t="s">
        <v>17</v>
      </c>
      <c r="E65" s="3" t="s">
        <v>18</v>
      </c>
      <c r="F65" s="3" t="s">
        <v>19</v>
      </c>
      <c r="G65" s="3" t="s">
        <v>20</v>
      </c>
      <c r="H65" s="4" t="s">
        <v>20</v>
      </c>
      <c r="I65" s="4" t="s">
        <v>312</v>
      </c>
      <c r="J65" s="4"/>
      <c r="K65" s="4"/>
      <c r="L65" s="4"/>
      <c r="M65" s="3" t="str">
        <f t="shared" si="0"/>
        <v>Outstanding</v>
      </c>
      <c r="N65" s="11" t="s">
        <v>20</v>
      </c>
    </row>
    <row r="66" spans="1:14" ht="60" customHeight="1" x14ac:dyDescent="0.35">
      <c r="A66" s="9" t="s">
        <v>313</v>
      </c>
      <c r="B66" s="2" t="s">
        <v>314</v>
      </c>
      <c r="C66" s="1" t="s">
        <v>315</v>
      </c>
      <c r="D66" s="3" t="s">
        <v>17</v>
      </c>
      <c r="E66" s="3" t="s">
        <v>18</v>
      </c>
      <c r="F66" s="3" t="s">
        <v>19</v>
      </c>
      <c r="G66" s="3" t="s">
        <v>20</v>
      </c>
      <c r="H66" s="4" t="s">
        <v>20</v>
      </c>
      <c r="I66" s="4" t="s">
        <v>316</v>
      </c>
      <c r="J66" s="4"/>
      <c r="K66" s="4"/>
      <c r="L66" s="4"/>
      <c r="M66" s="3" t="str">
        <f t="shared" si="0"/>
        <v>Outstanding</v>
      </c>
      <c r="N66" s="11" t="s">
        <v>20</v>
      </c>
    </row>
    <row r="67" spans="1:14" ht="60" customHeight="1" x14ac:dyDescent="0.35">
      <c r="A67" s="9" t="s">
        <v>313</v>
      </c>
      <c r="B67" s="2" t="s">
        <v>317</v>
      </c>
      <c r="C67" s="1" t="s">
        <v>318</v>
      </c>
      <c r="D67" s="3" t="s">
        <v>17</v>
      </c>
      <c r="E67" s="3" t="s">
        <v>18</v>
      </c>
      <c r="F67" s="3" t="s">
        <v>19</v>
      </c>
      <c r="G67" s="3" t="s">
        <v>20</v>
      </c>
      <c r="H67" s="4" t="s">
        <v>20</v>
      </c>
      <c r="I67" s="4" t="s">
        <v>319</v>
      </c>
      <c r="J67" s="4"/>
      <c r="K67" s="4"/>
      <c r="L67" s="4"/>
      <c r="M67" s="3" t="str">
        <f t="shared" si="0"/>
        <v>Outstanding</v>
      </c>
      <c r="N67" s="11" t="s">
        <v>20</v>
      </c>
    </row>
    <row r="68" spans="1:14" ht="60" customHeight="1" x14ac:dyDescent="0.35">
      <c r="A68" s="9" t="s">
        <v>320</v>
      </c>
      <c r="B68" s="2" t="s">
        <v>321</v>
      </c>
      <c r="C68" s="1" t="s">
        <v>322</v>
      </c>
      <c r="D68" s="3" t="s">
        <v>17</v>
      </c>
      <c r="E68" s="3" t="s">
        <v>18</v>
      </c>
      <c r="F68" s="3" t="s">
        <v>19</v>
      </c>
      <c r="G68" s="3" t="s">
        <v>20</v>
      </c>
      <c r="H68" s="4" t="s">
        <v>20</v>
      </c>
      <c r="I68" s="4" t="s">
        <v>323</v>
      </c>
      <c r="J68" s="4"/>
      <c r="K68" s="4"/>
      <c r="L68" s="4"/>
      <c r="M68" s="3" t="str">
        <f t="shared" si="0"/>
        <v>Outstanding</v>
      </c>
      <c r="N68" s="11" t="s">
        <v>20</v>
      </c>
    </row>
    <row r="69" spans="1:14" ht="60" customHeight="1" x14ac:dyDescent="0.35">
      <c r="A69" s="9" t="s">
        <v>320</v>
      </c>
      <c r="B69" s="2" t="s">
        <v>324</v>
      </c>
      <c r="C69" s="1" t="s">
        <v>325</v>
      </c>
      <c r="D69" s="3" t="s">
        <v>17</v>
      </c>
      <c r="E69" s="3" t="s">
        <v>18</v>
      </c>
      <c r="F69" s="3" t="s">
        <v>19</v>
      </c>
      <c r="G69" s="3" t="s">
        <v>20</v>
      </c>
      <c r="H69" s="4" t="s">
        <v>20</v>
      </c>
      <c r="I69" s="4" t="s">
        <v>326</v>
      </c>
      <c r="J69" s="4"/>
      <c r="K69" s="4"/>
      <c r="L69" s="4"/>
      <c r="M69" s="3" t="str">
        <f t="shared" si="0"/>
        <v>Outstanding</v>
      </c>
      <c r="N69" s="11" t="s">
        <v>20</v>
      </c>
    </row>
    <row r="70" spans="1:14" ht="60" customHeight="1" x14ac:dyDescent="0.35">
      <c r="A70" s="9" t="s">
        <v>327</v>
      </c>
      <c r="B70" s="2" t="s">
        <v>328</v>
      </c>
      <c r="C70" s="1" t="s">
        <v>329</v>
      </c>
      <c r="D70" s="3" t="s">
        <v>17</v>
      </c>
      <c r="E70" s="3" t="s">
        <v>18</v>
      </c>
      <c r="F70" s="3" t="s">
        <v>19</v>
      </c>
      <c r="G70" s="3" t="s">
        <v>20</v>
      </c>
      <c r="H70" s="4" t="s">
        <v>20</v>
      </c>
      <c r="I70" s="4" t="s">
        <v>330</v>
      </c>
      <c r="J70" s="4"/>
      <c r="K70" s="4"/>
      <c r="L70" s="4"/>
      <c r="M70" s="3" t="str">
        <f t="shared" si="0"/>
        <v>Outstanding</v>
      </c>
      <c r="N70" s="11" t="s">
        <v>20</v>
      </c>
    </row>
    <row r="71" spans="1:14" ht="60" customHeight="1" x14ac:dyDescent="0.35">
      <c r="A71" s="9" t="s">
        <v>327</v>
      </c>
      <c r="B71" s="2" t="s">
        <v>331</v>
      </c>
      <c r="C71" s="1" t="s">
        <v>332</v>
      </c>
      <c r="D71" s="3" t="s">
        <v>17</v>
      </c>
      <c r="E71" s="3" t="s">
        <v>18</v>
      </c>
      <c r="F71" s="3" t="s">
        <v>19</v>
      </c>
      <c r="G71" s="3" t="s">
        <v>20</v>
      </c>
      <c r="H71" s="4" t="s">
        <v>20</v>
      </c>
      <c r="I71" s="4" t="s">
        <v>333</v>
      </c>
      <c r="J71" s="4"/>
      <c r="K71" s="4"/>
      <c r="L71" s="4"/>
      <c r="M71" s="3" t="str">
        <f t="shared" si="0"/>
        <v>Outstanding</v>
      </c>
      <c r="N71" s="11" t="s">
        <v>20</v>
      </c>
    </row>
    <row r="72" spans="1:14" ht="60" customHeight="1" x14ac:dyDescent="0.35">
      <c r="A72" s="9" t="s">
        <v>327</v>
      </c>
      <c r="B72" s="2" t="s">
        <v>334</v>
      </c>
      <c r="C72" s="1" t="s">
        <v>335</v>
      </c>
      <c r="D72" s="3" t="s">
        <v>17</v>
      </c>
      <c r="E72" s="3" t="s">
        <v>18</v>
      </c>
      <c r="F72" s="3" t="s">
        <v>19</v>
      </c>
      <c r="G72" s="3" t="s">
        <v>20</v>
      </c>
      <c r="H72" s="4" t="s">
        <v>20</v>
      </c>
      <c r="I72" s="4" t="s">
        <v>336</v>
      </c>
      <c r="J72" s="4"/>
      <c r="K72" s="4"/>
      <c r="L72" s="4"/>
      <c r="M72" s="3" t="str">
        <f t="shared" si="0"/>
        <v>Outstanding</v>
      </c>
      <c r="N72" s="11" t="s">
        <v>20</v>
      </c>
    </row>
    <row r="73" spans="1:14" ht="60" customHeight="1" x14ac:dyDescent="0.35">
      <c r="A73" s="9" t="s">
        <v>327</v>
      </c>
      <c r="B73" s="2" t="s">
        <v>337</v>
      </c>
      <c r="C73" s="1" t="s">
        <v>338</v>
      </c>
      <c r="D73" s="3" t="s">
        <v>17</v>
      </c>
      <c r="E73" s="3" t="s">
        <v>18</v>
      </c>
      <c r="F73" s="3" t="s">
        <v>19</v>
      </c>
      <c r="G73" s="3" t="s">
        <v>20</v>
      </c>
      <c r="H73" s="4" t="s">
        <v>20</v>
      </c>
      <c r="I73" s="4" t="s">
        <v>339</v>
      </c>
      <c r="J73" s="4"/>
      <c r="K73" s="4"/>
      <c r="L73" s="4"/>
      <c r="M73" s="3" t="str">
        <f t="shared" si="0"/>
        <v>Outstanding</v>
      </c>
      <c r="N73" s="11" t="s">
        <v>20</v>
      </c>
    </row>
    <row r="74" spans="1:14" ht="60" customHeight="1" x14ac:dyDescent="0.35">
      <c r="A74" s="9" t="s">
        <v>327</v>
      </c>
      <c r="B74" s="2" t="s">
        <v>340</v>
      </c>
      <c r="C74" s="1" t="s">
        <v>341</v>
      </c>
      <c r="D74" s="3" t="s">
        <v>17</v>
      </c>
      <c r="E74" s="3" t="s">
        <v>18</v>
      </c>
      <c r="F74" s="3" t="s">
        <v>19</v>
      </c>
      <c r="G74" s="3" t="s">
        <v>20</v>
      </c>
      <c r="H74" s="4" t="s">
        <v>20</v>
      </c>
      <c r="I74" s="4" t="s">
        <v>342</v>
      </c>
      <c r="J74" s="4"/>
      <c r="K74" s="4"/>
      <c r="L74" s="4"/>
      <c r="M74" s="3" t="str">
        <f t="shared" si="0"/>
        <v>Outstanding</v>
      </c>
      <c r="N74" s="11" t="s">
        <v>20</v>
      </c>
    </row>
    <row r="75" spans="1:14" ht="60" customHeight="1" x14ac:dyDescent="0.35">
      <c r="A75" s="9" t="s">
        <v>343</v>
      </c>
      <c r="B75" s="2" t="s">
        <v>344</v>
      </c>
      <c r="C75" s="1" t="s">
        <v>345</v>
      </c>
      <c r="D75" s="3" t="s">
        <v>17</v>
      </c>
      <c r="E75" s="3" t="s">
        <v>18</v>
      </c>
      <c r="F75" s="3" t="s">
        <v>19</v>
      </c>
      <c r="G75" s="3" t="s">
        <v>20</v>
      </c>
      <c r="H75" s="4" t="s">
        <v>20</v>
      </c>
      <c r="I75" s="4" t="s">
        <v>346</v>
      </c>
      <c r="J75" s="4"/>
      <c r="K75" s="4"/>
      <c r="L75" s="4"/>
      <c r="M75" s="3" t="str">
        <f t="shared" si="0"/>
        <v>Outstanding</v>
      </c>
      <c r="N75" s="11" t="s">
        <v>20</v>
      </c>
    </row>
    <row r="76" spans="1:14" ht="60" customHeight="1" x14ac:dyDescent="0.35">
      <c r="A76" s="9" t="s">
        <v>343</v>
      </c>
      <c r="B76" s="2" t="s">
        <v>347</v>
      </c>
      <c r="C76" s="1" t="s">
        <v>348</v>
      </c>
      <c r="D76" s="3" t="s">
        <v>17</v>
      </c>
      <c r="E76" s="3" t="s">
        <v>18</v>
      </c>
      <c r="F76" s="3" t="s">
        <v>19</v>
      </c>
      <c r="G76" s="3" t="s">
        <v>20</v>
      </c>
      <c r="H76" s="4" t="s">
        <v>20</v>
      </c>
      <c r="I76" s="4" t="s">
        <v>349</v>
      </c>
      <c r="J76" s="4"/>
      <c r="K76" s="4"/>
      <c r="L76" s="4"/>
      <c r="M76" s="3" t="str">
        <f t="shared" si="0"/>
        <v>Outstanding</v>
      </c>
      <c r="N76" s="11" t="s">
        <v>20</v>
      </c>
    </row>
    <row r="77" spans="1:14" ht="60" customHeight="1" x14ac:dyDescent="0.35">
      <c r="A77" s="9" t="s">
        <v>343</v>
      </c>
      <c r="B77" s="2" t="s">
        <v>350</v>
      </c>
      <c r="C77" s="1" t="s">
        <v>351</v>
      </c>
      <c r="D77" s="3" t="s">
        <v>17</v>
      </c>
      <c r="E77" s="3" t="s">
        <v>18</v>
      </c>
      <c r="F77" s="3" t="s">
        <v>19</v>
      </c>
      <c r="G77" s="3" t="s">
        <v>20</v>
      </c>
      <c r="H77" s="4" t="s">
        <v>20</v>
      </c>
      <c r="I77" s="4" t="s">
        <v>352</v>
      </c>
      <c r="J77" s="4"/>
      <c r="K77" s="4"/>
      <c r="L77" s="4"/>
      <c r="M77" s="3" t="str">
        <f t="shared" si="0"/>
        <v>Outstanding</v>
      </c>
      <c r="N77" s="11" t="s">
        <v>20</v>
      </c>
    </row>
    <row r="78" spans="1:14" ht="60" customHeight="1" x14ac:dyDescent="0.35">
      <c r="A78" s="9" t="s">
        <v>343</v>
      </c>
      <c r="B78" s="2" t="s">
        <v>353</v>
      </c>
      <c r="C78" s="1" t="s">
        <v>354</v>
      </c>
      <c r="D78" s="3" t="s">
        <v>17</v>
      </c>
      <c r="E78" s="3" t="s">
        <v>18</v>
      </c>
      <c r="F78" s="3" t="s">
        <v>19</v>
      </c>
      <c r="G78" s="3" t="s">
        <v>20</v>
      </c>
      <c r="H78" s="4" t="s">
        <v>20</v>
      </c>
      <c r="I78" s="4" t="s">
        <v>355</v>
      </c>
      <c r="J78" s="4"/>
      <c r="K78" s="4"/>
      <c r="L78" s="4"/>
      <c r="M78" s="3" t="str">
        <f t="shared" si="0"/>
        <v>Outstanding</v>
      </c>
      <c r="N78" s="11" t="s">
        <v>20</v>
      </c>
    </row>
    <row r="79" spans="1:14" ht="60" customHeight="1" x14ac:dyDescent="0.35">
      <c r="A79" s="9" t="s">
        <v>356</v>
      </c>
      <c r="B79" s="2" t="s">
        <v>357</v>
      </c>
      <c r="C79" s="1" t="s">
        <v>358</v>
      </c>
      <c r="D79" s="3" t="s">
        <v>17</v>
      </c>
      <c r="E79" s="3" t="s">
        <v>18</v>
      </c>
      <c r="F79" s="3" t="s">
        <v>19</v>
      </c>
      <c r="G79" s="3" t="s">
        <v>20</v>
      </c>
      <c r="H79" s="4" t="s">
        <v>20</v>
      </c>
      <c r="I79" s="4" t="s">
        <v>359</v>
      </c>
      <c r="J79" s="4"/>
      <c r="K79" s="4"/>
      <c r="L79" s="4"/>
      <c r="M79" s="3" t="str">
        <f t="shared" si="0"/>
        <v>Outstanding</v>
      </c>
      <c r="N79" s="11" t="s">
        <v>20</v>
      </c>
    </row>
    <row r="80" spans="1:14" ht="60" customHeight="1" x14ac:dyDescent="0.35">
      <c r="A80" s="9" t="s">
        <v>356</v>
      </c>
      <c r="B80" s="2" t="s">
        <v>360</v>
      </c>
      <c r="C80" s="1" t="s">
        <v>361</v>
      </c>
      <c r="D80" s="3" t="s">
        <v>17</v>
      </c>
      <c r="E80" s="3" t="s">
        <v>18</v>
      </c>
      <c r="F80" s="3" t="s">
        <v>19</v>
      </c>
      <c r="G80" s="3" t="s">
        <v>20</v>
      </c>
      <c r="H80" s="4" t="s">
        <v>20</v>
      </c>
      <c r="I80" s="4" t="s">
        <v>362</v>
      </c>
      <c r="J80" s="4"/>
      <c r="K80" s="4"/>
      <c r="L80" s="4"/>
      <c r="M80" s="3" t="str">
        <f t="shared" si="0"/>
        <v>Outstanding</v>
      </c>
      <c r="N80" s="11" t="s">
        <v>20</v>
      </c>
    </row>
    <row r="81" spans="1:14" ht="60" customHeight="1" x14ac:dyDescent="0.35">
      <c r="A81" s="9" t="s">
        <v>356</v>
      </c>
      <c r="B81" s="2" t="s">
        <v>363</v>
      </c>
      <c r="C81" s="1" t="s">
        <v>364</v>
      </c>
      <c r="D81" s="3" t="s">
        <v>17</v>
      </c>
      <c r="E81" s="3" t="s">
        <v>18</v>
      </c>
      <c r="F81" s="3" t="s">
        <v>19</v>
      </c>
      <c r="G81" s="3" t="s">
        <v>20</v>
      </c>
      <c r="H81" s="4" t="s">
        <v>20</v>
      </c>
      <c r="I81" s="4" t="s">
        <v>365</v>
      </c>
      <c r="J81" s="4"/>
      <c r="K81" s="4"/>
      <c r="L81" s="4"/>
      <c r="M81" s="3" t="str">
        <f t="shared" si="0"/>
        <v>Outstanding</v>
      </c>
      <c r="N81" s="11" t="s">
        <v>20</v>
      </c>
    </row>
    <row r="82" spans="1:14" ht="60" customHeight="1" x14ac:dyDescent="0.35">
      <c r="A82" s="9" t="s">
        <v>356</v>
      </c>
      <c r="B82" s="2" t="s">
        <v>366</v>
      </c>
      <c r="C82" s="1" t="s">
        <v>367</v>
      </c>
      <c r="D82" s="3" t="s">
        <v>17</v>
      </c>
      <c r="E82" s="3" t="s">
        <v>18</v>
      </c>
      <c r="F82" s="3" t="s">
        <v>19</v>
      </c>
      <c r="G82" s="3" t="s">
        <v>20</v>
      </c>
      <c r="H82" s="4" t="s">
        <v>20</v>
      </c>
      <c r="I82" s="4" t="s">
        <v>368</v>
      </c>
      <c r="J82" s="4"/>
      <c r="K82" s="4"/>
      <c r="L82" s="4"/>
      <c r="M82" s="3" t="str">
        <f t="shared" si="0"/>
        <v>Outstanding</v>
      </c>
      <c r="N82" s="11" t="s">
        <v>20</v>
      </c>
    </row>
    <row r="83" spans="1:14" ht="60" customHeight="1" x14ac:dyDescent="0.35">
      <c r="A83" s="9" t="s">
        <v>369</v>
      </c>
      <c r="B83" s="2" t="s">
        <v>370</v>
      </c>
      <c r="C83" s="1" t="s">
        <v>371</v>
      </c>
      <c r="D83" s="3" t="s">
        <v>17</v>
      </c>
      <c r="E83" s="3" t="s">
        <v>18</v>
      </c>
      <c r="F83" s="3" t="s">
        <v>19</v>
      </c>
      <c r="G83" s="3" t="s">
        <v>20</v>
      </c>
      <c r="H83" s="4" t="s">
        <v>20</v>
      </c>
      <c r="I83" s="4" t="s">
        <v>372</v>
      </c>
      <c r="J83" s="4"/>
      <c r="K83" s="4"/>
      <c r="L83" s="4"/>
      <c r="M83" s="3" t="str">
        <f t="shared" si="0"/>
        <v>Outstanding</v>
      </c>
      <c r="N83" s="11" t="s">
        <v>20</v>
      </c>
    </row>
    <row r="84" spans="1:14" ht="60" customHeight="1" x14ac:dyDescent="0.35">
      <c r="A84" s="9" t="s">
        <v>373</v>
      </c>
      <c r="B84" s="2" t="s">
        <v>374</v>
      </c>
      <c r="C84" s="1" t="s">
        <v>375</v>
      </c>
      <c r="D84" s="3" t="s">
        <v>17</v>
      </c>
      <c r="E84" s="3" t="s">
        <v>18</v>
      </c>
      <c r="F84" s="3" t="s">
        <v>19</v>
      </c>
      <c r="G84" s="3" t="s">
        <v>20</v>
      </c>
      <c r="H84" s="4" t="s">
        <v>20</v>
      </c>
      <c r="I84" s="4" t="s">
        <v>376</v>
      </c>
      <c r="J84" s="4"/>
      <c r="K84" s="4"/>
      <c r="L84" s="4"/>
      <c r="M84" s="3" t="str">
        <f t="shared" si="0"/>
        <v>Outstanding</v>
      </c>
      <c r="N84" s="11" t="s">
        <v>20</v>
      </c>
    </row>
    <row r="85" spans="1:14" ht="60" customHeight="1" x14ac:dyDescent="0.35">
      <c r="A85" s="9" t="s">
        <v>373</v>
      </c>
      <c r="B85" s="2" t="s">
        <v>377</v>
      </c>
      <c r="C85" s="1" t="s">
        <v>378</v>
      </c>
      <c r="D85" s="3" t="s">
        <v>17</v>
      </c>
      <c r="E85" s="3" t="s">
        <v>18</v>
      </c>
      <c r="F85" s="3" t="s">
        <v>19</v>
      </c>
      <c r="G85" s="3" t="s">
        <v>20</v>
      </c>
      <c r="H85" s="4" t="s">
        <v>20</v>
      </c>
      <c r="I85" s="4" t="s">
        <v>379</v>
      </c>
      <c r="J85" s="4"/>
      <c r="K85" s="4"/>
      <c r="L85" s="4"/>
      <c r="M85" s="3" t="str">
        <f t="shared" si="0"/>
        <v>Outstanding</v>
      </c>
      <c r="N85" s="11" t="s">
        <v>20</v>
      </c>
    </row>
    <row r="86" spans="1:14" ht="60" customHeight="1" x14ac:dyDescent="0.35">
      <c r="A86" s="9" t="s">
        <v>373</v>
      </c>
      <c r="B86" s="2" t="s">
        <v>380</v>
      </c>
      <c r="C86" s="1" t="s">
        <v>381</v>
      </c>
      <c r="D86" s="3" t="s">
        <v>17</v>
      </c>
      <c r="E86" s="3" t="s">
        <v>18</v>
      </c>
      <c r="F86" s="3" t="s">
        <v>19</v>
      </c>
      <c r="G86" s="3" t="s">
        <v>20</v>
      </c>
      <c r="H86" s="4" t="s">
        <v>20</v>
      </c>
      <c r="I86" s="4" t="s">
        <v>382</v>
      </c>
      <c r="J86" s="4"/>
      <c r="K86" s="4"/>
      <c r="L86" s="4"/>
      <c r="M86" s="3" t="str">
        <f t="shared" si="0"/>
        <v>Outstanding</v>
      </c>
      <c r="N86" s="11" t="s">
        <v>20</v>
      </c>
    </row>
    <row r="87" spans="1:14" ht="60" customHeight="1" x14ac:dyDescent="0.35">
      <c r="A87" s="9" t="s">
        <v>373</v>
      </c>
      <c r="B87" s="2" t="s">
        <v>383</v>
      </c>
      <c r="C87" s="1" t="s">
        <v>384</v>
      </c>
      <c r="D87" s="3" t="s">
        <v>17</v>
      </c>
      <c r="E87" s="3" t="s">
        <v>18</v>
      </c>
      <c r="F87" s="3" t="s">
        <v>19</v>
      </c>
      <c r="G87" s="3" t="s">
        <v>20</v>
      </c>
      <c r="H87" s="4" t="s">
        <v>20</v>
      </c>
      <c r="I87" s="4" t="s">
        <v>385</v>
      </c>
      <c r="J87" s="4"/>
      <c r="K87" s="4"/>
      <c r="L87" s="4"/>
      <c r="M87" s="3" t="str">
        <f t="shared" si="0"/>
        <v>Outstanding</v>
      </c>
      <c r="N87" s="11" t="s">
        <v>20</v>
      </c>
    </row>
    <row r="88" spans="1:14" ht="60" customHeight="1" x14ac:dyDescent="0.35">
      <c r="A88" s="9" t="s">
        <v>386</v>
      </c>
      <c r="B88" s="2" t="s">
        <v>387</v>
      </c>
      <c r="C88" s="1" t="s">
        <v>388</v>
      </c>
      <c r="D88" s="3" t="s">
        <v>17</v>
      </c>
      <c r="E88" s="3" t="s">
        <v>18</v>
      </c>
      <c r="F88" s="3" t="s">
        <v>19</v>
      </c>
      <c r="G88" s="3" t="s">
        <v>20</v>
      </c>
      <c r="H88" s="4" t="s">
        <v>20</v>
      </c>
      <c r="I88" s="4" t="s">
        <v>389</v>
      </c>
      <c r="J88" s="4"/>
      <c r="K88" s="4"/>
      <c r="L88" s="4"/>
      <c r="M88" s="3" t="str">
        <f t="shared" si="0"/>
        <v>Outstanding</v>
      </c>
      <c r="N88" s="11" t="s">
        <v>20</v>
      </c>
    </row>
    <row r="89" spans="1:14" ht="60" customHeight="1" x14ac:dyDescent="0.35">
      <c r="A89" s="9" t="s">
        <v>386</v>
      </c>
      <c r="B89" s="2" t="s">
        <v>390</v>
      </c>
      <c r="C89" s="1" t="s">
        <v>391</v>
      </c>
      <c r="D89" s="3" t="s">
        <v>17</v>
      </c>
      <c r="E89" s="3" t="s">
        <v>18</v>
      </c>
      <c r="F89" s="3" t="s">
        <v>19</v>
      </c>
      <c r="G89" s="3" t="s">
        <v>20</v>
      </c>
      <c r="H89" s="4" t="s">
        <v>20</v>
      </c>
      <c r="I89" s="4" t="s">
        <v>392</v>
      </c>
      <c r="J89" s="4"/>
      <c r="K89" s="4"/>
      <c r="L89" s="4"/>
      <c r="M89" s="3" t="str">
        <f t="shared" si="0"/>
        <v>Outstanding</v>
      </c>
      <c r="N89" s="11" t="s">
        <v>20</v>
      </c>
    </row>
    <row r="90" spans="1:14" ht="60" customHeight="1" x14ac:dyDescent="0.35">
      <c r="A90" s="9" t="s">
        <v>386</v>
      </c>
      <c r="B90" s="2" t="s">
        <v>393</v>
      </c>
      <c r="C90" s="1" t="s">
        <v>394</v>
      </c>
      <c r="D90" s="3" t="s">
        <v>17</v>
      </c>
      <c r="E90" s="3" t="s">
        <v>18</v>
      </c>
      <c r="F90" s="3" t="s">
        <v>19</v>
      </c>
      <c r="G90" s="3" t="s">
        <v>20</v>
      </c>
      <c r="H90" s="4" t="s">
        <v>20</v>
      </c>
      <c r="I90" s="4" t="s">
        <v>395</v>
      </c>
      <c r="J90" s="4"/>
      <c r="K90" s="4"/>
      <c r="L90" s="4"/>
      <c r="M90" s="3" t="str">
        <f t="shared" si="0"/>
        <v>Outstanding</v>
      </c>
      <c r="N90" s="11" t="s">
        <v>20</v>
      </c>
    </row>
    <row r="91" spans="1:14" ht="60" customHeight="1" x14ac:dyDescent="0.35">
      <c r="A91" s="9" t="s">
        <v>386</v>
      </c>
      <c r="B91" s="2" t="s">
        <v>396</v>
      </c>
      <c r="C91" s="1" t="s">
        <v>397</v>
      </c>
      <c r="D91" s="3" t="s">
        <v>17</v>
      </c>
      <c r="E91" s="3" t="s">
        <v>18</v>
      </c>
      <c r="F91" s="3" t="s">
        <v>19</v>
      </c>
      <c r="G91" s="3" t="s">
        <v>20</v>
      </c>
      <c r="H91" s="4" t="s">
        <v>20</v>
      </c>
      <c r="I91" s="4" t="s">
        <v>398</v>
      </c>
      <c r="J91" s="4"/>
      <c r="K91" s="4"/>
      <c r="L91" s="4"/>
      <c r="M91" s="3" t="str">
        <f t="shared" si="0"/>
        <v>Outstanding</v>
      </c>
      <c r="N91" s="11" t="s">
        <v>20</v>
      </c>
    </row>
    <row r="92" spans="1:14" ht="60" customHeight="1" x14ac:dyDescent="0.35">
      <c r="A92" s="9" t="s">
        <v>386</v>
      </c>
      <c r="B92" s="2" t="s">
        <v>399</v>
      </c>
      <c r="C92" s="1" t="s">
        <v>400</v>
      </c>
      <c r="D92" s="3" t="s">
        <v>17</v>
      </c>
      <c r="E92" s="3" t="s">
        <v>18</v>
      </c>
      <c r="F92" s="3" t="s">
        <v>19</v>
      </c>
      <c r="G92" s="3" t="s">
        <v>20</v>
      </c>
      <c r="H92" s="4" t="s">
        <v>20</v>
      </c>
      <c r="I92" s="4" t="s">
        <v>401</v>
      </c>
      <c r="J92" s="4"/>
      <c r="K92" s="4"/>
      <c r="L92" s="4"/>
      <c r="M92" s="3" t="str">
        <f t="shared" si="0"/>
        <v>Outstanding</v>
      </c>
      <c r="N92" s="11" t="s">
        <v>20</v>
      </c>
    </row>
    <row r="93" spans="1:14" ht="60" customHeight="1" x14ac:dyDescent="0.35">
      <c r="A93" s="9" t="s">
        <v>386</v>
      </c>
      <c r="B93" s="2" t="s">
        <v>402</v>
      </c>
      <c r="C93" s="1" t="s">
        <v>403</v>
      </c>
      <c r="D93" s="3" t="s">
        <v>17</v>
      </c>
      <c r="E93" s="3" t="s">
        <v>18</v>
      </c>
      <c r="F93" s="3" t="s">
        <v>19</v>
      </c>
      <c r="G93" s="3" t="s">
        <v>20</v>
      </c>
      <c r="H93" s="4" t="s">
        <v>20</v>
      </c>
      <c r="I93" s="4" t="s">
        <v>404</v>
      </c>
      <c r="J93" s="4"/>
      <c r="K93" s="4"/>
      <c r="L93" s="4"/>
      <c r="M93" s="3" t="str">
        <f t="shared" si="0"/>
        <v>Outstanding</v>
      </c>
      <c r="N93" s="11" t="s">
        <v>20</v>
      </c>
    </row>
    <row r="94" spans="1:14" ht="60" customHeight="1" x14ac:dyDescent="0.35">
      <c r="A94" s="9" t="s">
        <v>386</v>
      </c>
      <c r="B94" s="2" t="s">
        <v>405</v>
      </c>
      <c r="C94" s="1" t="s">
        <v>406</v>
      </c>
      <c r="D94" s="3" t="s">
        <v>17</v>
      </c>
      <c r="E94" s="3" t="s">
        <v>18</v>
      </c>
      <c r="F94" s="3" t="s">
        <v>19</v>
      </c>
      <c r="G94" s="3" t="s">
        <v>20</v>
      </c>
      <c r="H94" s="4" t="s">
        <v>20</v>
      </c>
      <c r="I94" s="4" t="s">
        <v>407</v>
      </c>
      <c r="J94" s="4"/>
      <c r="K94" s="4"/>
      <c r="L94" s="4"/>
      <c r="M94" s="3" t="str">
        <f t="shared" si="0"/>
        <v>Outstanding</v>
      </c>
      <c r="N94" s="11" t="s">
        <v>20</v>
      </c>
    </row>
    <row r="95" spans="1:14" ht="60" customHeight="1" x14ac:dyDescent="0.35">
      <c r="A95" s="9" t="s">
        <v>408</v>
      </c>
      <c r="B95" s="2" t="s">
        <v>409</v>
      </c>
      <c r="C95" s="1" t="s">
        <v>410</v>
      </c>
      <c r="D95" s="3" t="s">
        <v>17</v>
      </c>
      <c r="E95" s="3" t="s">
        <v>18</v>
      </c>
      <c r="F95" s="3" t="s">
        <v>19</v>
      </c>
      <c r="G95" s="3" t="s">
        <v>20</v>
      </c>
      <c r="H95" s="4" t="s">
        <v>20</v>
      </c>
      <c r="I95" s="4" t="s">
        <v>411</v>
      </c>
      <c r="J95" s="4"/>
      <c r="K95" s="4"/>
      <c r="L95" s="4"/>
      <c r="M95" s="3" t="str">
        <f t="shared" si="0"/>
        <v>Outstanding</v>
      </c>
      <c r="N95" s="11" t="s">
        <v>20</v>
      </c>
    </row>
    <row r="96" spans="1:14" ht="60" customHeight="1" x14ac:dyDescent="0.35">
      <c r="A96" s="9" t="s">
        <v>408</v>
      </c>
      <c r="B96" s="2" t="s">
        <v>412</v>
      </c>
      <c r="C96" s="1" t="s">
        <v>413</v>
      </c>
      <c r="D96" s="3" t="s">
        <v>17</v>
      </c>
      <c r="E96" s="3" t="s">
        <v>18</v>
      </c>
      <c r="F96" s="3" t="s">
        <v>19</v>
      </c>
      <c r="G96" s="3" t="s">
        <v>20</v>
      </c>
      <c r="H96" s="4" t="s">
        <v>20</v>
      </c>
      <c r="I96" s="4" t="s">
        <v>414</v>
      </c>
      <c r="J96" s="4"/>
      <c r="K96" s="4"/>
      <c r="L96" s="4"/>
      <c r="M96" s="3" t="str">
        <f t="shared" si="0"/>
        <v>Outstanding</v>
      </c>
      <c r="N96" s="11" t="s">
        <v>20</v>
      </c>
    </row>
    <row r="97" spans="1:14" ht="60" customHeight="1" x14ac:dyDescent="0.35">
      <c r="A97" s="9" t="s">
        <v>408</v>
      </c>
      <c r="B97" s="2" t="s">
        <v>415</v>
      </c>
      <c r="C97" s="1" t="s">
        <v>416</v>
      </c>
      <c r="D97" s="3" t="s">
        <v>17</v>
      </c>
      <c r="E97" s="3" t="s">
        <v>18</v>
      </c>
      <c r="F97" s="3" t="s">
        <v>19</v>
      </c>
      <c r="G97" s="3" t="s">
        <v>20</v>
      </c>
      <c r="H97" s="4" t="s">
        <v>20</v>
      </c>
      <c r="I97" s="4" t="s">
        <v>417</v>
      </c>
      <c r="J97" s="4"/>
      <c r="K97" s="4"/>
      <c r="L97" s="4"/>
      <c r="M97" s="3" t="str">
        <f t="shared" si="0"/>
        <v>Outstanding</v>
      </c>
      <c r="N97" s="11" t="s">
        <v>20</v>
      </c>
    </row>
    <row r="98" spans="1:14" ht="60" customHeight="1" x14ac:dyDescent="0.35">
      <c r="A98" s="9" t="s">
        <v>408</v>
      </c>
      <c r="B98" s="2" t="s">
        <v>418</v>
      </c>
      <c r="C98" s="1" t="s">
        <v>419</v>
      </c>
      <c r="D98" s="3" t="s">
        <v>17</v>
      </c>
      <c r="E98" s="3" t="s">
        <v>18</v>
      </c>
      <c r="F98" s="3" t="s">
        <v>19</v>
      </c>
      <c r="G98" s="3" t="s">
        <v>20</v>
      </c>
      <c r="H98" s="4" t="s">
        <v>20</v>
      </c>
      <c r="I98" s="4" t="s">
        <v>420</v>
      </c>
      <c r="J98" s="4"/>
      <c r="K98" s="4"/>
      <c r="L98" s="4"/>
      <c r="M98" s="3" t="str">
        <f t="shared" si="0"/>
        <v>Outstanding</v>
      </c>
      <c r="N98" s="11" t="s">
        <v>20</v>
      </c>
    </row>
    <row r="99" spans="1:14" ht="60" customHeight="1" x14ac:dyDescent="0.35">
      <c r="A99" s="9" t="s">
        <v>408</v>
      </c>
      <c r="B99" s="2" t="s">
        <v>421</v>
      </c>
      <c r="C99" s="1" t="s">
        <v>422</v>
      </c>
      <c r="D99" s="3" t="s">
        <v>17</v>
      </c>
      <c r="E99" s="3" t="s">
        <v>18</v>
      </c>
      <c r="F99" s="3" t="s">
        <v>19</v>
      </c>
      <c r="G99" s="3" t="s">
        <v>20</v>
      </c>
      <c r="H99" s="4" t="s">
        <v>20</v>
      </c>
      <c r="I99" s="4" t="s">
        <v>423</v>
      </c>
      <c r="J99" s="4"/>
      <c r="K99" s="4"/>
      <c r="L99" s="4"/>
      <c r="M99" s="3" t="str">
        <f t="shared" si="0"/>
        <v>Outstanding</v>
      </c>
      <c r="N99" s="11" t="s">
        <v>20</v>
      </c>
    </row>
    <row r="100" spans="1:14" ht="60" customHeight="1" x14ac:dyDescent="0.35">
      <c r="A100" s="9" t="s">
        <v>408</v>
      </c>
      <c r="B100" s="2" t="s">
        <v>424</v>
      </c>
      <c r="C100" s="1" t="s">
        <v>425</v>
      </c>
      <c r="D100" s="3" t="s">
        <v>17</v>
      </c>
      <c r="E100" s="3" t="s">
        <v>18</v>
      </c>
      <c r="F100" s="3" t="s">
        <v>19</v>
      </c>
      <c r="G100" s="3" t="s">
        <v>20</v>
      </c>
      <c r="H100" s="4" t="s">
        <v>20</v>
      </c>
      <c r="I100" s="4" t="s">
        <v>426</v>
      </c>
      <c r="J100" s="4"/>
      <c r="K100" s="4"/>
      <c r="L100" s="4"/>
      <c r="M100" s="3" t="str">
        <f t="shared" si="0"/>
        <v>Outstanding</v>
      </c>
      <c r="N100" s="11" t="s">
        <v>20</v>
      </c>
    </row>
    <row r="101" spans="1:14" ht="60" customHeight="1" x14ac:dyDescent="0.35">
      <c r="A101" s="9" t="s">
        <v>408</v>
      </c>
      <c r="B101" s="2" t="s">
        <v>427</v>
      </c>
      <c r="C101" s="1" t="s">
        <v>428</v>
      </c>
      <c r="D101" s="3" t="s">
        <v>17</v>
      </c>
      <c r="E101" s="3" t="s">
        <v>18</v>
      </c>
      <c r="F101" s="3" t="s">
        <v>19</v>
      </c>
      <c r="G101" s="3" t="s">
        <v>20</v>
      </c>
      <c r="H101" s="4" t="s">
        <v>20</v>
      </c>
      <c r="I101" s="4" t="s">
        <v>429</v>
      </c>
      <c r="J101" s="4"/>
      <c r="K101" s="4"/>
      <c r="L101" s="4"/>
      <c r="M101" s="3" t="str">
        <f t="shared" si="0"/>
        <v>Outstanding</v>
      </c>
      <c r="N101" s="11" t="s">
        <v>20</v>
      </c>
    </row>
    <row r="102" spans="1:14" ht="60" customHeight="1" x14ac:dyDescent="0.35">
      <c r="A102" s="9" t="s">
        <v>430</v>
      </c>
      <c r="B102" s="2" t="s">
        <v>431</v>
      </c>
      <c r="C102" s="1" t="s">
        <v>432</v>
      </c>
      <c r="D102" s="3" t="s">
        <v>17</v>
      </c>
      <c r="E102" s="3" t="s">
        <v>18</v>
      </c>
      <c r="F102" s="3" t="s">
        <v>19</v>
      </c>
      <c r="G102" s="3" t="s">
        <v>20</v>
      </c>
      <c r="H102" s="4" t="s">
        <v>20</v>
      </c>
      <c r="I102" s="4" t="s">
        <v>433</v>
      </c>
      <c r="J102" s="4"/>
      <c r="K102" s="4"/>
      <c r="L102" s="4"/>
      <c r="M102" s="3" t="str">
        <f t="shared" si="0"/>
        <v>Outstanding</v>
      </c>
      <c r="N102" s="11" t="s">
        <v>20</v>
      </c>
    </row>
    <row r="103" spans="1:14" ht="60" customHeight="1" x14ac:dyDescent="0.35">
      <c r="A103" s="9" t="s">
        <v>430</v>
      </c>
      <c r="B103" s="2" t="s">
        <v>434</v>
      </c>
      <c r="C103" s="1" t="s">
        <v>435</v>
      </c>
      <c r="D103" s="3" t="s">
        <v>17</v>
      </c>
      <c r="E103" s="3" t="s">
        <v>18</v>
      </c>
      <c r="F103" s="3" t="s">
        <v>19</v>
      </c>
      <c r="G103" s="3" t="s">
        <v>20</v>
      </c>
      <c r="H103" s="4" t="s">
        <v>20</v>
      </c>
      <c r="I103" s="4" t="s">
        <v>436</v>
      </c>
      <c r="J103" s="4"/>
      <c r="K103" s="4"/>
      <c r="L103" s="4"/>
      <c r="M103" s="3" t="str">
        <f t="shared" si="0"/>
        <v>Outstanding</v>
      </c>
      <c r="N103" s="11" t="s">
        <v>20</v>
      </c>
    </row>
    <row r="104" spans="1:14" ht="60" customHeight="1" x14ac:dyDescent="0.35">
      <c r="A104" s="9" t="s">
        <v>430</v>
      </c>
      <c r="B104" s="2" t="s">
        <v>437</v>
      </c>
      <c r="C104" s="1" t="s">
        <v>438</v>
      </c>
      <c r="D104" s="3" t="s">
        <v>17</v>
      </c>
      <c r="E104" s="3" t="s">
        <v>18</v>
      </c>
      <c r="F104" s="3" t="s">
        <v>19</v>
      </c>
      <c r="G104" s="3" t="s">
        <v>20</v>
      </c>
      <c r="H104" s="4" t="s">
        <v>20</v>
      </c>
      <c r="I104" s="4" t="s">
        <v>439</v>
      </c>
      <c r="J104" s="4"/>
      <c r="K104" s="4"/>
      <c r="L104" s="4"/>
      <c r="M104" s="3" t="str">
        <f t="shared" si="0"/>
        <v>Outstanding</v>
      </c>
      <c r="N104" s="11" t="s">
        <v>20</v>
      </c>
    </row>
    <row r="105" spans="1:14" ht="60" customHeight="1" x14ac:dyDescent="0.35">
      <c r="A105" s="9" t="s">
        <v>430</v>
      </c>
      <c r="B105" s="2" t="s">
        <v>440</v>
      </c>
      <c r="C105" s="1" t="s">
        <v>441</v>
      </c>
      <c r="D105" s="3" t="s">
        <v>17</v>
      </c>
      <c r="E105" s="3" t="s">
        <v>18</v>
      </c>
      <c r="F105" s="3" t="s">
        <v>19</v>
      </c>
      <c r="G105" s="3" t="s">
        <v>20</v>
      </c>
      <c r="H105" s="4" t="s">
        <v>20</v>
      </c>
      <c r="I105" s="4" t="s">
        <v>442</v>
      </c>
      <c r="J105" s="4"/>
      <c r="K105" s="4"/>
      <c r="L105" s="4"/>
      <c r="M105" s="3" t="str">
        <f t="shared" si="0"/>
        <v>Outstanding</v>
      </c>
      <c r="N105" s="11" t="s">
        <v>20</v>
      </c>
    </row>
    <row r="106" spans="1:14" ht="60" customHeight="1" x14ac:dyDescent="0.35">
      <c r="A106" s="9" t="s">
        <v>430</v>
      </c>
      <c r="B106" s="2" t="s">
        <v>443</v>
      </c>
      <c r="C106" s="1" t="s">
        <v>444</v>
      </c>
      <c r="D106" s="3" t="s">
        <v>17</v>
      </c>
      <c r="E106" s="3" t="s">
        <v>18</v>
      </c>
      <c r="F106" s="3" t="s">
        <v>19</v>
      </c>
      <c r="G106" s="3" t="s">
        <v>20</v>
      </c>
      <c r="H106" s="4" t="s">
        <v>20</v>
      </c>
      <c r="I106" s="4" t="s">
        <v>445</v>
      </c>
      <c r="J106" s="4"/>
      <c r="K106" s="4"/>
      <c r="L106" s="4"/>
      <c r="M106" s="3" t="str">
        <f t="shared" si="0"/>
        <v>Outstanding</v>
      </c>
      <c r="N106" s="11" t="s">
        <v>20</v>
      </c>
    </row>
    <row r="107" spans="1:14" ht="60" customHeight="1" x14ac:dyDescent="0.35">
      <c r="A107" s="9" t="s">
        <v>430</v>
      </c>
      <c r="B107" s="2" t="s">
        <v>446</v>
      </c>
      <c r="C107" s="1" t="s">
        <v>447</v>
      </c>
      <c r="D107" s="3" t="s">
        <v>17</v>
      </c>
      <c r="E107" s="3" t="s">
        <v>18</v>
      </c>
      <c r="F107" s="3" t="s">
        <v>19</v>
      </c>
      <c r="G107" s="3" t="s">
        <v>20</v>
      </c>
      <c r="H107" s="4" t="s">
        <v>20</v>
      </c>
      <c r="I107" s="4" t="s">
        <v>448</v>
      </c>
      <c r="J107" s="4"/>
      <c r="K107" s="4"/>
      <c r="L107" s="4"/>
      <c r="M107" s="3" t="str">
        <f t="shared" si="0"/>
        <v>Outstanding</v>
      </c>
      <c r="N107" s="11" t="s">
        <v>20</v>
      </c>
    </row>
    <row r="108" spans="1:14" ht="60" customHeight="1" x14ac:dyDescent="0.35">
      <c r="A108" s="9" t="s">
        <v>430</v>
      </c>
      <c r="B108" s="2" t="s">
        <v>449</v>
      </c>
      <c r="C108" s="1" t="s">
        <v>450</v>
      </c>
      <c r="D108" s="3" t="s">
        <v>17</v>
      </c>
      <c r="E108" s="3" t="s">
        <v>18</v>
      </c>
      <c r="F108" s="3" t="s">
        <v>19</v>
      </c>
      <c r="G108" s="3" t="s">
        <v>20</v>
      </c>
      <c r="H108" s="4" t="s">
        <v>20</v>
      </c>
      <c r="I108" s="4" t="s">
        <v>451</v>
      </c>
      <c r="J108" s="4"/>
      <c r="K108" s="4"/>
      <c r="L108" s="4"/>
      <c r="M108" s="3" t="str">
        <f t="shared" si="0"/>
        <v>Outstanding</v>
      </c>
      <c r="N108" s="11" t="s">
        <v>20</v>
      </c>
    </row>
    <row r="109" spans="1:14" ht="60" customHeight="1" x14ac:dyDescent="0.35">
      <c r="A109" s="9" t="s">
        <v>430</v>
      </c>
      <c r="B109" s="2" t="s">
        <v>452</v>
      </c>
      <c r="C109" s="1" t="s">
        <v>453</v>
      </c>
      <c r="D109" s="3" t="s">
        <v>17</v>
      </c>
      <c r="E109" s="3" t="s">
        <v>18</v>
      </c>
      <c r="F109" s="3" t="s">
        <v>19</v>
      </c>
      <c r="G109" s="3" t="s">
        <v>20</v>
      </c>
      <c r="H109" s="4" t="s">
        <v>20</v>
      </c>
      <c r="I109" s="4" t="s">
        <v>454</v>
      </c>
      <c r="J109" s="4"/>
      <c r="K109" s="4"/>
      <c r="L109" s="4"/>
      <c r="M109" s="3" t="str">
        <f t="shared" si="0"/>
        <v>Outstanding</v>
      </c>
      <c r="N109" s="11" t="s">
        <v>20</v>
      </c>
    </row>
    <row r="110" spans="1:14" ht="60" customHeight="1" x14ac:dyDescent="0.35">
      <c r="A110" s="9" t="s">
        <v>430</v>
      </c>
      <c r="B110" s="2" t="s">
        <v>455</v>
      </c>
      <c r="C110" s="1" t="s">
        <v>456</v>
      </c>
      <c r="D110" s="3" t="s">
        <v>17</v>
      </c>
      <c r="E110" s="3" t="s">
        <v>18</v>
      </c>
      <c r="F110" s="3" t="s">
        <v>19</v>
      </c>
      <c r="G110" s="3" t="s">
        <v>20</v>
      </c>
      <c r="H110" s="4" t="s">
        <v>20</v>
      </c>
      <c r="I110" s="4" t="s">
        <v>457</v>
      </c>
      <c r="J110" s="4"/>
      <c r="K110" s="4"/>
      <c r="L110" s="4"/>
      <c r="M110" s="3" t="str">
        <f t="shared" si="0"/>
        <v>Outstanding</v>
      </c>
      <c r="N110" s="11" t="s">
        <v>20</v>
      </c>
    </row>
    <row r="111" spans="1:14" ht="60" customHeight="1" x14ac:dyDescent="0.35">
      <c r="A111" s="9" t="s">
        <v>458</v>
      </c>
      <c r="B111" s="2" t="s">
        <v>459</v>
      </c>
      <c r="C111" s="1" t="s">
        <v>460</v>
      </c>
      <c r="D111" s="3" t="s">
        <v>17</v>
      </c>
      <c r="E111" s="3" t="s">
        <v>18</v>
      </c>
      <c r="F111" s="3" t="s">
        <v>19</v>
      </c>
      <c r="G111" s="3" t="s">
        <v>20</v>
      </c>
      <c r="H111" s="4" t="s">
        <v>20</v>
      </c>
      <c r="I111" s="4" t="s">
        <v>461</v>
      </c>
      <c r="J111" s="4" t="s">
        <v>462</v>
      </c>
      <c r="K111" s="4" t="s">
        <v>463</v>
      </c>
      <c r="L111" s="4" t="s">
        <v>464</v>
      </c>
      <c r="M111" s="3" t="str">
        <f t="shared" si="0"/>
        <v>Outstanding</v>
      </c>
      <c r="N111" s="11" t="s">
        <v>20</v>
      </c>
    </row>
    <row r="112" spans="1:14" ht="60" customHeight="1" x14ac:dyDescent="0.35">
      <c r="A112" s="9" t="s">
        <v>458</v>
      </c>
      <c r="B112" s="2" t="s">
        <v>465</v>
      </c>
      <c r="C112" s="1" t="s">
        <v>466</v>
      </c>
      <c r="D112" s="3" t="s">
        <v>17</v>
      </c>
      <c r="E112" s="3" t="s">
        <v>18</v>
      </c>
      <c r="F112" s="3" t="s">
        <v>19</v>
      </c>
      <c r="G112" s="3" t="s">
        <v>20</v>
      </c>
      <c r="H112" s="4" t="s">
        <v>20</v>
      </c>
      <c r="I112" s="4" t="s">
        <v>467</v>
      </c>
      <c r="J112" s="4" t="s">
        <v>468</v>
      </c>
      <c r="K112" s="4" t="s">
        <v>469</v>
      </c>
      <c r="L112" s="4" t="s">
        <v>464</v>
      </c>
      <c r="M112" s="3" t="str">
        <f t="shared" si="0"/>
        <v>Outstanding</v>
      </c>
      <c r="N112" s="11" t="s">
        <v>20</v>
      </c>
    </row>
    <row r="113" spans="1:14" ht="60" customHeight="1" x14ac:dyDescent="0.35">
      <c r="A113" s="9" t="s">
        <v>470</v>
      </c>
      <c r="B113" s="2" t="s">
        <v>471</v>
      </c>
      <c r="C113" s="1" t="s">
        <v>472</v>
      </c>
      <c r="D113" s="3" t="s">
        <v>17</v>
      </c>
      <c r="E113" s="3" t="s">
        <v>18</v>
      </c>
      <c r="F113" s="3" t="s">
        <v>19</v>
      </c>
      <c r="G113" s="3" t="s">
        <v>20</v>
      </c>
      <c r="H113" s="4" t="s">
        <v>20</v>
      </c>
      <c r="I113" s="4" t="s">
        <v>473</v>
      </c>
      <c r="J113" s="4" t="s">
        <v>474</v>
      </c>
      <c r="K113" s="4" t="s">
        <v>475</v>
      </c>
      <c r="L113" s="4" t="s">
        <v>476</v>
      </c>
      <c r="M113" s="3" t="str">
        <f t="shared" si="0"/>
        <v>Outstanding</v>
      </c>
      <c r="N113" s="11" t="s">
        <v>20</v>
      </c>
    </row>
    <row r="114" spans="1:14" ht="60" customHeight="1" x14ac:dyDescent="0.35">
      <c r="A114" s="9" t="s">
        <v>470</v>
      </c>
      <c r="B114" s="2" t="s">
        <v>477</v>
      </c>
      <c r="C114" s="1" t="s">
        <v>478</v>
      </c>
      <c r="D114" s="3" t="s">
        <v>17</v>
      </c>
      <c r="E114" s="3" t="s">
        <v>18</v>
      </c>
      <c r="F114" s="3" t="s">
        <v>19</v>
      </c>
      <c r="G114" s="3" t="s">
        <v>20</v>
      </c>
      <c r="H114" s="4" t="s">
        <v>20</v>
      </c>
      <c r="I114" s="4" t="s">
        <v>479</v>
      </c>
      <c r="J114" s="4" t="s">
        <v>480</v>
      </c>
      <c r="K114" s="4" t="s">
        <v>481</v>
      </c>
      <c r="L114" s="4" t="s">
        <v>482</v>
      </c>
      <c r="M114" s="3" t="str">
        <f t="shared" si="0"/>
        <v>Outstanding</v>
      </c>
      <c r="N114" s="11" t="s">
        <v>20</v>
      </c>
    </row>
    <row r="115" spans="1:14" ht="60" customHeight="1" x14ac:dyDescent="0.35">
      <c r="A115" s="9" t="s">
        <v>470</v>
      </c>
      <c r="B115" s="2" t="s">
        <v>483</v>
      </c>
      <c r="C115" s="1" t="s">
        <v>484</v>
      </c>
      <c r="D115" s="3" t="s">
        <v>17</v>
      </c>
      <c r="E115" s="3" t="s">
        <v>18</v>
      </c>
      <c r="F115" s="3" t="s">
        <v>19</v>
      </c>
      <c r="G115" s="3" t="s">
        <v>20</v>
      </c>
      <c r="H115" s="4" t="s">
        <v>20</v>
      </c>
      <c r="I115" s="4" t="s">
        <v>485</v>
      </c>
      <c r="J115" s="4" t="s">
        <v>486</v>
      </c>
      <c r="K115" s="4" t="s">
        <v>487</v>
      </c>
      <c r="L115" s="4" t="s">
        <v>488</v>
      </c>
      <c r="M115" s="3" t="str">
        <f t="shared" si="0"/>
        <v>Outstanding</v>
      </c>
      <c r="N115" s="11" t="s">
        <v>20</v>
      </c>
    </row>
    <row r="116" spans="1:14" ht="60" customHeight="1" x14ac:dyDescent="0.35">
      <c r="A116" s="9" t="s">
        <v>470</v>
      </c>
      <c r="B116" s="2" t="s">
        <v>489</v>
      </c>
      <c r="C116" s="1" t="s">
        <v>490</v>
      </c>
      <c r="D116" s="3" t="s">
        <v>17</v>
      </c>
      <c r="E116" s="3" t="s">
        <v>18</v>
      </c>
      <c r="F116" s="3" t="s">
        <v>19</v>
      </c>
      <c r="G116" s="3" t="s">
        <v>20</v>
      </c>
      <c r="H116" s="4" t="s">
        <v>20</v>
      </c>
      <c r="I116" s="4" t="s">
        <v>491</v>
      </c>
      <c r="J116" s="4" t="s">
        <v>492</v>
      </c>
      <c r="K116" s="4" t="s">
        <v>493</v>
      </c>
      <c r="L116" s="4" t="s">
        <v>488</v>
      </c>
      <c r="M116" s="3" t="str">
        <f t="shared" si="0"/>
        <v>Outstanding</v>
      </c>
      <c r="N116" s="11" t="s">
        <v>20</v>
      </c>
    </row>
    <row r="117" spans="1:14" ht="60" customHeight="1" x14ac:dyDescent="0.35">
      <c r="A117" s="9" t="s">
        <v>470</v>
      </c>
      <c r="B117" s="2" t="s">
        <v>494</v>
      </c>
      <c r="C117" s="1" t="s">
        <v>495</v>
      </c>
      <c r="D117" s="3" t="s">
        <v>17</v>
      </c>
      <c r="E117" s="3" t="s">
        <v>18</v>
      </c>
      <c r="F117" s="3" t="s">
        <v>19</v>
      </c>
      <c r="G117" s="3" t="s">
        <v>20</v>
      </c>
      <c r="H117" s="4" t="s">
        <v>20</v>
      </c>
      <c r="I117" s="4" t="s">
        <v>496</v>
      </c>
      <c r="J117" s="4" t="s">
        <v>497</v>
      </c>
      <c r="K117" s="4" t="s">
        <v>498</v>
      </c>
      <c r="L117" s="4" t="s">
        <v>476</v>
      </c>
      <c r="M117" s="3" t="str">
        <f t="shared" si="0"/>
        <v>Outstanding</v>
      </c>
      <c r="N117" s="11" t="s">
        <v>20</v>
      </c>
    </row>
    <row r="118" spans="1:14" ht="60" customHeight="1" x14ac:dyDescent="0.35">
      <c r="A118" s="9" t="s">
        <v>470</v>
      </c>
      <c r="B118" s="2" t="s">
        <v>499</v>
      </c>
      <c r="C118" s="1" t="s">
        <v>500</v>
      </c>
      <c r="D118" s="3" t="s">
        <v>17</v>
      </c>
      <c r="E118" s="3" t="s">
        <v>18</v>
      </c>
      <c r="F118" s="3" t="s">
        <v>19</v>
      </c>
      <c r="G118" s="3" t="s">
        <v>20</v>
      </c>
      <c r="H118" s="4" t="s">
        <v>20</v>
      </c>
      <c r="I118" s="4" t="s">
        <v>501</v>
      </c>
      <c r="J118" s="4" t="s">
        <v>502</v>
      </c>
      <c r="K118" s="4" t="s">
        <v>503</v>
      </c>
      <c r="L118" s="4" t="s">
        <v>464</v>
      </c>
      <c r="M118" s="3" t="str">
        <f t="shared" si="0"/>
        <v>Outstanding</v>
      </c>
      <c r="N118" s="11" t="s">
        <v>20</v>
      </c>
    </row>
    <row r="119" spans="1:14" ht="60" customHeight="1" x14ac:dyDescent="0.35">
      <c r="A119" s="9" t="s">
        <v>470</v>
      </c>
      <c r="B119" s="2" t="s">
        <v>504</v>
      </c>
      <c r="C119" s="1" t="s">
        <v>505</v>
      </c>
      <c r="D119" s="3" t="s">
        <v>17</v>
      </c>
      <c r="E119" s="3" t="s">
        <v>18</v>
      </c>
      <c r="F119" s="3" t="s">
        <v>19</v>
      </c>
      <c r="G119" s="3" t="s">
        <v>20</v>
      </c>
      <c r="H119" s="4" t="s">
        <v>20</v>
      </c>
      <c r="I119" s="4" t="s">
        <v>506</v>
      </c>
      <c r="J119" s="4" t="s">
        <v>507</v>
      </c>
      <c r="K119" s="4" t="s">
        <v>508</v>
      </c>
      <c r="L119" s="4" t="s">
        <v>488</v>
      </c>
      <c r="M119" s="3" t="str">
        <f t="shared" si="0"/>
        <v>Outstanding</v>
      </c>
      <c r="N119" s="11" t="s">
        <v>20</v>
      </c>
    </row>
    <row r="120" spans="1:14" ht="60" customHeight="1" x14ac:dyDescent="0.35">
      <c r="A120" s="9" t="s">
        <v>470</v>
      </c>
      <c r="B120" s="2" t="s">
        <v>509</v>
      </c>
      <c r="C120" s="1" t="s">
        <v>510</v>
      </c>
      <c r="D120" s="3" t="s">
        <v>17</v>
      </c>
      <c r="E120" s="3" t="s">
        <v>18</v>
      </c>
      <c r="F120" s="3" t="s">
        <v>19</v>
      </c>
      <c r="G120" s="3" t="s">
        <v>20</v>
      </c>
      <c r="H120" s="4" t="s">
        <v>20</v>
      </c>
      <c r="I120" s="4" t="s">
        <v>511</v>
      </c>
      <c r="J120" s="4" t="s">
        <v>512</v>
      </c>
      <c r="K120" s="4" t="s">
        <v>513</v>
      </c>
      <c r="L120" s="4" t="s">
        <v>488</v>
      </c>
      <c r="M120" s="3" t="str">
        <f t="shared" si="0"/>
        <v>Outstanding</v>
      </c>
      <c r="N120" s="11" t="s">
        <v>20</v>
      </c>
    </row>
    <row r="121" spans="1:14" ht="60" customHeight="1" x14ac:dyDescent="0.35">
      <c r="A121" s="9" t="s">
        <v>514</v>
      </c>
      <c r="B121" s="2" t="s">
        <v>515</v>
      </c>
      <c r="C121" s="1" t="s">
        <v>516</v>
      </c>
      <c r="D121" s="3" t="s">
        <v>17</v>
      </c>
      <c r="E121" s="3" t="s">
        <v>18</v>
      </c>
      <c r="F121" s="3" t="s">
        <v>19</v>
      </c>
      <c r="G121" s="3" t="s">
        <v>20</v>
      </c>
      <c r="H121" s="4" t="s">
        <v>20</v>
      </c>
      <c r="I121" s="4" t="s">
        <v>517</v>
      </c>
      <c r="J121" s="4" t="s">
        <v>518</v>
      </c>
      <c r="K121" s="4" t="s">
        <v>519</v>
      </c>
      <c r="L121" s="4" t="s">
        <v>476</v>
      </c>
      <c r="M121" s="3" t="str">
        <f t="shared" si="0"/>
        <v>Outstanding</v>
      </c>
      <c r="N121" s="11" t="s">
        <v>20</v>
      </c>
    </row>
    <row r="122" spans="1:14" ht="60" customHeight="1" x14ac:dyDescent="0.35">
      <c r="A122" s="9" t="s">
        <v>514</v>
      </c>
      <c r="B122" s="2" t="s">
        <v>520</v>
      </c>
      <c r="C122" s="1" t="s">
        <v>521</v>
      </c>
      <c r="D122" s="3" t="s">
        <v>17</v>
      </c>
      <c r="E122" s="3" t="s">
        <v>18</v>
      </c>
      <c r="F122" s="3" t="s">
        <v>19</v>
      </c>
      <c r="G122" s="3" t="s">
        <v>20</v>
      </c>
      <c r="H122" s="4" t="s">
        <v>20</v>
      </c>
      <c r="I122" s="4" t="s">
        <v>522</v>
      </c>
      <c r="J122" s="4" t="s">
        <v>523</v>
      </c>
      <c r="K122" s="4" t="s">
        <v>524</v>
      </c>
      <c r="L122" s="4" t="s">
        <v>476</v>
      </c>
      <c r="M122" s="3" t="str">
        <f t="shared" si="0"/>
        <v>Outstanding</v>
      </c>
      <c r="N122" s="11" t="s">
        <v>20</v>
      </c>
    </row>
    <row r="123" spans="1:14" ht="60" customHeight="1" x14ac:dyDescent="0.35">
      <c r="A123" s="9" t="s">
        <v>514</v>
      </c>
      <c r="B123" s="2" t="s">
        <v>525</v>
      </c>
      <c r="C123" s="1" t="s">
        <v>526</v>
      </c>
      <c r="D123" s="3" t="s">
        <v>17</v>
      </c>
      <c r="E123" s="3" t="s">
        <v>18</v>
      </c>
      <c r="F123" s="3" t="s">
        <v>19</v>
      </c>
      <c r="G123" s="3" t="s">
        <v>20</v>
      </c>
      <c r="H123" s="4" t="s">
        <v>20</v>
      </c>
      <c r="I123" s="4" t="s">
        <v>527</v>
      </c>
      <c r="J123" s="4" t="s">
        <v>528</v>
      </c>
      <c r="K123" s="4" t="s">
        <v>529</v>
      </c>
      <c r="L123" s="4" t="s">
        <v>476</v>
      </c>
      <c r="M123" s="3" t="str">
        <f t="shared" si="0"/>
        <v>Outstanding</v>
      </c>
      <c r="N123" s="11" t="s">
        <v>20</v>
      </c>
    </row>
    <row r="124" spans="1:14" ht="60" customHeight="1" x14ac:dyDescent="0.35">
      <c r="A124" s="9" t="s">
        <v>514</v>
      </c>
      <c r="B124" s="2" t="s">
        <v>530</v>
      </c>
      <c r="C124" s="1" t="s">
        <v>531</v>
      </c>
      <c r="D124" s="3" t="s">
        <v>17</v>
      </c>
      <c r="E124" s="3" t="s">
        <v>18</v>
      </c>
      <c r="F124" s="3" t="s">
        <v>19</v>
      </c>
      <c r="G124" s="3" t="s">
        <v>20</v>
      </c>
      <c r="H124" s="4" t="s">
        <v>20</v>
      </c>
      <c r="I124" s="4" t="s">
        <v>532</v>
      </c>
      <c r="J124" s="4" t="s">
        <v>533</v>
      </c>
      <c r="K124" s="4" t="s">
        <v>534</v>
      </c>
      <c r="L124" s="4" t="s">
        <v>476</v>
      </c>
      <c r="M124" s="3" t="str">
        <f t="shared" si="0"/>
        <v>Outstanding</v>
      </c>
      <c r="N124" s="11" t="s">
        <v>20</v>
      </c>
    </row>
    <row r="125" spans="1:14" ht="60" customHeight="1" x14ac:dyDescent="0.35">
      <c r="A125" s="9" t="s">
        <v>535</v>
      </c>
      <c r="B125" s="2" t="s">
        <v>536</v>
      </c>
      <c r="C125" s="1" t="s">
        <v>537</v>
      </c>
      <c r="D125" s="3" t="s">
        <v>17</v>
      </c>
      <c r="E125" s="3" t="s">
        <v>18</v>
      </c>
      <c r="F125" s="3" t="s">
        <v>19</v>
      </c>
      <c r="G125" s="3" t="s">
        <v>20</v>
      </c>
      <c r="H125" s="4" t="s">
        <v>20</v>
      </c>
      <c r="I125" s="4" t="s">
        <v>538</v>
      </c>
      <c r="J125" s="4" t="s">
        <v>539</v>
      </c>
      <c r="K125" s="4" t="s">
        <v>540</v>
      </c>
      <c r="L125" s="4" t="s">
        <v>476</v>
      </c>
      <c r="M125" s="3" t="str">
        <f t="shared" si="0"/>
        <v>Outstanding</v>
      </c>
      <c r="N125" s="11" t="s">
        <v>20</v>
      </c>
    </row>
    <row r="126" spans="1:14" ht="60" customHeight="1" x14ac:dyDescent="0.35">
      <c r="A126" s="9" t="s">
        <v>535</v>
      </c>
      <c r="B126" s="2" t="s">
        <v>541</v>
      </c>
      <c r="C126" s="1" t="s">
        <v>542</v>
      </c>
      <c r="D126" s="3" t="s">
        <v>17</v>
      </c>
      <c r="E126" s="3" t="s">
        <v>18</v>
      </c>
      <c r="F126" s="3" t="s">
        <v>19</v>
      </c>
      <c r="G126" s="3" t="s">
        <v>20</v>
      </c>
      <c r="H126" s="4" t="s">
        <v>20</v>
      </c>
      <c r="I126" s="4" t="s">
        <v>543</v>
      </c>
      <c r="J126" s="4" t="s">
        <v>544</v>
      </c>
      <c r="K126" s="4" t="s">
        <v>545</v>
      </c>
      <c r="L126" s="4" t="s">
        <v>476</v>
      </c>
      <c r="M126" s="3" t="str">
        <f t="shared" si="0"/>
        <v>Outstanding</v>
      </c>
      <c r="N126" s="11" t="s">
        <v>20</v>
      </c>
    </row>
    <row r="127" spans="1:14" ht="60" customHeight="1" x14ac:dyDescent="0.35">
      <c r="A127" s="9" t="s">
        <v>546</v>
      </c>
      <c r="B127" s="2" t="s">
        <v>547</v>
      </c>
      <c r="C127" s="1" t="s">
        <v>548</v>
      </c>
      <c r="D127" s="3" t="s">
        <v>17</v>
      </c>
      <c r="E127" s="3" t="s">
        <v>18</v>
      </c>
      <c r="F127" s="3" t="s">
        <v>19</v>
      </c>
      <c r="G127" s="3" t="s">
        <v>20</v>
      </c>
      <c r="H127" s="4" t="s">
        <v>20</v>
      </c>
      <c r="I127" s="4" t="s">
        <v>549</v>
      </c>
      <c r="J127" s="4" t="s">
        <v>550</v>
      </c>
      <c r="K127" s="4" t="s">
        <v>551</v>
      </c>
      <c r="L127" s="4" t="s">
        <v>552</v>
      </c>
      <c r="M127" s="3" t="str">
        <f t="shared" si="0"/>
        <v>Outstanding</v>
      </c>
      <c r="N127" s="11" t="s">
        <v>20</v>
      </c>
    </row>
    <row r="128" spans="1:14" ht="60" customHeight="1" x14ac:dyDescent="0.35">
      <c r="A128" s="9" t="s">
        <v>546</v>
      </c>
      <c r="B128" s="2" t="s">
        <v>553</v>
      </c>
      <c r="C128" s="1" t="s">
        <v>554</v>
      </c>
      <c r="D128" s="3" t="s">
        <v>17</v>
      </c>
      <c r="E128" s="3" t="s">
        <v>18</v>
      </c>
      <c r="F128" s="3" t="s">
        <v>19</v>
      </c>
      <c r="G128" s="3" t="s">
        <v>20</v>
      </c>
      <c r="H128" s="4" t="s">
        <v>20</v>
      </c>
      <c r="I128" s="4" t="s">
        <v>555</v>
      </c>
      <c r="J128" s="4" t="s">
        <v>556</v>
      </c>
      <c r="K128" s="4" t="s">
        <v>557</v>
      </c>
      <c r="L128" s="4" t="s">
        <v>552</v>
      </c>
      <c r="M128" s="3" t="str">
        <f t="shared" si="0"/>
        <v>Outstanding</v>
      </c>
      <c r="N128" s="11" t="s">
        <v>20</v>
      </c>
    </row>
    <row r="129" spans="1:14" ht="60" customHeight="1" x14ac:dyDescent="0.35">
      <c r="A129" s="9" t="s">
        <v>546</v>
      </c>
      <c r="B129" s="2" t="s">
        <v>558</v>
      </c>
      <c r="C129" s="1" t="s">
        <v>559</v>
      </c>
      <c r="D129" s="3" t="s">
        <v>17</v>
      </c>
      <c r="E129" s="3" t="s">
        <v>18</v>
      </c>
      <c r="F129" s="3" t="s">
        <v>19</v>
      </c>
      <c r="G129" s="3" t="s">
        <v>20</v>
      </c>
      <c r="H129" s="4" t="s">
        <v>20</v>
      </c>
      <c r="I129" s="4" t="s">
        <v>560</v>
      </c>
      <c r="J129" s="4" t="s">
        <v>561</v>
      </c>
      <c r="K129" s="4" t="s">
        <v>562</v>
      </c>
      <c r="L129" s="4" t="s">
        <v>552</v>
      </c>
      <c r="M129" s="3" t="str">
        <f t="shared" si="0"/>
        <v>Outstanding</v>
      </c>
      <c r="N129" s="11" t="s">
        <v>20</v>
      </c>
    </row>
    <row r="130" spans="1:14" ht="60" customHeight="1" x14ac:dyDescent="0.35">
      <c r="A130" s="9" t="s">
        <v>546</v>
      </c>
      <c r="B130" s="2" t="s">
        <v>563</v>
      </c>
      <c r="C130" s="1" t="s">
        <v>564</v>
      </c>
      <c r="D130" s="3" t="s">
        <v>17</v>
      </c>
      <c r="E130" s="3" t="s">
        <v>18</v>
      </c>
      <c r="F130" s="3" t="s">
        <v>19</v>
      </c>
      <c r="G130" s="3" t="s">
        <v>20</v>
      </c>
      <c r="H130" s="4" t="s">
        <v>20</v>
      </c>
      <c r="I130" s="4" t="s">
        <v>565</v>
      </c>
      <c r="J130" s="4" t="s">
        <v>566</v>
      </c>
      <c r="K130" s="4" t="s">
        <v>567</v>
      </c>
      <c r="L130" s="4" t="s">
        <v>552</v>
      </c>
      <c r="M130" s="3" t="str">
        <f t="shared" si="0"/>
        <v>Outstanding</v>
      </c>
      <c r="N130" s="11" t="s">
        <v>20</v>
      </c>
    </row>
    <row r="131" spans="1:14" ht="60" customHeight="1" x14ac:dyDescent="0.35">
      <c r="A131" s="9" t="s">
        <v>546</v>
      </c>
      <c r="B131" s="2" t="s">
        <v>568</v>
      </c>
      <c r="C131" s="1" t="s">
        <v>569</v>
      </c>
      <c r="D131" s="3" t="s">
        <v>17</v>
      </c>
      <c r="E131" s="3" t="s">
        <v>18</v>
      </c>
      <c r="F131" s="3" t="s">
        <v>19</v>
      </c>
      <c r="G131" s="3" t="s">
        <v>20</v>
      </c>
      <c r="H131" s="4" t="s">
        <v>20</v>
      </c>
      <c r="I131" s="4" t="s">
        <v>570</v>
      </c>
      <c r="J131" s="4" t="s">
        <v>571</v>
      </c>
      <c r="K131" s="4" t="s">
        <v>572</v>
      </c>
      <c r="L131" s="4" t="s">
        <v>552</v>
      </c>
      <c r="M131" s="3" t="str">
        <f t="shared" si="0"/>
        <v>Outstanding</v>
      </c>
      <c r="N131" s="11" t="s">
        <v>20</v>
      </c>
    </row>
    <row r="132" spans="1:14" ht="60" customHeight="1" x14ac:dyDescent="0.35">
      <c r="A132" s="9" t="s">
        <v>546</v>
      </c>
      <c r="B132" s="2" t="s">
        <v>573</v>
      </c>
      <c r="C132" s="1" t="s">
        <v>574</v>
      </c>
      <c r="D132" s="3" t="s">
        <v>17</v>
      </c>
      <c r="E132" s="3" t="s">
        <v>18</v>
      </c>
      <c r="F132" s="3" t="s">
        <v>19</v>
      </c>
      <c r="G132" s="3" t="s">
        <v>20</v>
      </c>
      <c r="H132" s="4" t="s">
        <v>20</v>
      </c>
      <c r="I132" s="4" t="s">
        <v>575</v>
      </c>
      <c r="J132" s="4" t="s">
        <v>576</v>
      </c>
      <c r="K132" s="4" t="s">
        <v>577</v>
      </c>
      <c r="L132" s="4" t="s">
        <v>578</v>
      </c>
      <c r="M132" s="3" t="str">
        <f t="shared" si="0"/>
        <v>Outstanding</v>
      </c>
      <c r="N132" s="11" t="s">
        <v>20</v>
      </c>
    </row>
    <row r="133" spans="1:14" ht="60" customHeight="1" x14ac:dyDescent="0.35">
      <c r="A133" s="9" t="s">
        <v>546</v>
      </c>
      <c r="B133" s="2" t="s">
        <v>579</v>
      </c>
      <c r="C133" s="1" t="s">
        <v>580</v>
      </c>
      <c r="D133" s="3" t="s">
        <v>17</v>
      </c>
      <c r="E133" s="3" t="s">
        <v>18</v>
      </c>
      <c r="F133" s="3" t="s">
        <v>19</v>
      </c>
      <c r="G133" s="3" t="s">
        <v>20</v>
      </c>
      <c r="H133" s="4" t="s">
        <v>20</v>
      </c>
      <c r="I133" s="4" t="s">
        <v>581</v>
      </c>
      <c r="J133" s="4" t="s">
        <v>582</v>
      </c>
      <c r="K133" s="4" t="s">
        <v>583</v>
      </c>
      <c r="L133" s="4" t="s">
        <v>578</v>
      </c>
      <c r="M133" s="3" t="str">
        <f t="shared" si="0"/>
        <v>Outstanding</v>
      </c>
      <c r="N133" s="11" t="s">
        <v>20</v>
      </c>
    </row>
    <row r="134" spans="1:14" ht="60" customHeight="1" x14ac:dyDescent="0.35">
      <c r="A134" s="9" t="s">
        <v>546</v>
      </c>
      <c r="B134" s="2" t="s">
        <v>584</v>
      </c>
      <c r="C134" s="1" t="s">
        <v>585</v>
      </c>
      <c r="D134" s="3" t="s">
        <v>17</v>
      </c>
      <c r="E134" s="3" t="s">
        <v>18</v>
      </c>
      <c r="F134" s="3" t="s">
        <v>19</v>
      </c>
      <c r="G134" s="3" t="s">
        <v>20</v>
      </c>
      <c r="H134" s="4" t="s">
        <v>20</v>
      </c>
      <c r="I134" s="4" t="s">
        <v>586</v>
      </c>
      <c r="J134" s="4" t="s">
        <v>587</v>
      </c>
      <c r="K134" s="4" t="s">
        <v>588</v>
      </c>
      <c r="L134" s="4" t="s">
        <v>589</v>
      </c>
      <c r="M134" s="3" t="str">
        <f t="shared" si="0"/>
        <v>Outstanding</v>
      </c>
      <c r="N134" s="11" t="s">
        <v>20</v>
      </c>
    </row>
    <row r="135" spans="1:14" ht="60" customHeight="1" x14ac:dyDescent="0.35">
      <c r="A135" s="9" t="s">
        <v>590</v>
      </c>
      <c r="B135" s="2" t="s">
        <v>591</v>
      </c>
      <c r="C135" s="1" t="s">
        <v>559</v>
      </c>
      <c r="D135" s="3" t="s">
        <v>17</v>
      </c>
      <c r="E135" s="3" t="s">
        <v>18</v>
      </c>
      <c r="F135" s="3" t="s">
        <v>19</v>
      </c>
      <c r="G135" s="3" t="s">
        <v>20</v>
      </c>
      <c r="H135" s="4" t="s">
        <v>20</v>
      </c>
      <c r="I135" s="4" t="s">
        <v>592</v>
      </c>
      <c r="J135" s="4" t="s">
        <v>593</v>
      </c>
      <c r="K135" s="4" t="s">
        <v>594</v>
      </c>
      <c r="L135" s="4" t="s">
        <v>552</v>
      </c>
      <c r="M135" s="3" t="str">
        <f t="shared" si="0"/>
        <v>Outstanding</v>
      </c>
      <c r="N135" s="11" t="s">
        <v>20</v>
      </c>
    </row>
    <row r="136" spans="1:14" ht="60" customHeight="1" x14ac:dyDescent="0.35">
      <c r="A136" s="9" t="s">
        <v>590</v>
      </c>
      <c r="B136" s="2" t="s">
        <v>595</v>
      </c>
      <c r="C136" s="1" t="s">
        <v>596</v>
      </c>
      <c r="D136" s="3" t="s">
        <v>17</v>
      </c>
      <c r="E136" s="3" t="s">
        <v>18</v>
      </c>
      <c r="F136" s="3" t="s">
        <v>19</v>
      </c>
      <c r="G136" s="3" t="s">
        <v>20</v>
      </c>
      <c r="H136" s="4" t="s">
        <v>20</v>
      </c>
      <c r="I136" s="4" t="s">
        <v>597</v>
      </c>
      <c r="J136" s="4" t="s">
        <v>598</v>
      </c>
      <c r="K136" s="4" t="s">
        <v>599</v>
      </c>
      <c r="L136" s="4" t="s">
        <v>552</v>
      </c>
      <c r="M136" s="3" t="str">
        <f t="shared" si="0"/>
        <v>Outstanding</v>
      </c>
      <c r="N136" s="11" t="s">
        <v>20</v>
      </c>
    </row>
    <row r="137" spans="1:14" ht="60" customHeight="1" x14ac:dyDescent="0.35">
      <c r="A137" s="9" t="s">
        <v>590</v>
      </c>
      <c r="B137" s="2" t="s">
        <v>600</v>
      </c>
      <c r="C137" s="1" t="s">
        <v>601</v>
      </c>
      <c r="D137" s="3" t="s">
        <v>17</v>
      </c>
      <c r="E137" s="3" t="s">
        <v>18</v>
      </c>
      <c r="F137" s="3" t="s">
        <v>19</v>
      </c>
      <c r="G137" s="3" t="s">
        <v>20</v>
      </c>
      <c r="H137" s="4" t="s">
        <v>20</v>
      </c>
      <c r="I137" s="4" t="s">
        <v>602</v>
      </c>
      <c r="J137" s="4" t="s">
        <v>603</v>
      </c>
      <c r="K137" s="4" t="s">
        <v>604</v>
      </c>
      <c r="L137" s="4" t="s">
        <v>552</v>
      </c>
      <c r="M137" s="3" t="str">
        <f t="shared" si="0"/>
        <v>Outstanding</v>
      </c>
      <c r="N137" s="11" t="s">
        <v>20</v>
      </c>
    </row>
    <row r="138" spans="1:14" ht="60" customHeight="1" x14ac:dyDescent="0.35">
      <c r="A138" s="9" t="s">
        <v>590</v>
      </c>
      <c r="B138" s="2" t="s">
        <v>605</v>
      </c>
      <c r="C138" s="1" t="s">
        <v>606</v>
      </c>
      <c r="D138" s="3" t="s">
        <v>17</v>
      </c>
      <c r="E138" s="3" t="s">
        <v>18</v>
      </c>
      <c r="F138" s="3" t="s">
        <v>19</v>
      </c>
      <c r="G138" s="3" t="s">
        <v>20</v>
      </c>
      <c r="H138" s="4" t="s">
        <v>20</v>
      </c>
      <c r="I138" s="4" t="s">
        <v>607</v>
      </c>
      <c r="J138" s="4" t="s">
        <v>608</v>
      </c>
      <c r="K138" s="4" t="s">
        <v>609</v>
      </c>
      <c r="L138" s="4" t="s">
        <v>482</v>
      </c>
      <c r="M138" s="3" t="str">
        <f t="shared" si="0"/>
        <v>Outstanding</v>
      </c>
      <c r="N138" s="11" t="s">
        <v>20</v>
      </c>
    </row>
    <row r="139" spans="1:14" ht="60" customHeight="1" x14ac:dyDescent="0.35">
      <c r="A139" s="9" t="s">
        <v>590</v>
      </c>
      <c r="B139" s="2" t="s">
        <v>610</v>
      </c>
      <c r="C139" s="1" t="s">
        <v>569</v>
      </c>
      <c r="D139" s="3" t="s">
        <v>17</v>
      </c>
      <c r="E139" s="3" t="s">
        <v>18</v>
      </c>
      <c r="F139" s="3" t="s">
        <v>19</v>
      </c>
      <c r="G139" s="3" t="s">
        <v>20</v>
      </c>
      <c r="H139" s="4" t="s">
        <v>20</v>
      </c>
      <c r="I139" s="4" t="s">
        <v>611</v>
      </c>
      <c r="J139" s="4" t="s">
        <v>612</v>
      </c>
      <c r="K139" s="4" t="s">
        <v>613</v>
      </c>
      <c r="L139" s="4" t="s">
        <v>552</v>
      </c>
      <c r="M139" s="3" t="str">
        <f t="shared" si="0"/>
        <v>Outstanding</v>
      </c>
      <c r="N139" s="11" t="s">
        <v>20</v>
      </c>
    </row>
    <row r="140" spans="1:14" ht="60" customHeight="1" x14ac:dyDescent="0.35">
      <c r="A140" s="9" t="s">
        <v>590</v>
      </c>
      <c r="B140" s="2" t="s">
        <v>614</v>
      </c>
      <c r="C140" s="1" t="s">
        <v>574</v>
      </c>
      <c r="D140" s="3" t="s">
        <v>17</v>
      </c>
      <c r="E140" s="3" t="s">
        <v>18</v>
      </c>
      <c r="F140" s="3" t="s">
        <v>19</v>
      </c>
      <c r="G140" s="3" t="s">
        <v>20</v>
      </c>
      <c r="H140" s="4" t="s">
        <v>20</v>
      </c>
      <c r="I140" s="4" t="s">
        <v>615</v>
      </c>
      <c r="J140" s="4" t="s">
        <v>576</v>
      </c>
      <c r="K140" s="4" t="s">
        <v>616</v>
      </c>
      <c r="L140" s="4" t="s">
        <v>552</v>
      </c>
      <c r="M140" s="3" t="str">
        <f t="shared" si="0"/>
        <v>Outstanding</v>
      </c>
      <c r="N140" s="11" t="s">
        <v>20</v>
      </c>
    </row>
    <row r="141" spans="1:14" ht="60" customHeight="1" x14ac:dyDescent="0.35">
      <c r="A141" s="9" t="s">
        <v>590</v>
      </c>
      <c r="B141" s="2" t="s">
        <v>617</v>
      </c>
      <c r="C141" s="1" t="s">
        <v>580</v>
      </c>
      <c r="D141" s="3" t="s">
        <v>17</v>
      </c>
      <c r="E141" s="3" t="s">
        <v>18</v>
      </c>
      <c r="F141" s="3" t="s">
        <v>19</v>
      </c>
      <c r="G141" s="3" t="s">
        <v>20</v>
      </c>
      <c r="H141" s="4" t="s">
        <v>20</v>
      </c>
      <c r="I141" s="4" t="s">
        <v>618</v>
      </c>
      <c r="J141" s="4" t="s">
        <v>582</v>
      </c>
      <c r="K141" s="4" t="s">
        <v>619</v>
      </c>
      <c r="L141" s="4" t="s">
        <v>552</v>
      </c>
      <c r="M141" s="3" t="str">
        <f t="shared" si="0"/>
        <v>Outstanding</v>
      </c>
      <c r="N141" s="11" t="s">
        <v>20</v>
      </c>
    </row>
    <row r="142" spans="1:14" ht="60" customHeight="1" x14ac:dyDescent="0.35">
      <c r="A142" s="9" t="s">
        <v>590</v>
      </c>
      <c r="B142" s="2" t="s">
        <v>620</v>
      </c>
      <c r="C142" s="1" t="s">
        <v>621</v>
      </c>
      <c r="D142" s="3" t="s">
        <v>17</v>
      </c>
      <c r="E142" s="3" t="s">
        <v>18</v>
      </c>
      <c r="F142" s="3" t="s">
        <v>19</v>
      </c>
      <c r="G142" s="3" t="s">
        <v>20</v>
      </c>
      <c r="H142" s="4" t="s">
        <v>20</v>
      </c>
      <c r="I142" s="4" t="s">
        <v>622</v>
      </c>
      <c r="J142" s="4" t="s">
        <v>623</v>
      </c>
      <c r="K142" s="4" t="s">
        <v>624</v>
      </c>
      <c r="L142" s="4" t="s">
        <v>578</v>
      </c>
      <c r="M142" s="3" t="str">
        <f t="shared" si="0"/>
        <v>Outstanding</v>
      </c>
      <c r="N142" s="11" t="s">
        <v>20</v>
      </c>
    </row>
    <row r="143" spans="1:14" ht="60" customHeight="1" x14ac:dyDescent="0.35">
      <c r="A143" s="9" t="s">
        <v>625</v>
      </c>
      <c r="B143" s="2" t="s">
        <v>626</v>
      </c>
      <c r="C143" s="1" t="s">
        <v>627</v>
      </c>
      <c r="D143" s="3" t="s">
        <v>17</v>
      </c>
      <c r="E143" s="3" t="s">
        <v>18</v>
      </c>
      <c r="F143" s="3" t="s">
        <v>19</v>
      </c>
      <c r="G143" s="3" t="s">
        <v>20</v>
      </c>
      <c r="H143" s="4" t="s">
        <v>20</v>
      </c>
      <c r="I143" s="4" t="s">
        <v>628</v>
      </c>
      <c r="J143" s="4" t="s">
        <v>629</v>
      </c>
      <c r="K143" s="4" t="s">
        <v>630</v>
      </c>
      <c r="L143" s="4" t="s">
        <v>631</v>
      </c>
      <c r="M143" s="3" t="str">
        <f t="shared" si="0"/>
        <v>Outstanding</v>
      </c>
      <c r="N143" s="11" t="s">
        <v>20</v>
      </c>
    </row>
    <row r="144" spans="1:14" ht="60" customHeight="1" x14ac:dyDescent="0.35">
      <c r="A144" s="9" t="s">
        <v>632</v>
      </c>
      <c r="B144" s="2" t="s">
        <v>633</v>
      </c>
      <c r="C144" s="1" t="s">
        <v>634</v>
      </c>
      <c r="D144" s="3" t="s">
        <v>17</v>
      </c>
      <c r="E144" s="3" t="s">
        <v>18</v>
      </c>
      <c r="F144" s="3" t="s">
        <v>19</v>
      </c>
      <c r="G144" s="3" t="s">
        <v>20</v>
      </c>
      <c r="H144" s="4" t="s">
        <v>20</v>
      </c>
      <c r="I144" s="4" t="s">
        <v>635</v>
      </c>
      <c r="J144" s="4" t="s">
        <v>636</v>
      </c>
      <c r="K144" s="4" t="s">
        <v>637</v>
      </c>
      <c r="L144" s="4" t="s">
        <v>476</v>
      </c>
      <c r="M144" s="3" t="str">
        <f t="shared" si="0"/>
        <v>Outstanding</v>
      </c>
      <c r="N144" s="11" t="s">
        <v>20</v>
      </c>
    </row>
    <row r="145" spans="1:14" ht="60" customHeight="1" x14ac:dyDescent="0.35">
      <c r="A145" s="9" t="s">
        <v>638</v>
      </c>
      <c r="B145" s="2" t="s">
        <v>639</v>
      </c>
      <c r="C145" s="1" t="s">
        <v>640</v>
      </c>
      <c r="D145" s="3" t="s">
        <v>17</v>
      </c>
      <c r="E145" s="3" t="s">
        <v>18</v>
      </c>
      <c r="F145" s="3" t="s">
        <v>19</v>
      </c>
      <c r="G145" s="3" t="s">
        <v>20</v>
      </c>
      <c r="H145" s="4" t="s">
        <v>20</v>
      </c>
      <c r="I145" s="4" t="s">
        <v>641</v>
      </c>
      <c r="J145" s="4" t="s">
        <v>642</v>
      </c>
      <c r="K145" s="4" t="s">
        <v>643</v>
      </c>
      <c r="L145" s="4" t="s">
        <v>644</v>
      </c>
      <c r="M145" s="3" t="str">
        <f t="shared" si="0"/>
        <v>Outstanding</v>
      </c>
      <c r="N145" s="11" t="s">
        <v>20</v>
      </c>
    </row>
    <row r="146" spans="1:14" ht="60" customHeight="1" x14ac:dyDescent="0.35">
      <c r="A146" s="9" t="s">
        <v>645</v>
      </c>
      <c r="B146" s="2" t="s">
        <v>646</v>
      </c>
      <c r="C146" s="1" t="s">
        <v>647</v>
      </c>
      <c r="D146" s="3" t="s">
        <v>17</v>
      </c>
      <c r="E146" s="3" t="s">
        <v>18</v>
      </c>
      <c r="F146" s="3" t="s">
        <v>19</v>
      </c>
      <c r="G146" s="3" t="s">
        <v>20</v>
      </c>
      <c r="H146" s="4" t="s">
        <v>20</v>
      </c>
      <c r="I146" s="4" t="s">
        <v>648</v>
      </c>
      <c r="J146" s="4" t="s">
        <v>649</v>
      </c>
      <c r="K146" s="4" t="s">
        <v>650</v>
      </c>
      <c r="L146" s="4" t="s">
        <v>651</v>
      </c>
      <c r="M146" s="3" t="str">
        <f t="shared" si="0"/>
        <v>Outstanding</v>
      </c>
      <c r="N146" s="11" t="s">
        <v>20</v>
      </c>
    </row>
    <row r="147" spans="1:14" ht="60" customHeight="1" x14ac:dyDescent="0.35">
      <c r="A147" s="9" t="s">
        <v>652</v>
      </c>
      <c r="B147" s="2" t="s">
        <v>653</v>
      </c>
      <c r="C147" s="1" t="s">
        <v>654</v>
      </c>
      <c r="D147" s="3" t="s">
        <v>17</v>
      </c>
      <c r="E147" s="3" t="s">
        <v>18</v>
      </c>
      <c r="F147" s="3" t="s">
        <v>19</v>
      </c>
      <c r="G147" s="3" t="s">
        <v>20</v>
      </c>
      <c r="H147" s="4" t="s">
        <v>20</v>
      </c>
      <c r="I147" s="4" t="s">
        <v>655</v>
      </c>
      <c r="J147" s="4" t="s">
        <v>656</v>
      </c>
      <c r="K147" s="4" t="s">
        <v>657</v>
      </c>
      <c r="L147" s="4" t="s">
        <v>488</v>
      </c>
      <c r="M147" s="3" t="str">
        <f t="shared" si="0"/>
        <v>Outstanding</v>
      </c>
      <c r="N147" s="11" t="s">
        <v>20</v>
      </c>
    </row>
    <row r="148" spans="1:14" ht="60" customHeight="1" x14ac:dyDescent="0.35">
      <c r="A148" s="9" t="s">
        <v>652</v>
      </c>
      <c r="B148" s="2" t="s">
        <v>658</v>
      </c>
      <c r="C148" s="1" t="s">
        <v>659</v>
      </c>
      <c r="D148" s="3" t="s">
        <v>17</v>
      </c>
      <c r="E148" s="3" t="s">
        <v>18</v>
      </c>
      <c r="F148" s="3" t="s">
        <v>19</v>
      </c>
      <c r="G148" s="3" t="s">
        <v>20</v>
      </c>
      <c r="H148" s="4" t="s">
        <v>20</v>
      </c>
      <c r="I148" s="4" t="s">
        <v>660</v>
      </c>
      <c r="J148" s="4" t="s">
        <v>661</v>
      </c>
      <c r="K148" s="4" t="s">
        <v>662</v>
      </c>
      <c r="L148" s="4" t="s">
        <v>482</v>
      </c>
      <c r="M148" s="3" t="str">
        <f t="shared" si="0"/>
        <v>Outstanding</v>
      </c>
      <c r="N148" s="11" t="s">
        <v>20</v>
      </c>
    </row>
    <row r="149" spans="1:14" ht="60" customHeight="1" x14ac:dyDescent="0.35">
      <c r="A149" s="9" t="s">
        <v>652</v>
      </c>
      <c r="B149" s="2" t="s">
        <v>663</v>
      </c>
      <c r="C149" s="1" t="s">
        <v>664</v>
      </c>
      <c r="D149" s="3" t="s">
        <v>17</v>
      </c>
      <c r="E149" s="3" t="s">
        <v>18</v>
      </c>
      <c r="F149" s="3" t="s">
        <v>19</v>
      </c>
      <c r="G149" s="3" t="s">
        <v>20</v>
      </c>
      <c r="H149" s="4" t="s">
        <v>20</v>
      </c>
      <c r="I149" s="4" t="s">
        <v>665</v>
      </c>
      <c r="J149" s="4" t="s">
        <v>666</v>
      </c>
      <c r="K149" s="4" t="s">
        <v>667</v>
      </c>
      <c r="L149" s="4" t="s">
        <v>482</v>
      </c>
      <c r="M149" s="3" t="str">
        <f t="shared" si="0"/>
        <v>Outstanding</v>
      </c>
      <c r="N149" s="11" t="s">
        <v>20</v>
      </c>
    </row>
    <row r="150" spans="1:14" ht="60" customHeight="1" x14ac:dyDescent="0.35">
      <c r="A150" s="9" t="s">
        <v>652</v>
      </c>
      <c r="B150" s="2" t="s">
        <v>668</v>
      </c>
      <c r="C150" s="1" t="s">
        <v>669</v>
      </c>
      <c r="D150" s="3" t="s">
        <v>17</v>
      </c>
      <c r="E150" s="3" t="s">
        <v>18</v>
      </c>
      <c r="F150" s="3" t="s">
        <v>19</v>
      </c>
      <c r="G150" s="3" t="s">
        <v>20</v>
      </c>
      <c r="H150" s="4" t="s">
        <v>20</v>
      </c>
      <c r="I150" s="4" t="s">
        <v>670</v>
      </c>
      <c r="J150" s="4" t="s">
        <v>671</v>
      </c>
      <c r="K150" s="4" t="s">
        <v>672</v>
      </c>
      <c r="L150" s="4" t="s">
        <v>482</v>
      </c>
      <c r="M150" s="3" t="str">
        <f t="shared" si="0"/>
        <v>Outstanding</v>
      </c>
      <c r="N150" s="11" t="s">
        <v>20</v>
      </c>
    </row>
    <row r="151" spans="1:14" ht="60" customHeight="1" x14ac:dyDescent="0.35">
      <c r="A151" s="9" t="s">
        <v>652</v>
      </c>
      <c r="B151" s="2" t="s">
        <v>673</v>
      </c>
      <c r="C151" s="1" t="s">
        <v>478</v>
      </c>
      <c r="D151" s="3" t="s">
        <v>17</v>
      </c>
      <c r="E151" s="3" t="s">
        <v>18</v>
      </c>
      <c r="F151" s="3" t="s">
        <v>19</v>
      </c>
      <c r="G151" s="3" t="s">
        <v>20</v>
      </c>
      <c r="H151" s="4" t="s">
        <v>20</v>
      </c>
      <c r="I151" s="4" t="s">
        <v>674</v>
      </c>
      <c r="J151" s="4" t="s">
        <v>480</v>
      </c>
      <c r="K151" s="4" t="s">
        <v>675</v>
      </c>
      <c r="L151" s="4" t="s">
        <v>482</v>
      </c>
      <c r="M151" s="3" t="str">
        <f t="shared" si="0"/>
        <v>Outstanding</v>
      </c>
      <c r="N151" s="11" t="s">
        <v>20</v>
      </c>
    </row>
    <row r="152" spans="1:14" ht="60" customHeight="1" x14ac:dyDescent="0.35">
      <c r="A152" s="9" t="s">
        <v>652</v>
      </c>
      <c r="B152" s="2" t="s">
        <v>676</v>
      </c>
      <c r="C152" s="1" t="s">
        <v>677</v>
      </c>
      <c r="D152" s="3" t="s">
        <v>17</v>
      </c>
      <c r="E152" s="3" t="s">
        <v>18</v>
      </c>
      <c r="F152" s="3" t="s">
        <v>19</v>
      </c>
      <c r="G152" s="3" t="s">
        <v>20</v>
      </c>
      <c r="H152" s="4" t="s">
        <v>20</v>
      </c>
      <c r="I152" s="4" t="s">
        <v>678</v>
      </c>
      <c r="J152" s="4" t="s">
        <v>679</v>
      </c>
      <c r="K152" s="4" t="s">
        <v>680</v>
      </c>
      <c r="L152" s="4" t="s">
        <v>488</v>
      </c>
      <c r="M152" s="3" t="str">
        <f t="shared" si="0"/>
        <v>Outstanding</v>
      </c>
      <c r="N152" s="11" t="s">
        <v>20</v>
      </c>
    </row>
    <row r="153" spans="1:14" ht="60" customHeight="1" x14ac:dyDescent="0.35">
      <c r="A153" s="9" t="s">
        <v>652</v>
      </c>
      <c r="B153" s="2" t="s">
        <v>681</v>
      </c>
      <c r="C153" s="1" t="s">
        <v>682</v>
      </c>
      <c r="D153" s="3" t="s">
        <v>17</v>
      </c>
      <c r="E153" s="3" t="s">
        <v>18</v>
      </c>
      <c r="F153" s="3" t="s">
        <v>19</v>
      </c>
      <c r="G153" s="3" t="s">
        <v>20</v>
      </c>
      <c r="H153" s="4" t="s">
        <v>20</v>
      </c>
      <c r="I153" s="4" t="s">
        <v>683</v>
      </c>
      <c r="J153" s="4" t="s">
        <v>684</v>
      </c>
      <c r="K153" s="4" t="s">
        <v>685</v>
      </c>
      <c r="L153" s="4" t="s">
        <v>476</v>
      </c>
      <c r="M153" s="3" t="str">
        <f t="shared" si="0"/>
        <v>Outstanding</v>
      </c>
      <c r="N153" s="11" t="s">
        <v>20</v>
      </c>
    </row>
    <row r="154" spans="1:14" ht="60" customHeight="1" x14ac:dyDescent="0.35">
      <c r="A154" s="9" t="s">
        <v>373</v>
      </c>
      <c r="B154" s="2" t="s">
        <v>686</v>
      </c>
      <c r="C154" s="1" t="s">
        <v>687</v>
      </c>
      <c r="D154" s="3" t="s">
        <v>17</v>
      </c>
      <c r="E154" s="3" t="s">
        <v>18</v>
      </c>
      <c r="F154" s="3" t="s">
        <v>19</v>
      </c>
      <c r="G154" s="3" t="s">
        <v>20</v>
      </c>
      <c r="H154" s="4" t="s">
        <v>20</v>
      </c>
      <c r="I154" s="4" t="s">
        <v>688</v>
      </c>
      <c r="J154" s="4" t="s">
        <v>689</v>
      </c>
      <c r="K154" s="4" t="s">
        <v>690</v>
      </c>
      <c r="L154" s="4" t="s">
        <v>691</v>
      </c>
      <c r="M154" s="3" t="str">
        <f t="shared" si="0"/>
        <v>Outstanding</v>
      </c>
      <c r="N154" s="11" t="s">
        <v>20</v>
      </c>
    </row>
    <row r="155" spans="1:14" ht="60" customHeight="1" x14ac:dyDescent="0.35">
      <c r="A155" s="9" t="s">
        <v>692</v>
      </c>
      <c r="B155" s="2" t="s">
        <v>693</v>
      </c>
      <c r="C155" s="1" t="s">
        <v>694</v>
      </c>
      <c r="D155" s="3" t="s">
        <v>17</v>
      </c>
      <c r="E155" s="3" t="s">
        <v>18</v>
      </c>
      <c r="F155" s="3" t="s">
        <v>19</v>
      </c>
      <c r="G155" s="3" t="s">
        <v>20</v>
      </c>
      <c r="H155" s="4" t="s">
        <v>20</v>
      </c>
      <c r="I155" s="4" t="s">
        <v>695</v>
      </c>
      <c r="J155" s="4" t="s">
        <v>696</v>
      </c>
      <c r="K155" s="4" t="s">
        <v>697</v>
      </c>
      <c r="L155" s="4" t="s">
        <v>476</v>
      </c>
      <c r="M155" s="3" t="str">
        <f t="shared" si="0"/>
        <v>Outstanding</v>
      </c>
      <c r="N155" s="11" t="s">
        <v>20</v>
      </c>
    </row>
    <row r="156" spans="1:14" ht="60" customHeight="1" x14ac:dyDescent="0.35">
      <c r="A156" s="9" t="s">
        <v>692</v>
      </c>
      <c r="B156" s="2" t="s">
        <v>698</v>
      </c>
      <c r="C156" s="1" t="s">
        <v>699</v>
      </c>
      <c r="D156" s="3" t="s">
        <v>17</v>
      </c>
      <c r="E156" s="3" t="s">
        <v>18</v>
      </c>
      <c r="F156" s="3" t="s">
        <v>19</v>
      </c>
      <c r="G156" s="3" t="s">
        <v>20</v>
      </c>
      <c r="H156" s="4" t="s">
        <v>20</v>
      </c>
      <c r="I156" s="4" t="s">
        <v>700</v>
      </c>
      <c r="J156" s="4" t="s">
        <v>701</v>
      </c>
      <c r="K156" s="4" t="s">
        <v>702</v>
      </c>
      <c r="L156" s="4" t="s">
        <v>703</v>
      </c>
      <c r="M156" s="3" t="str">
        <f t="shared" si="0"/>
        <v>Outstanding</v>
      </c>
      <c r="N156" s="11" t="s">
        <v>20</v>
      </c>
    </row>
    <row r="157" spans="1:14" ht="60" customHeight="1" x14ac:dyDescent="0.35">
      <c r="A157" s="9" t="s">
        <v>704</v>
      </c>
      <c r="B157" s="2" t="s">
        <v>705</v>
      </c>
      <c r="C157" s="1" t="s">
        <v>706</v>
      </c>
      <c r="D157" s="3" t="s">
        <v>17</v>
      </c>
      <c r="E157" s="3" t="s">
        <v>18</v>
      </c>
      <c r="F157" s="3" t="s">
        <v>19</v>
      </c>
      <c r="G157" s="3" t="s">
        <v>20</v>
      </c>
      <c r="H157" s="4" t="s">
        <v>20</v>
      </c>
      <c r="I157" s="4" t="s">
        <v>707</v>
      </c>
      <c r="J157" s="4" t="s">
        <v>708</v>
      </c>
      <c r="K157" s="4" t="s">
        <v>709</v>
      </c>
      <c r="L157" s="4" t="s">
        <v>482</v>
      </c>
      <c r="M157" s="3" t="str">
        <f t="shared" si="0"/>
        <v>Outstanding</v>
      </c>
      <c r="N157" s="11" t="s">
        <v>20</v>
      </c>
    </row>
    <row r="158" spans="1:14" ht="60" customHeight="1" x14ac:dyDescent="0.35">
      <c r="A158" s="9" t="s">
        <v>710</v>
      </c>
      <c r="B158" s="2" t="s">
        <v>711</v>
      </c>
      <c r="C158" s="1" t="s">
        <v>712</v>
      </c>
      <c r="D158" s="3" t="s">
        <v>17</v>
      </c>
      <c r="E158" s="3" t="s">
        <v>18</v>
      </c>
      <c r="F158" s="3" t="s">
        <v>19</v>
      </c>
      <c r="G158" s="3" t="s">
        <v>20</v>
      </c>
      <c r="H158" s="4" t="s">
        <v>20</v>
      </c>
      <c r="I158" s="4" t="s">
        <v>713</v>
      </c>
      <c r="J158" s="4" t="s">
        <v>714</v>
      </c>
      <c r="K158" s="4" t="s">
        <v>715</v>
      </c>
      <c r="L158" s="4" t="s">
        <v>476</v>
      </c>
      <c r="M158" s="3" t="str">
        <f t="shared" si="0"/>
        <v>Outstanding</v>
      </c>
      <c r="N158" s="11" t="s">
        <v>20</v>
      </c>
    </row>
    <row r="159" spans="1:14" ht="60" customHeight="1" x14ac:dyDescent="0.35">
      <c r="A159" s="9" t="s">
        <v>716</v>
      </c>
      <c r="B159" s="2" t="s">
        <v>717</v>
      </c>
      <c r="C159" s="1" t="s">
        <v>718</v>
      </c>
      <c r="D159" s="3" t="s">
        <v>17</v>
      </c>
      <c r="E159" s="3" t="s">
        <v>18</v>
      </c>
      <c r="F159" s="3" t="s">
        <v>19</v>
      </c>
      <c r="G159" s="3" t="s">
        <v>20</v>
      </c>
      <c r="H159" s="4" t="s">
        <v>20</v>
      </c>
      <c r="I159" s="4" t="s">
        <v>719</v>
      </c>
      <c r="J159" s="4" t="s">
        <v>720</v>
      </c>
      <c r="K159" s="4" t="s">
        <v>721</v>
      </c>
      <c r="L159" s="4" t="s">
        <v>644</v>
      </c>
      <c r="M159" s="3" t="str">
        <f t="shared" si="0"/>
        <v>Outstanding</v>
      </c>
      <c r="N159" s="11" t="s">
        <v>20</v>
      </c>
    </row>
    <row r="160" spans="1:14" ht="60" customHeight="1" x14ac:dyDescent="0.35">
      <c r="A160" s="9" t="s">
        <v>722</v>
      </c>
      <c r="B160" s="2" t="s">
        <v>723</v>
      </c>
      <c r="C160" s="1" t="s">
        <v>724</v>
      </c>
      <c r="D160" s="3" t="s">
        <v>17</v>
      </c>
      <c r="E160" s="3" t="s">
        <v>18</v>
      </c>
      <c r="F160" s="3" t="s">
        <v>19</v>
      </c>
      <c r="G160" s="3" t="s">
        <v>20</v>
      </c>
      <c r="H160" s="4" t="s">
        <v>20</v>
      </c>
      <c r="I160" s="4" t="s">
        <v>725</v>
      </c>
      <c r="J160" s="4" t="s">
        <v>726</v>
      </c>
      <c r="K160" s="4" t="s">
        <v>727</v>
      </c>
      <c r="L160" s="4" t="s">
        <v>728</v>
      </c>
      <c r="M160" s="3" t="str">
        <f t="shared" si="0"/>
        <v>Outstanding</v>
      </c>
      <c r="N160" s="11" t="s">
        <v>20</v>
      </c>
    </row>
    <row r="161" spans="1:14" ht="60" customHeight="1" x14ac:dyDescent="0.35">
      <c r="A161" s="9" t="s">
        <v>722</v>
      </c>
      <c r="B161" s="2" t="s">
        <v>729</v>
      </c>
      <c r="C161" s="1" t="s">
        <v>730</v>
      </c>
      <c r="D161" s="3" t="s">
        <v>17</v>
      </c>
      <c r="E161" s="3" t="s">
        <v>18</v>
      </c>
      <c r="F161" s="3" t="s">
        <v>19</v>
      </c>
      <c r="G161" s="3" t="s">
        <v>20</v>
      </c>
      <c r="H161" s="4" t="s">
        <v>20</v>
      </c>
      <c r="I161" s="4" t="s">
        <v>731</v>
      </c>
      <c r="J161" s="4" t="s">
        <v>732</v>
      </c>
      <c r="K161" s="4" t="s">
        <v>733</v>
      </c>
      <c r="L161" s="4" t="s">
        <v>734</v>
      </c>
      <c r="M161" s="3" t="str">
        <f t="shared" si="0"/>
        <v>Outstanding</v>
      </c>
      <c r="N161" s="11" t="s">
        <v>20</v>
      </c>
    </row>
    <row r="162" spans="1:14" ht="60" customHeight="1" x14ac:dyDescent="0.35">
      <c r="A162" s="9" t="s">
        <v>735</v>
      </c>
      <c r="B162" s="2" t="s">
        <v>736</v>
      </c>
      <c r="C162" s="1" t="s">
        <v>737</v>
      </c>
      <c r="D162" s="3" t="s">
        <v>17</v>
      </c>
      <c r="E162" s="3" t="s">
        <v>18</v>
      </c>
      <c r="F162" s="3" t="s">
        <v>19</v>
      </c>
      <c r="G162" s="3" t="s">
        <v>20</v>
      </c>
      <c r="H162" s="4" t="s">
        <v>20</v>
      </c>
      <c r="I162" s="4" t="s">
        <v>738</v>
      </c>
      <c r="J162" s="4" t="s">
        <v>739</v>
      </c>
      <c r="K162" s="4" t="s">
        <v>740</v>
      </c>
      <c r="L162" s="4" t="s">
        <v>741</v>
      </c>
      <c r="M162" s="3" t="str">
        <f t="shared" si="0"/>
        <v>Outstanding</v>
      </c>
      <c r="N162" s="11" t="s">
        <v>20</v>
      </c>
    </row>
    <row r="163" spans="1:14" ht="60" customHeight="1" x14ac:dyDescent="0.35">
      <c r="A163" s="9" t="s">
        <v>742</v>
      </c>
      <c r="B163" s="2" t="s">
        <v>743</v>
      </c>
      <c r="C163" s="1" t="s">
        <v>737</v>
      </c>
      <c r="D163" s="3" t="s">
        <v>17</v>
      </c>
      <c r="E163" s="3" t="s">
        <v>18</v>
      </c>
      <c r="F163" s="3" t="s">
        <v>19</v>
      </c>
      <c r="G163" s="3" t="s">
        <v>20</v>
      </c>
      <c r="H163" s="4" t="s">
        <v>20</v>
      </c>
      <c r="I163" s="4" t="s">
        <v>744</v>
      </c>
      <c r="J163" s="4" t="s">
        <v>745</v>
      </c>
      <c r="K163" s="4" t="s">
        <v>746</v>
      </c>
      <c r="L163" s="4" t="s">
        <v>741</v>
      </c>
      <c r="M163" s="3" t="str">
        <f t="shared" si="0"/>
        <v>Outstanding</v>
      </c>
      <c r="N163" s="11" t="s">
        <v>20</v>
      </c>
    </row>
    <row r="164" spans="1:14" ht="60" customHeight="1" x14ac:dyDescent="0.35">
      <c r="A164" s="9" t="s">
        <v>747</v>
      </c>
      <c r="B164" s="2" t="s">
        <v>748</v>
      </c>
      <c r="C164" s="1" t="s">
        <v>749</v>
      </c>
      <c r="D164" s="3" t="s">
        <v>17</v>
      </c>
      <c r="E164" s="3" t="s">
        <v>18</v>
      </c>
      <c r="F164" s="3" t="s">
        <v>19</v>
      </c>
      <c r="G164" s="3" t="s">
        <v>20</v>
      </c>
      <c r="H164" s="4" t="s">
        <v>20</v>
      </c>
      <c r="I164" s="4" t="s">
        <v>750</v>
      </c>
      <c r="J164" s="4" t="s">
        <v>751</v>
      </c>
      <c r="K164" s="4" t="s">
        <v>752</v>
      </c>
      <c r="L164" s="4" t="s">
        <v>482</v>
      </c>
      <c r="M164" s="3" t="str">
        <f t="shared" si="0"/>
        <v>Outstanding</v>
      </c>
      <c r="N164" s="11" t="s">
        <v>20</v>
      </c>
    </row>
    <row r="165" spans="1:14" ht="60" customHeight="1" x14ac:dyDescent="0.35">
      <c r="A165" s="9" t="s">
        <v>753</v>
      </c>
      <c r="B165" s="2" t="s">
        <v>754</v>
      </c>
      <c r="C165" s="1" t="s">
        <v>755</v>
      </c>
      <c r="D165" s="3" t="s">
        <v>17</v>
      </c>
      <c r="E165" s="3" t="s">
        <v>18</v>
      </c>
      <c r="F165" s="3" t="s">
        <v>19</v>
      </c>
      <c r="G165" s="3" t="s">
        <v>20</v>
      </c>
      <c r="H165" s="4" t="s">
        <v>20</v>
      </c>
      <c r="I165" s="4" t="s">
        <v>756</v>
      </c>
      <c r="J165" s="4" t="s">
        <v>757</v>
      </c>
      <c r="K165" s="4" t="s">
        <v>758</v>
      </c>
      <c r="L165" s="4" t="s">
        <v>759</v>
      </c>
      <c r="M165" s="3" t="str">
        <f t="shared" si="0"/>
        <v>Outstanding</v>
      </c>
      <c r="N165" s="11" t="s">
        <v>20</v>
      </c>
    </row>
    <row r="166" spans="1:14" ht="60" customHeight="1" x14ac:dyDescent="0.35">
      <c r="A166" s="9" t="s">
        <v>753</v>
      </c>
      <c r="B166" s="2" t="s">
        <v>760</v>
      </c>
      <c r="C166" s="1" t="s">
        <v>761</v>
      </c>
      <c r="D166" s="3" t="s">
        <v>17</v>
      </c>
      <c r="E166" s="3" t="s">
        <v>18</v>
      </c>
      <c r="F166" s="3" t="s">
        <v>19</v>
      </c>
      <c r="G166" s="3" t="s">
        <v>20</v>
      </c>
      <c r="H166" s="4" t="s">
        <v>20</v>
      </c>
      <c r="I166" s="4" t="s">
        <v>762</v>
      </c>
      <c r="J166" s="4" t="s">
        <v>763</v>
      </c>
      <c r="K166" s="4" t="s">
        <v>764</v>
      </c>
      <c r="L166" s="4" t="s">
        <v>759</v>
      </c>
      <c r="M166" s="3" t="str">
        <f t="shared" si="0"/>
        <v>Outstanding</v>
      </c>
      <c r="N166" s="11" t="s">
        <v>20</v>
      </c>
    </row>
    <row r="167" spans="1:14" ht="60" customHeight="1" x14ac:dyDescent="0.35">
      <c r="A167" s="9" t="s">
        <v>753</v>
      </c>
      <c r="B167" s="2" t="s">
        <v>765</v>
      </c>
      <c r="C167" s="1" t="s">
        <v>766</v>
      </c>
      <c r="D167" s="3" t="s">
        <v>17</v>
      </c>
      <c r="E167" s="3" t="s">
        <v>18</v>
      </c>
      <c r="F167" s="3" t="s">
        <v>19</v>
      </c>
      <c r="G167" s="3" t="s">
        <v>20</v>
      </c>
      <c r="H167" s="4" t="s">
        <v>20</v>
      </c>
      <c r="I167" s="4" t="s">
        <v>767</v>
      </c>
      <c r="J167" s="4" t="s">
        <v>768</v>
      </c>
      <c r="K167" s="4" t="s">
        <v>769</v>
      </c>
      <c r="L167" s="4" t="s">
        <v>759</v>
      </c>
      <c r="M167" s="3" t="str">
        <f t="shared" si="0"/>
        <v>Outstanding</v>
      </c>
      <c r="N167" s="11" t="s">
        <v>20</v>
      </c>
    </row>
    <row r="168" spans="1:14" ht="60" customHeight="1" x14ac:dyDescent="0.35">
      <c r="A168" s="9" t="s">
        <v>770</v>
      </c>
      <c r="B168" s="2" t="s">
        <v>771</v>
      </c>
      <c r="C168" s="1" t="s">
        <v>772</v>
      </c>
      <c r="D168" s="3" t="s">
        <v>17</v>
      </c>
      <c r="E168" s="3" t="s">
        <v>18</v>
      </c>
      <c r="F168" s="3" t="s">
        <v>19</v>
      </c>
      <c r="G168" s="3" t="s">
        <v>20</v>
      </c>
      <c r="H168" s="4" t="s">
        <v>20</v>
      </c>
      <c r="I168" s="4" t="s">
        <v>773</v>
      </c>
      <c r="J168" s="4" t="s">
        <v>774</v>
      </c>
      <c r="K168" s="4" t="s">
        <v>775</v>
      </c>
      <c r="L168" s="4" t="s">
        <v>776</v>
      </c>
      <c r="M168" s="3" t="str">
        <f t="shared" si="0"/>
        <v>Outstanding</v>
      </c>
      <c r="N168" s="11" t="s">
        <v>20</v>
      </c>
    </row>
    <row r="169" spans="1:14" ht="60" customHeight="1" x14ac:dyDescent="0.35">
      <c r="A169" s="9" t="s">
        <v>770</v>
      </c>
      <c r="B169" s="2" t="s">
        <v>777</v>
      </c>
      <c r="C169" s="1" t="s">
        <v>778</v>
      </c>
      <c r="D169" s="3" t="s">
        <v>17</v>
      </c>
      <c r="E169" s="3" t="s">
        <v>18</v>
      </c>
      <c r="F169" s="3" t="s">
        <v>19</v>
      </c>
      <c r="G169" s="3" t="s">
        <v>20</v>
      </c>
      <c r="H169" s="4" t="s">
        <v>20</v>
      </c>
      <c r="I169" s="4" t="s">
        <v>779</v>
      </c>
      <c r="J169" s="4" t="s">
        <v>780</v>
      </c>
      <c r="K169" s="4" t="s">
        <v>781</v>
      </c>
      <c r="L169" s="4" t="s">
        <v>776</v>
      </c>
      <c r="M169" s="3" t="str">
        <f t="shared" si="0"/>
        <v>Outstanding</v>
      </c>
      <c r="N169" s="11" t="s">
        <v>20</v>
      </c>
    </row>
    <row r="170" spans="1:14" ht="60" customHeight="1" x14ac:dyDescent="0.35">
      <c r="A170" s="9" t="s">
        <v>782</v>
      </c>
      <c r="B170" s="2" t="s">
        <v>783</v>
      </c>
      <c r="C170" s="1" t="s">
        <v>784</v>
      </c>
      <c r="D170" s="3" t="s">
        <v>17</v>
      </c>
      <c r="E170" s="3" t="s">
        <v>18</v>
      </c>
      <c r="F170" s="3" t="s">
        <v>19</v>
      </c>
      <c r="G170" s="3" t="s">
        <v>20</v>
      </c>
      <c r="H170" s="4" t="s">
        <v>20</v>
      </c>
      <c r="I170" s="4" t="s">
        <v>785</v>
      </c>
      <c r="J170" s="4" t="s">
        <v>786</v>
      </c>
      <c r="K170" s="4" t="s">
        <v>787</v>
      </c>
      <c r="L170" s="4" t="s">
        <v>644</v>
      </c>
      <c r="M170" s="3" t="str">
        <f t="shared" si="0"/>
        <v>Outstanding</v>
      </c>
      <c r="N170" s="11" t="s">
        <v>20</v>
      </c>
    </row>
    <row r="171" spans="1:14" ht="60" customHeight="1" x14ac:dyDescent="0.35">
      <c r="A171" s="9" t="s">
        <v>782</v>
      </c>
      <c r="B171" s="2" t="s">
        <v>788</v>
      </c>
      <c r="C171" s="1" t="s">
        <v>789</v>
      </c>
      <c r="D171" s="3" t="s">
        <v>17</v>
      </c>
      <c r="E171" s="3" t="s">
        <v>18</v>
      </c>
      <c r="F171" s="3" t="s">
        <v>19</v>
      </c>
      <c r="G171" s="3" t="s">
        <v>20</v>
      </c>
      <c r="H171" s="4" t="s">
        <v>20</v>
      </c>
      <c r="I171" s="4" t="s">
        <v>790</v>
      </c>
      <c r="J171" s="4" t="s">
        <v>791</v>
      </c>
      <c r="K171" s="4" t="s">
        <v>792</v>
      </c>
      <c r="L171" s="4" t="s">
        <v>644</v>
      </c>
      <c r="M171" s="3" t="str">
        <f t="shared" si="0"/>
        <v>Outstanding</v>
      </c>
      <c r="N171" s="11" t="s">
        <v>20</v>
      </c>
    </row>
    <row r="172" spans="1:14" ht="60" customHeight="1" x14ac:dyDescent="0.35">
      <c r="A172" s="9" t="s">
        <v>793</v>
      </c>
      <c r="B172" s="2" t="s">
        <v>794</v>
      </c>
      <c r="C172" s="1" t="s">
        <v>795</v>
      </c>
      <c r="D172" s="3" t="s">
        <v>17</v>
      </c>
      <c r="E172" s="3" t="s">
        <v>18</v>
      </c>
      <c r="F172" s="3" t="s">
        <v>19</v>
      </c>
      <c r="G172" s="3" t="s">
        <v>20</v>
      </c>
      <c r="H172" s="4" t="s">
        <v>20</v>
      </c>
      <c r="I172" s="4" t="s">
        <v>796</v>
      </c>
      <c r="J172" s="4" t="s">
        <v>797</v>
      </c>
      <c r="K172" s="4" t="s">
        <v>798</v>
      </c>
      <c r="L172" s="4" t="s">
        <v>476</v>
      </c>
      <c r="M172" s="3" t="str">
        <f t="shared" si="0"/>
        <v>Outstanding</v>
      </c>
      <c r="N172" s="11" t="s">
        <v>20</v>
      </c>
    </row>
    <row r="173" spans="1:14" ht="60" customHeight="1" x14ac:dyDescent="0.35">
      <c r="A173" s="9" t="s">
        <v>793</v>
      </c>
      <c r="B173" s="2" t="s">
        <v>799</v>
      </c>
      <c r="C173" s="1" t="s">
        <v>800</v>
      </c>
      <c r="D173" s="3" t="s">
        <v>17</v>
      </c>
      <c r="E173" s="3" t="s">
        <v>18</v>
      </c>
      <c r="F173" s="3" t="s">
        <v>19</v>
      </c>
      <c r="G173" s="3" t="s">
        <v>20</v>
      </c>
      <c r="H173" s="4" t="s">
        <v>20</v>
      </c>
      <c r="I173" s="4" t="s">
        <v>801</v>
      </c>
      <c r="J173" s="4" t="s">
        <v>797</v>
      </c>
      <c r="K173" s="4" t="s">
        <v>802</v>
      </c>
      <c r="L173" s="4" t="s">
        <v>476</v>
      </c>
      <c r="M173" s="3" t="str">
        <f t="shared" si="0"/>
        <v>Outstanding</v>
      </c>
      <c r="N173" s="11" t="s">
        <v>20</v>
      </c>
    </row>
    <row r="174" spans="1:14" ht="60" customHeight="1" x14ac:dyDescent="0.35">
      <c r="A174" s="9" t="s">
        <v>793</v>
      </c>
      <c r="B174" s="2" t="s">
        <v>803</v>
      </c>
      <c r="C174" s="1" t="s">
        <v>804</v>
      </c>
      <c r="D174" s="3" t="s">
        <v>17</v>
      </c>
      <c r="E174" s="3" t="s">
        <v>18</v>
      </c>
      <c r="F174" s="3" t="s">
        <v>19</v>
      </c>
      <c r="G174" s="3" t="s">
        <v>20</v>
      </c>
      <c r="H174" s="4" t="s">
        <v>20</v>
      </c>
      <c r="I174" s="4" t="s">
        <v>805</v>
      </c>
      <c r="J174" s="4" t="s">
        <v>806</v>
      </c>
      <c r="K174" s="4" t="s">
        <v>807</v>
      </c>
      <c r="L174" s="4" t="s">
        <v>476</v>
      </c>
      <c r="M174" s="3" t="str">
        <f t="shared" si="0"/>
        <v>Outstanding</v>
      </c>
      <c r="N174" s="11" t="s">
        <v>20</v>
      </c>
    </row>
    <row r="175" spans="1:14" ht="60" customHeight="1" x14ac:dyDescent="0.35">
      <c r="A175" s="9" t="s">
        <v>793</v>
      </c>
      <c r="B175" s="2" t="s">
        <v>808</v>
      </c>
      <c r="C175" s="1" t="s">
        <v>809</v>
      </c>
      <c r="D175" s="3" t="s">
        <v>17</v>
      </c>
      <c r="E175" s="3" t="s">
        <v>18</v>
      </c>
      <c r="F175" s="3" t="s">
        <v>19</v>
      </c>
      <c r="G175" s="3" t="s">
        <v>20</v>
      </c>
      <c r="H175" s="4" t="s">
        <v>20</v>
      </c>
      <c r="I175" s="4" t="s">
        <v>810</v>
      </c>
      <c r="J175" s="4" t="s">
        <v>806</v>
      </c>
      <c r="K175" s="4" t="s">
        <v>811</v>
      </c>
      <c r="L175" s="4" t="s">
        <v>476</v>
      </c>
      <c r="M175" s="3" t="str">
        <f t="shared" si="0"/>
        <v>Outstanding</v>
      </c>
      <c r="N175" s="11" t="s">
        <v>20</v>
      </c>
    </row>
    <row r="176" spans="1:14" ht="60" customHeight="1" x14ac:dyDescent="0.35">
      <c r="A176" s="9" t="s">
        <v>812</v>
      </c>
      <c r="B176" s="2" t="s">
        <v>813</v>
      </c>
      <c r="C176" s="1" t="s">
        <v>814</v>
      </c>
      <c r="D176" s="3" t="s">
        <v>17</v>
      </c>
      <c r="E176" s="3" t="s">
        <v>18</v>
      </c>
      <c r="F176" s="3" t="s">
        <v>19</v>
      </c>
      <c r="G176" s="3" t="s">
        <v>20</v>
      </c>
      <c r="H176" s="4" t="s">
        <v>20</v>
      </c>
      <c r="I176" s="4" t="s">
        <v>815</v>
      </c>
      <c r="J176" s="4" t="s">
        <v>816</v>
      </c>
      <c r="K176" s="4" t="s">
        <v>817</v>
      </c>
      <c r="L176" s="4" t="s">
        <v>631</v>
      </c>
      <c r="M176" s="3" t="str">
        <f t="shared" si="0"/>
        <v>Outstanding</v>
      </c>
      <c r="N176" s="11" t="s">
        <v>20</v>
      </c>
    </row>
    <row r="177" spans="1:14" ht="60" customHeight="1" x14ac:dyDescent="0.35">
      <c r="A177" s="9" t="s">
        <v>818</v>
      </c>
      <c r="B177" s="2" t="s">
        <v>819</v>
      </c>
      <c r="C177" s="1" t="s">
        <v>820</v>
      </c>
      <c r="D177" s="3" t="s">
        <v>17</v>
      </c>
      <c r="E177" s="3" t="s">
        <v>18</v>
      </c>
      <c r="F177" s="3" t="s">
        <v>19</v>
      </c>
      <c r="G177" s="3" t="s">
        <v>20</v>
      </c>
      <c r="H177" s="4" t="s">
        <v>20</v>
      </c>
      <c r="I177" s="4" t="s">
        <v>821</v>
      </c>
      <c r="J177" s="4" t="s">
        <v>822</v>
      </c>
      <c r="K177" s="4" t="s">
        <v>823</v>
      </c>
      <c r="L177" s="4" t="s">
        <v>824</v>
      </c>
      <c r="M177" s="3" t="str">
        <f t="shared" si="0"/>
        <v>Outstanding</v>
      </c>
      <c r="N177" s="11" t="s">
        <v>20</v>
      </c>
    </row>
    <row r="178" spans="1:14" ht="60" customHeight="1" x14ac:dyDescent="0.35">
      <c r="A178" s="9" t="s">
        <v>825</v>
      </c>
      <c r="B178" s="2" t="s">
        <v>826</v>
      </c>
      <c r="C178" s="1" t="s">
        <v>827</v>
      </c>
      <c r="D178" s="3" t="s">
        <v>17</v>
      </c>
      <c r="E178" s="3" t="s">
        <v>18</v>
      </c>
      <c r="F178" s="3" t="s">
        <v>19</v>
      </c>
      <c r="G178" s="3" t="s">
        <v>20</v>
      </c>
      <c r="H178" s="4" t="s">
        <v>20</v>
      </c>
      <c r="I178" s="4" t="s">
        <v>828</v>
      </c>
      <c r="J178" s="4" t="s">
        <v>829</v>
      </c>
      <c r="K178" s="4" t="s">
        <v>830</v>
      </c>
      <c r="L178" s="4" t="s">
        <v>482</v>
      </c>
      <c r="M178" s="3" t="str">
        <f t="shared" si="0"/>
        <v>Outstanding</v>
      </c>
      <c r="N178" s="11" t="s">
        <v>20</v>
      </c>
    </row>
    <row r="179" spans="1:14" ht="60" customHeight="1" x14ac:dyDescent="0.35">
      <c r="A179" s="9" t="s">
        <v>831</v>
      </c>
      <c r="B179" s="2" t="s">
        <v>832</v>
      </c>
      <c r="C179" s="1" t="s">
        <v>833</v>
      </c>
      <c r="D179" s="3" t="s">
        <v>17</v>
      </c>
      <c r="E179" s="3" t="s">
        <v>18</v>
      </c>
      <c r="F179" s="3" t="s">
        <v>19</v>
      </c>
      <c r="G179" s="3" t="s">
        <v>20</v>
      </c>
      <c r="H179" s="4" t="s">
        <v>20</v>
      </c>
      <c r="I179" s="4" t="s">
        <v>834</v>
      </c>
      <c r="J179" s="4" t="s">
        <v>835</v>
      </c>
      <c r="K179" s="4" t="s">
        <v>836</v>
      </c>
      <c r="L179" s="4" t="s">
        <v>464</v>
      </c>
      <c r="M179" s="3" t="str">
        <f t="shared" si="0"/>
        <v>Outstanding</v>
      </c>
      <c r="N179" s="11" t="s">
        <v>20</v>
      </c>
    </row>
    <row r="180" spans="1:14" ht="60" customHeight="1" x14ac:dyDescent="0.35">
      <c r="A180" s="9" t="s">
        <v>837</v>
      </c>
      <c r="B180" s="2" t="s">
        <v>838</v>
      </c>
      <c r="C180" s="1" t="s">
        <v>839</v>
      </c>
      <c r="D180" s="3" t="s">
        <v>17</v>
      </c>
      <c r="E180" s="3" t="s">
        <v>18</v>
      </c>
      <c r="F180" s="3" t="s">
        <v>19</v>
      </c>
      <c r="G180" s="3" t="s">
        <v>20</v>
      </c>
      <c r="H180" s="4" t="s">
        <v>20</v>
      </c>
      <c r="I180" s="4" t="s">
        <v>840</v>
      </c>
      <c r="J180" s="4" t="s">
        <v>841</v>
      </c>
      <c r="K180" s="4" t="s">
        <v>842</v>
      </c>
      <c r="L180" s="4" t="s">
        <v>488</v>
      </c>
      <c r="M180" s="3" t="str">
        <f t="shared" si="0"/>
        <v>Outstanding</v>
      </c>
      <c r="N180" s="11" t="s">
        <v>20</v>
      </c>
    </row>
    <row r="181" spans="1:14" ht="60" customHeight="1" x14ac:dyDescent="0.35">
      <c r="A181" s="9" t="s">
        <v>837</v>
      </c>
      <c r="B181" s="2" t="s">
        <v>843</v>
      </c>
      <c r="C181" s="1" t="s">
        <v>844</v>
      </c>
      <c r="D181" s="3" t="s">
        <v>17</v>
      </c>
      <c r="E181" s="3" t="s">
        <v>18</v>
      </c>
      <c r="F181" s="3" t="s">
        <v>19</v>
      </c>
      <c r="G181" s="3" t="s">
        <v>20</v>
      </c>
      <c r="H181" s="4" t="s">
        <v>20</v>
      </c>
      <c r="I181" s="4" t="s">
        <v>845</v>
      </c>
      <c r="J181" s="4" t="s">
        <v>846</v>
      </c>
      <c r="K181" s="4" t="s">
        <v>847</v>
      </c>
      <c r="L181" s="4" t="s">
        <v>476</v>
      </c>
      <c r="M181" s="3" t="str">
        <f t="shared" si="0"/>
        <v>Outstanding</v>
      </c>
      <c r="N181" s="11" t="s">
        <v>20</v>
      </c>
    </row>
    <row r="182" spans="1:14" ht="60" customHeight="1" x14ac:dyDescent="0.35">
      <c r="A182" s="9" t="s">
        <v>837</v>
      </c>
      <c r="B182" s="2" t="s">
        <v>848</v>
      </c>
      <c r="C182" s="1" t="s">
        <v>849</v>
      </c>
      <c r="D182" s="3" t="s">
        <v>17</v>
      </c>
      <c r="E182" s="3" t="s">
        <v>18</v>
      </c>
      <c r="F182" s="3" t="s">
        <v>19</v>
      </c>
      <c r="G182" s="3" t="s">
        <v>20</v>
      </c>
      <c r="H182" s="4" t="s">
        <v>20</v>
      </c>
      <c r="I182" s="4" t="s">
        <v>850</v>
      </c>
      <c r="J182" s="4" t="s">
        <v>851</v>
      </c>
      <c r="K182" s="4" t="s">
        <v>852</v>
      </c>
      <c r="L182" s="4" t="s">
        <v>853</v>
      </c>
      <c r="M182" s="3" t="str">
        <f t="shared" si="0"/>
        <v>Outstanding</v>
      </c>
      <c r="N182" s="11" t="s">
        <v>20</v>
      </c>
    </row>
    <row r="183" spans="1:14" ht="60" customHeight="1" x14ac:dyDescent="0.35">
      <c r="A183" s="9" t="s">
        <v>854</v>
      </c>
      <c r="B183" s="2" t="s">
        <v>855</v>
      </c>
      <c r="C183" s="1" t="s">
        <v>856</v>
      </c>
      <c r="D183" s="3" t="s">
        <v>17</v>
      </c>
      <c r="E183" s="3" t="s">
        <v>18</v>
      </c>
      <c r="F183" s="3" t="s">
        <v>19</v>
      </c>
      <c r="G183" s="3" t="s">
        <v>20</v>
      </c>
      <c r="H183" s="4" t="s">
        <v>20</v>
      </c>
      <c r="I183" s="4" t="s">
        <v>857</v>
      </c>
      <c r="J183" s="4" t="s">
        <v>858</v>
      </c>
      <c r="K183" s="4" t="s">
        <v>859</v>
      </c>
      <c r="L183" s="4" t="s">
        <v>860</v>
      </c>
      <c r="M183" s="3" t="str">
        <f t="shared" si="0"/>
        <v>Outstanding</v>
      </c>
      <c r="N183" s="11" t="s">
        <v>20</v>
      </c>
    </row>
    <row r="184" spans="1:14" ht="60" customHeight="1" x14ac:dyDescent="0.35">
      <c r="A184" s="9" t="s">
        <v>861</v>
      </c>
      <c r="B184" s="2" t="s">
        <v>862</v>
      </c>
      <c r="C184" s="1" t="s">
        <v>863</v>
      </c>
      <c r="D184" s="3" t="s">
        <v>17</v>
      </c>
      <c r="E184" s="3" t="s">
        <v>18</v>
      </c>
      <c r="F184" s="3" t="s">
        <v>19</v>
      </c>
      <c r="G184" s="3" t="s">
        <v>20</v>
      </c>
      <c r="H184" s="4" t="s">
        <v>20</v>
      </c>
      <c r="I184" s="4" t="s">
        <v>864</v>
      </c>
      <c r="J184" s="4" t="s">
        <v>865</v>
      </c>
      <c r="K184" s="4" t="s">
        <v>866</v>
      </c>
      <c r="L184" s="4" t="s">
        <v>703</v>
      </c>
      <c r="M184" s="3" t="str">
        <f t="shared" si="0"/>
        <v>Outstanding</v>
      </c>
      <c r="N184" s="11" t="s">
        <v>20</v>
      </c>
    </row>
    <row r="185" spans="1:14" ht="60" customHeight="1" x14ac:dyDescent="0.35">
      <c r="A185" s="9" t="s">
        <v>867</v>
      </c>
      <c r="B185" s="2" t="s">
        <v>868</v>
      </c>
      <c r="C185" s="1" t="s">
        <v>869</v>
      </c>
      <c r="D185" s="3" t="s">
        <v>17</v>
      </c>
      <c r="E185" s="3" t="s">
        <v>18</v>
      </c>
      <c r="F185" s="3" t="s">
        <v>19</v>
      </c>
      <c r="G185" s="3" t="s">
        <v>20</v>
      </c>
      <c r="H185" s="4" t="s">
        <v>20</v>
      </c>
      <c r="I185" s="4" t="s">
        <v>870</v>
      </c>
      <c r="J185" s="4" t="s">
        <v>871</v>
      </c>
      <c r="K185" s="4" t="s">
        <v>872</v>
      </c>
      <c r="L185" s="4" t="s">
        <v>488</v>
      </c>
      <c r="M185" s="3" t="str">
        <f t="shared" si="0"/>
        <v>Outstanding</v>
      </c>
      <c r="N185" s="11" t="s">
        <v>20</v>
      </c>
    </row>
    <row r="186" spans="1:14" ht="60" customHeight="1" x14ac:dyDescent="0.35">
      <c r="A186" s="9" t="s">
        <v>873</v>
      </c>
      <c r="B186" s="2" t="s">
        <v>874</v>
      </c>
      <c r="C186" s="1" t="s">
        <v>875</v>
      </c>
      <c r="D186" s="3" t="s">
        <v>17</v>
      </c>
      <c r="E186" s="3" t="s">
        <v>18</v>
      </c>
      <c r="F186" s="3" t="s">
        <v>19</v>
      </c>
      <c r="G186" s="3" t="s">
        <v>20</v>
      </c>
      <c r="H186" s="4" t="s">
        <v>20</v>
      </c>
      <c r="I186" s="4" t="s">
        <v>876</v>
      </c>
      <c r="J186" s="4" t="s">
        <v>877</v>
      </c>
      <c r="K186" s="4" t="s">
        <v>878</v>
      </c>
      <c r="L186" s="4" t="s">
        <v>488</v>
      </c>
      <c r="M186" s="3" t="str">
        <f t="shared" si="0"/>
        <v>Outstanding</v>
      </c>
      <c r="N186" s="11" t="s">
        <v>20</v>
      </c>
    </row>
    <row r="187" spans="1:14" ht="60" customHeight="1" x14ac:dyDescent="0.35">
      <c r="A187" s="9" t="s">
        <v>879</v>
      </c>
      <c r="B187" s="2" t="s">
        <v>880</v>
      </c>
      <c r="C187" s="1" t="s">
        <v>881</v>
      </c>
      <c r="D187" s="3" t="s">
        <v>17</v>
      </c>
      <c r="E187" s="3" t="s">
        <v>18</v>
      </c>
      <c r="F187" s="3" t="s">
        <v>19</v>
      </c>
      <c r="G187" s="3" t="s">
        <v>20</v>
      </c>
      <c r="H187" s="4" t="s">
        <v>20</v>
      </c>
      <c r="I187" s="4" t="s">
        <v>882</v>
      </c>
      <c r="J187" s="4" t="s">
        <v>883</v>
      </c>
      <c r="K187" s="4" t="s">
        <v>884</v>
      </c>
      <c r="L187" s="4" t="s">
        <v>651</v>
      </c>
      <c r="M187" s="3" t="str">
        <f t="shared" si="0"/>
        <v>Outstanding</v>
      </c>
      <c r="N187" s="11" t="s">
        <v>20</v>
      </c>
    </row>
    <row r="188" spans="1:14" ht="60" customHeight="1" x14ac:dyDescent="0.35">
      <c r="A188" s="9" t="s">
        <v>885</v>
      </c>
      <c r="B188" s="2" t="s">
        <v>886</v>
      </c>
      <c r="C188" s="1" t="s">
        <v>887</v>
      </c>
      <c r="D188" s="3" t="s">
        <v>17</v>
      </c>
      <c r="E188" s="3" t="s">
        <v>18</v>
      </c>
      <c r="F188" s="3" t="s">
        <v>19</v>
      </c>
      <c r="G188" s="3" t="s">
        <v>20</v>
      </c>
      <c r="H188" s="4" t="s">
        <v>20</v>
      </c>
      <c r="I188" s="4" t="s">
        <v>888</v>
      </c>
      <c r="J188" s="4" t="s">
        <v>889</v>
      </c>
      <c r="K188" s="4" t="s">
        <v>890</v>
      </c>
      <c r="L188" s="4" t="s">
        <v>476</v>
      </c>
      <c r="M188" s="3" t="str">
        <f t="shared" si="0"/>
        <v>Outstanding</v>
      </c>
      <c r="N188" s="11" t="s">
        <v>20</v>
      </c>
    </row>
    <row r="189" spans="1:14" ht="60" customHeight="1" x14ac:dyDescent="0.35">
      <c r="A189" s="9" t="s">
        <v>891</v>
      </c>
      <c r="B189" s="2" t="s">
        <v>892</v>
      </c>
      <c r="C189" s="1" t="s">
        <v>893</v>
      </c>
      <c r="D189" s="3" t="s">
        <v>17</v>
      </c>
      <c r="E189" s="3" t="s">
        <v>18</v>
      </c>
      <c r="F189" s="3" t="s">
        <v>19</v>
      </c>
      <c r="G189" s="3" t="s">
        <v>20</v>
      </c>
      <c r="H189" s="4" t="s">
        <v>20</v>
      </c>
      <c r="I189" s="4" t="s">
        <v>894</v>
      </c>
      <c r="J189" s="4" t="s">
        <v>895</v>
      </c>
      <c r="K189" s="4" t="s">
        <v>896</v>
      </c>
      <c r="L189" s="4" t="s">
        <v>476</v>
      </c>
      <c r="M189" s="3" t="str">
        <f t="shared" si="0"/>
        <v>Outstanding</v>
      </c>
      <c r="N189" s="11" t="s">
        <v>20</v>
      </c>
    </row>
    <row r="190" spans="1:14" ht="60" customHeight="1" x14ac:dyDescent="0.35">
      <c r="A190" s="9" t="s">
        <v>897</v>
      </c>
      <c r="B190" s="2" t="s">
        <v>898</v>
      </c>
      <c r="C190" s="1" t="s">
        <v>899</v>
      </c>
      <c r="D190" s="3" t="s">
        <v>17</v>
      </c>
      <c r="E190" s="3" t="s">
        <v>18</v>
      </c>
      <c r="F190" s="3" t="s">
        <v>19</v>
      </c>
      <c r="G190" s="3" t="s">
        <v>20</v>
      </c>
      <c r="H190" s="4" t="s">
        <v>20</v>
      </c>
      <c r="I190" s="4" t="s">
        <v>900</v>
      </c>
      <c r="J190" s="4" t="s">
        <v>901</v>
      </c>
      <c r="K190" s="4" t="s">
        <v>902</v>
      </c>
      <c r="L190" s="4" t="s">
        <v>476</v>
      </c>
      <c r="M190" s="3" t="str">
        <f t="shared" si="0"/>
        <v>Outstanding</v>
      </c>
      <c r="N190" s="11" t="s">
        <v>20</v>
      </c>
    </row>
    <row r="191" spans="1:14" ht="60" customHeight="1" x14ac:dyDescent="0.35">
      <c r="A191" s="9" t="s">
        <v>903</v>
      </c>
      <c r="B191" s="2" t="s">
        <v>904</v>
      </c>
      <c r="C191" s="1" t="s">
        <v>893</v>
      </c>
      <c r="D191" s="3" t="s">
        <v>17</v>
      </c>
      <c r="E191" s="3" t="s">
        <v>18</v>
      </c>
      <c r="F191" s="3" t="s">
        <v>19</v>
      </c>
      <c r="G191" s="3" t="s">
        <v>20</v>
      </c>
      <c r="H191" s="4" t="s">
        <v>20</v>
      </c>
      <c r="I191" s="4" t="s">
        <v>905</v>
      </c>
      <c r="J191" s="4" t="s">
        <v>895</v>
      </c>
      <c r="K191" s="4" t="s">
        <v>906</v>
      </c>
      <c r="L191" s="4" t="s">
        <v>476</v>
      </c>
      <c r="M191" s="3" t="str">
        <f t="shared" si="0"/>
        <v>Outstanding</v>
      </c>
      <c r="N191" s="11" t="s">
        <v>20</v>
      </c>
    </row>
    <row r="192" spans="1:14" ht="60" customHeight="1" x14ac:dyDescent="0.35">
      <c r="A192" s="9" t="s">
        <v>907</v>
      </c>
      <c r="B192" s="2" t="s">
        <v>908</v>
      </c>
      <c r="C192" s="1" t="s">
        <v>909</v>
      </c>
      <c r="D192" s="3" t="s">
        <v>17</v>
      </c>
      <c r="E192" s="3" t="s">
        <v>18</v>
      </c>
      <c r="F192" s="3" t="s">
        <v>19</v>
      </c>
      <c r="G192" s="3" t="s">
        <v>20</v>
      </c>
      <c r="H192" s="4" t="s">
        <v>20</v>
      </c>
      <c r="I192" s="4" t="s">
        <v>910</v>
      </c>
      <c r="J192" s="4" t="s">
        <v>911</v>
      </c>
      <c r="K192" s="4" t="s">
        <v>912</v>
      </c>
      <c r="L192" s="4" t="s">
        <v>644</v>
      </c>
      <c r="M192" s="3" t="str">
        <f t="shared" si="0"/>
        <v>Outstanding</v>
      </c>
      <c r="N192" s="11" t="s">
        <v>20</v>
      </c>
    </row>
    <row r="193" spans="1:14" ht="60" customHeight="1" x14ac:dyDescent="0.35">
      <c r="A193" s="9" t="s">
        <v>907</v>
      </c>
      <c r="B193" s="2" t="s">
        <v>913</v>
      </c>
      <c r="C193" s="1" t="s">
        <v>914</v>
      </c>
      <c r="D193" s="3" t="s">
        <v>17</v>
      </c>
      <c r="E193" s="3" t="s">
        <v>18</v>
      </c>
      <c r="F193" s="3" t="s">
        <v>19</v>
      </c>
      <c r="G193" s="3" t="s">
        <v>20</v>
      </c>
      <c r="H193" s="4" t="s">
        <v>20</v>
      </c>
      <c r="I193" s="4" t="s">
        <v>915</v>
      </c>
      <c r="J193" s="4" t="s">
        <v>916</v>
      </c>
      <c r="K193" s="4" t="s">
        <v>917</v>
      </c>
      <c r="L193" s="4" t="s">
        <v>644</v>
      </c>
      <c r="M193" s="3" t="str">
        <f t="shared" si="0"/>
        <v>Outstanding</v>
      </c>
      <c r="N193" s="11" t="s">
        <v>20</v>
      </c>
    </row>
    <row r="194" spans="1:14" ht="60" customHeight="1" x14ac:dyDescent="0.35">
      <c r="A194" s="9" t="s">
        <v>918</v>
      </c>
      <c r="B194" s="2" t="s">
        <v>919</v>
      </c>
      <c r="C194" s="1" t="s">
        <v>920</v>
      </c>
      <c r="D194" s="3" t="s">
        <v>17</v>
      </c>
      <c r="E194" s="3" t="s">
        <v>18</v>
      </c>
      <c r="F194" s="3" t="s">
        <v>19</v>
      </c>
      <c r="G194" s="3" t="s">
        <v>20</v>
      </c>
      <c r="H194" s="4" t="s">
        <v>20</v>
      </c>
      <c r="I194" s="4" t="s">
        <v>921</v>
      </c>
      <c r="J194" s="4" t="s">
        <v>922</v>
      </c>
      <c r="K194" s="4" t="s">
        <v>923</v>
      </c>
      <c r="L194" s="4" t="s">
        <v>924</v>
      </c>
      <c r="M194" s="3" t="str">
        <f t="shared" si="0"/>
        <v>Outstanding</v>
      </c>
      <c r="N194" s="11" t="s">
        <v>20</v>
      </c>
    </row>
    <row r="195" spans="1:14" ht="60" customHeight="1" x14ac:dyDescent="0.35">
      <c r="A195" s="9" t="s">
        <v>918</v>
      </c>
      <c r="B195" s="2" t="s">
        <v>925</v>
      </c>
      <c r="C195" s="1" t="s">
        <v>926</v>
      </c>
      <c r="D195" s="3" t="s">
        <v>17</v>
      </c>
      <c r="E195" s="3" t="s">
        <v>18</v>
      </c>
      <c r="F195" s="3" t="s">
        <v>19</v>
      </c>
      <c r="G195" s="3" t="s">
        <v>20</v>
      </c>
      <c r="H195" s="4" t="s">
        <v>20</v>
      </c>
      <c r="I195" s="4" t="s">
        <v>927</v>
      </c>
      <c r="J195" s="4" t="s">
        <v>928</v>
      </c>
      <c r="K195" s="4" t="s">
        <v>929</v>
      </c>
      <c r="L195" s="4" t="s">
        <v>930</v>
      </c>
      <c r="M195" s="3" t="str">
        <f t="shared" si="0"/>
        <v>Outstanding</v>
      </c>
      <c r="N195" s="11" t="s">
        <v>20</v>
      </c>
    </row>
    <row r="196" spans="1:14" ht="60" customHeight="1" x14ac:dyDescent="0.35">
      <c r="A196" s="9" t="s">
        <v>918</v>
      </c>
      <c r="B196" s="2" t="s">
        <v>931</v>
      </c>
      <c r="C196" s="1" t="s">
        <v>932</v>
      </c>
      <c r="D196" s="3" t="s">
        <v>17</v>
      </c>
      <c r="E196" s="3" t="s">
        <v>18</v>
      </c>
      <c r="F196" s="3" t="s">
        <v>19</v>
      </c>
      <c r="G196" s="3" t="s">
        <v>20</v>
      </c>
      <c r="H196" s="4" t="s">
        <v>20</v>
      </c>
      <c r="I196" s="4" t="s">
        <v>933</v>
      </c>
      <c r="J196" s="4" t="s">
        <v>934</v>
      </c>
      <c r="K196" s="4" t="s">
        <v>935</v>
      </c>
      <c r="L196" s="4" t="s">
        <v>930</v>
      </c>
      <c r="M196" s="3" t="str">
        <f t="shared" si="0"/>
        <v>Outstanding</v>
      </c>
      <c r="N196" s="11" t="s">
        <v>20</v>
      </c>
    </row>
    <row r="197" spans="1:14" ht="60" customHeight="1" x14ac:dyDescent="0.35">
      <c r="A197" s="9" t="s">
        <v>918</v>
      </c>
      <c r="B197" s="2" t="s">
        <v>936</v>
      </c>
      <c r="C197" s="1" t="s">
        <v>937</v>
      </c>
      <c r="D197" s="3" t="s">
        <v>17</v>
      </c>
      <c r="E197" s="3" t="s">
        <v>18</v>
      </c>
      <c r="F197" s="3" t="s">
        <v>19</v>
      </c>
      <c r="G197" s="3" t="s">
        <v>20</v>
      </c>
      <c r="H197" s="4" t="s">
        <v>20</v>
      </c>
      <c r="I197" s="4" t="s">
        <v>938</v>
      </c>
      <c r="J197" s="4" t="s">
        <v>939</v>
      </c>
      <c r="K197" s="4" t="s">
        <v>940</v>
      </c>
      <c r="L197" s="4" t="s">
        <v>924</v>
      </c>
      <c r="M197" s="3" t="str">
        <f t="shared" si="0"/>
        <v>Outstanding</v>
      </c>
      <c r="N197" s="11" t="s">
        <v>20</v>
      </c>
    </row>
    <row r="198" spans="1:14" ht="60" customHeight="1" x14ac:dyDescent="0.35">
      <c r="A198" s="9" t="s">
        <v>918</v>
      </c>
      <c r="B198" s="2" t="s">
        <v>941</v>
      </c>
      <c r="C198" s="1" t="s">
        <v>942</v>
      </c>
      <c r="D198" s="3" t="s">
        <v>17</v>
      </c>
      <c r="E198" s="3" t="s">
        <v>18</v>
      </c>
      <c r="F198" s="3" t="s">
        <v>19</v>
      </c>
      <c r="G198" s="3" t="s">
        <v>20</v>
      </c>
      <c r="H198" s="4" t="s">
        <v>20</v>
      </c>
      <c r="I198" s="4" t="s">
        <v>943</v>
      </c>
      <c r="J198" s="4" t="s">
        <v>944</v>
      </c>
      <c r="K198" s="4" t="s">
        <v>945</v>
      </c>
      <c r="L198" s="4" t="s">
        <v>946</v>
      </c>
      <c r="M198" s="3" t="str">
        <f t="shared" si="0"/>
        <v>Outstanding</v>
      </c>
      <c r="N198" s="11" t="s">
        <v>20</v>
      </c>
    </row>
    <row r="199" spans="1:14" ht="60" customHeight="1" x14ac:dyDescent="0.35">
      <c r="A199" s="9" t="s">
        <v>918</v>
      </c>
      <c r="B199" s="2" t="s">
        <v>947</v>
      </c>
      <c r="C199" s="1" t="s">
        <v>948</v>
      </c>
      <c r="D199" s="3" t="s">
        <v>17</v>
      </c>
      <c r="E199" s="3" t="s">
        <v>18</v>
      </c>
      <c r="F199" s="3" t="s">
        <v>19</v>
      </c>
      <c r="G199" s="3" t="s">
        <v>20</v>
      </c>
      <c r="H199" s="4" t="s">
        <v>20</v>
      </c>
      <c r="I199" s="4" t="s">
        <v>949</v>
      </c>
      <c r="J199" s="4" t="s">
        <v>950</v>
      </c>
      <c r="K199" s="4" t="s">
        <v>951</v>
      </c>
      <c r="L199" s="4" t="s">
        <v>946</v>
      </c>
      <c r="M199" s="3" t="str">
        <f t="shared" si="0"/>
        <v>Outstanding</v>
      </c>
      <c r="N199" s="11" t="s">
        <v>20</v>
      </c>
    </row>
    <row r="200" spans="1:14" ht="60" customHeight="1" x14ac:dyDescent="0.35">
      <c r="A200" s="9" t="s">
        <v>918</v>
      </c>
      <c r="B200" s="2" t="s">
        <v>952</v>
      </c>
      <c r="C200" s="1" t="s">
        <v>953</v>
      </c>
      <c r="D200" s="3" t="s">
        <v>17</v>
      </c>
      <c r="E200" s="3" t="s">
        <v>18</v>
      </c>
      <c r="F200" s="3" t="s">
        <v>19</v>
      </c>
      <c r="G200" s="3" t="s">
        <v>20</v>
      </c>
      <c r="H200" s="4" t="s">
        <v>20</v>
      </c>
      <c r="I200" s="4" t="s">
        <v>954</v>
      </c>
      <c r="J200" s="4" t="s">
        <v>955</v>
      </c>
      <c r="K200" s="4" t="s">
        <v>956</v>
      </c>
      <c r="L200" s="4" t="s">
        <v>946</v>
      </c>
      <c r="M200" s="3" t="str">
        <f t="shared" si="0"/>
        <v>Outstanding</v>
      </c>
      <c r="N200" s="11" t="s">
        <v>20</v>
      </c>
    </row>
    <row r="201" spans="1:14" ht="60" customHeight="1" x14ac:dyDescent="0.35">
      <c r="A201" s="9" t="s">
        <v>918</v>
      </c>
      <c r="B201" s="2" t="s">
        <v>957</v>
      </c>
      <c r="C201" s="1" t="s">
        <v>958</v>
      </c>
      <c r="D201" s="3" t="s">
        <v>17</v>
      </c>
      <c r="E201" s="3" t="s">
        <v>18</v>
      </c>
      <c r="F201" s="3" t="s">
        <v>19</v>
      </c>
      <c r="G201" s="3" t="s">
        <v>20</v>
      </c>
      <c r="H201" s="4" t="s">
        <v>20</v>
      </c>
      <c r="I201" s="4" t="s">
        <v>959</v>
      </c>
      <c r="J201" s="4" t="s">
        <v>960</v>
      </c>
      <c r="K201" s="4" t="s">
        <v>961</v>
      </c>
      <c r="L201" s="4" t="s">
        <v>924</v>
      </c>
      <c r="M201" s="3" t="str">
        <f t="shared" si="0"/>
        <v>Outstanding</v>
      </c>
      <c r="N201" s="11" t="s">
        <v>20</v>
      </c>
    </row>
    <row r="202" spans="1:14" ht="60" customHeight="1" x14ac:dyDescent="0.35">
      <c r="A202" s="9" t="s">
        <v>918</v>
      </c>
      <c r="B202" s="2" t="s">
        <v>962</v>
      </c>
      <c r="C202" s="1" t="s">
        <v>963</v>
      </c>
      <c r="D202" s="3" t="s">
        <v>17</v>
      </c>
      <c r="E202" s="3" t="s">
        <v>18</v>
      </c>
      <c r="F202" s="3" t="s">
        <v>19</v>
      </c>
      <c r="G202" s="3" t="s">
        <v>20</v>
      </c>
      <c r="H202" s="4" t="s">
        <v>20</v>
      </c>
      <c r="I202" s="4" t="s">
        <v>964</v>
      </c>
      <c r="J202" s="4" t="s">
        <v>965</v>
      </c>
      <c r="K202" s="4" t="s">
        <v>966</v>
      </c>
      <c r="L202" s="4" t="s">
        <v>967</v>
      </c>
      <c r="M202" s="3" t="str">
        <f t="shared" si="0"/>
        <v>Outstanding</v>
      </c>
      <c r="N202" s="11" t="s">
        <v>20</v>
      </c>
    </row>
    <row r="203" spans="1:14" ht="60" customHeight="1" x14ac:dyDescent="0.35">
      <c r="A203" s="9" t="s">
        <v>918</v>
      </c>
      <c r="B203" s="2" t="s">
        <v>968</v>
      </c>
      <c r="C203" s="1" t="s">
        <v>969</v>
      </c>
      <c r="D203" s="3" t="s">
        <v>17</v>
      </c>
      <c r="E203" s="3" t="s">
        <v>18</v>
      </c>
      <c r="F203" s="3" t="s">
        <v>19</v>
      </c>
      <c r="G203" s="3" t="s">
        <v>20</v>
      </c>
      <c r="H203" s="4" t="s">
        <v>20</v>
      </c>
      <c r="I203" s="4" t="s">
        <v>970</v>
      </c>
      <c r="J203" s="4" t="s">
        <v>971</v>
      </c>
      <c r="K203" s="4" t="s">
        <v>972</v>
      </c>
      <c r="L203" s="4" t="s">
        <v>973</v>
      </c>
      <c r="M203" s="3" t="str">
        <f t="shared" si="0"/>
        <v>Outstanding</v>
      </c>
      <c r="N203" s="11" t="s">
        <v>20</v>
      </c>
    </row>
    <row r="204" spans="1:14" ht="60" customHeight="1" x14ac:dyDescent="0.35">
      <c r="A204" s="9" t="s">
        <v>974</v>
      </c>
      <c r="B204" s="2" t="s">
        <v>975</v>
      </c>
      <c r="C204" s="1" t="s">
        <v>976</v>
      </c>
      <c r="D204" s="3" t="s">
        <v>17</v>
      </c>
      <c r="E204" s="3" t="s">
        <v>18</v>
      </c>
      <c r="F204" s="3" t="s">
        <v>19</v>
      </c>
      <c r="G204" s="3" t="s">
        <v>20</v>
      </c>
      <c r="H204" s="4" t="s">
        <v>20</v>
      </c>
      <c r="I204" s="4" t="s">
        <v>977</v>
      </c>
      <c r="J204" s="4" t="s">
        <v>978</v>
      </c>
      <c r="K204" s="4" t="s">
        <v>979</v>
      </c>
      <c r="L204" s="4" t="s">
        <v>973</v>
      </c>
      <c r="M204" s="3" t="str">
        <f t="shared" si="0"/>
        <v>Outstanding</v>
      </c>
      <c r="N204" s="11" t="s">
        <v>20</v>
      </c>
    </row>
    <row r="205" spans="1:14" ht="60" customHeight="1" x14ac:dyDescent="0.35">
      <c r="A205" s="9" t="s">
        <v>980</v>
      </c>
      <c r="B205" s="2" t="s">
        <v>981</v>
      </c>
      <c r="C205" s="1" t="s">
        <v>982</v>
      </c>
      <c r="D205" s="3" t="s">
        <v>17</v>
      </c>
      <c r="E205" s="3" t="s">
        <v>18</v>
      </c>
      <c r="F205" s="3" t="s">
        <v>19</v>
      </c>
      <c r="G205" s="3" t="s">
        <v>20</v>
      </c>
      <c r="H205" s="4" t="s">
        <v>20</v>
      </c>
      <c r="I205" s="4" t="s">
        <v>983</v>
      </c>
      <c r="J205" s="4" t="s">
        <v>984</v>
      </c>
      <c r="K205" s="4" t="s">
        <v>985</v>
      </c>
      <c r="L205" s="4" t="s">
        <v>967</v>
      </c>
      <c r="M205" s="3" t="str">
        <f t="shared" si="0"/>
        <v>Outstanding</v>
      </c>
      <c r="N205" s="11" t="s">
        <v>20</v>
      </c>
    </row>
    <row r="206" spans="1:14" ht="60" customHeight="1" x14ac:dyDescent="0.35">
      <c r="A206" s="9" t="s">
        <v>980</v>
      </c>
      <c r="B206" s="2" t="s">
        <v>986</v>
      </c>
      <c r="C206" s="1" t="s">
        <v>987</v>
      </c>
      <c r="D206" s="3" t="s">
        <v>17</v>
      </c>
      <c r="E206" s="3" t="s">
        <v>18</v>
      </c>
      <c r="F206" s="3" t="s">
        <v>19</v>
      </c>
      <c r="G206" s="3" t="s">
        <v>20</v>
      </c>
      <c r="H206" s="4" t="s">
        <v>20</v>
      </c>
      <c r="I206" s="4" t="s">
        <v>988</v>
      </c>
      <c r="J206" s="4" t="s">
        <v>989</v>
      </c>
      <c r="K206" s="4" t="s">
        <v>990</v>
      </c>
      <c r="L206" s="4" t="s">
        <v>991</v>
      </c>
      <c r="M206" s="3" t="str">
        <f t="shared" si="0"/>
        <v>Outstanding</v>
      </c>
      <c r="N206" s="11" t="s">
        <v>20</v>
      </c>
    </row>
    <row r="207" spans="1:14" ht="60" customHeight="1" x14ac:dyDescent="0.35">
      <c r="A207" s="9" t="s">
        <v>980</v>
      </c>
      <c r="B207" s="2" t="s">
        <v>992</v>
      </c>
      <c r="C207" s="1" t="s">
        <v>993</v>
      </c>
      <c r="D207" s="3" t="s">
        <v>17</v>
      </c>
      <c r="E207" s="3" t="s">
        <v>18</v>
      </c>
      <c r="F207" s="3" t="s">
        <v>19</v>
      </c>
      <c r="G207" s="3" t="s">
        <v>20</v>
      </c>
      <c r="H207" s="4" t="s">
        <v>20</v>
      </c>
      <c r="I207" s="4" t="s">
        <v>994</v>
      </c>
      <c r="J207" s="4" t="s">
        <v>995</v>
      </c>
      <c r="K207" s="4" t="s">
        <v>996</v>
      </c>
      <c r="L207" s="4" t="s">
        <v>991</v>
      </c>
      <c r="M207" s="3" t="str">
        <f t="shared" si="0"/>
        <v>Outstanding</v>
      </c>
      <c r="N207" s="11" t="s">
        <v>20</v>
      </c>
    </row>
    <row r="208" spans="1:14" ht="60" customHeight="1" x14ac:dyDescent="0.35">
      <c r="A208" s="9" t="s">
        <v>980</v>
      </c>
      <c r="B208" s="2" t="s">
        <v>997</v>
      </c>
      <c r="C208" s="1" t="s">
        <v>998</v>
      </c>
      <c r="D208" s="3" t="s">
        <v>17</v>
      </c>
      <c r="E208" s="3" t="s">
        <v>18</v>
      </c>
      <c r="F208" s="3" t="s">
        <v>19</v>
      </c>
      <c r="G208" s="3" t="s">
        <v>20</v>
      </c>
      <c r="H208" s="4" t="s">
        <v>20</v>
      </c>
      <c r="I208" s="4" t="s">
        <v>999</v>
      </c>
      <c r="J208" s="4" t="s">
        <v>1000</v>
      </c>
      <c r="K208" s="4" t="s">
        <v>1001</v>
      </c>
      <c r="L208" s="4" t="s">
        <v>1002</v>
      </c>
      <c r="M208" s="3" t="str">
        <f t="shared" si="0"/>
        <v>Outstanding</v>
      </c>
      <c r="N208" s="11" t="s">
        <v>20</v>
      </c>
    </row>
    <row r="209" spans="1:14" ht="60" customHeight="1" x14ac:dyDescent="0.35">
      <c r="A209" s="9" t="s">
        <v>980</v>
      </c>
      <c r="B209" s="2" t="s">
        <v>1003</v>
      </c>
      <c r="C209" s="1" t="s">
        <v>1004</v>
      </c>
      <c r="D209" s="3" t="s">
        <v>17</v>
      </c>
      <c r="E209" s="3" t="s">
        <v>18</v>
      </c>
      <c r="F209" s="3" t="s">
        <v>19</v>
      </c>
      <c r="G209" s="3" t="s">
        <v>20</v>
      </c>
      <c r="H209" s="4" t="s">
        <v>20</v>
      </c>
      <c r="I209" s="4" t="s">
        <v>1005</v>
      </c>
      <c r="J209" s="4" t="s">
        <v>1006</v>
      </c>
      <c r="K209" s="4" t="s">
        <v>1007</v>
      </c>
      <c r="L209" s="4" t="s">
        <v>924</v>
      </c>
      <c r="M209" s="3" t="str">
        <f t="shared" si="0"/>
        <v>Outstanding</v>
      </c>
      <c r="N209" s="11" t="s">
        <v>20</v>
      </c>
    </row>
    <row r="210" spans="1:14" ht="60" customHeight="1" x14ac:dyDescent="0.35">
      <c r="A210" s="9" t="s">
        <v>980</v>
      </c>
      <c r="B210" s="2" t="s">
        <v>1008</v>
      </c>
      <c r="C210" s="1" t="s">
        <v>1009</v>
      </c>
      <c r="D210" s="3" t="s">
        <v>17</v>
      </c>
      <c r="E210" s="3" t="s">
        <v>18</v>
      </c>
      <c r="F210" s="3" t="s">
        <v>19</v>
      </c>
      <c r="G210" s="3" t="s">
        <v>20</v>
      </c>
      <c r="H210" s="4" t="s">
        <v>20</v>
      </c>
      <c r="I210" s="4" t="s">
        <v>1010</v>
      </c>
      <c r="J210" s="4" t="s">
        <v>1011</v>
      </c>
      <c r="K210" s="4" t="s">
        <v>1012</v>
      </c>
      <c r="L210" s="4" t="s">
        <v>1013</v>
      </c>
      <c r="M210" s="3" t="str">
        <f t="shared" si="0"/>
        <v>Outstanding</v>
      </c>
      <c r="N210" s="11" t="s">
        <v>20</v>
      </c>
    </row>
    <row r="211" spans="1:14" ht="60" customHeight="1" x14ac:dyDescent="0.35">
      <c r="A211" s="9" t="s">
        <v>980</v>
      </c>
      <c r="B211" s="2" t="s">
        <v>1014</v>
      </c>
      <c r="C211" s="1" t="s">
        <v>1015</v>
      </c>
      <c r="D211" s="3" t="s">
        <v>17</v>
      </c>
      <c r="E211" s="3" t="s">
        <v>18</v>
      </c>
      <c r="F211" s="3" t="s">
        <v>19</v>
      </c>
      <c r="G211" s="3" t="s">
        <v>20</v>
      </c>
      <c r="H211" s="4" t="s">
        <v>20</v>
      </c>
      <c r="I211" s="4" t="s">
        <v>1016</v>
      </c>
      <c r="J211" s="4" t="s">
        <v>1017</v>
      </c>
      <c r="K211" s="4" t="s">
        <v>1018</v>
      </c>
      <c r="L211" s="4" t="s">
        <v>1002</v>
      </c>
      <c r="M211" s="3" t="str">
        <f t="shared" si="0"/>
        <v>Outstanding</v>
      </c>
      <c r="N211" s="11" t="s">
        <v>20</v>
      </c>
    </row>
    <row r="212" spans="1:14" ht="60" customHeight="1" x14ac:dyDescent="0.35">
      <c r="A212" s="9" t="s">
        <v>1019</v>
      </c>
      <c r="B212" s="2" t="s">
        <v>1020</v>
      </c>
      <c r="C212" s="1" t="s">
        <v>1021</v>
      </c>
      <c r="D212" s="3" t="s">
        <v>17</v>
      </c>
      <c r="E212" s="3" t="s">
        <v>18</v>
      </c>
      <c r="F212" s="3" t="s">
        <v>19</v>
      </c>
      <c r="G212" s="3" t="s">
        <v>20</v>
      </c>
      <c r="H212" s="4" t="s">
        <v>20</v>
      </c>
      <c r="I212" s="4" t="s">
        <v>1022</v>
      </c>
      <c r="J212" s="4" t="s">
        <v>1023</v>
      </c>
      <c r="K212" s="4" t="s">
        <v>1024</v>
      </c>
      <c r="L212" s="4" t="s">
        <v>967</v>
      </c>
      <c r="M212" s="3" t="str">
        <f t="shared" si="0"/>
        <v>Outstanding</v>
      </c>
      <c r="N212" s="11" t="s">
        <v>20</v>
      </c>
    </row>
    <row r="213" spans="1:14" ht="60" customHeight="1" x14ac:dyDescent="0.35">
      <c r="A213" s="9" t="s">
        <v>1019</v>
      </c>
      <c r="B213" s="2" t="s">
        <v>1025</v>
      </c>
      <c r="C213" s="1" t="s">
        <v>1026</v>
      </c>
      <c r="D213" s="3" t="s">
        <v>17</v>
      </c>
      <c r="E213" s="3" t="s">
        <v>18</v>
      </c>
      <c r="F213" s="3" t="s">
        <v>19</v>
      </c>
      <c r="G213" s="3" t="s">
        <v>20</v>
      </c>
      <c r="H213" s="4" t="s">
        <v>20</v>
      </c>
      <c r="I213" s="4" t="s">
        <v>1027</v>
      </c>
      <c r="J213" s="4" t="s">
        <v>1028</v>
      </c>
      <c r="K213" s="4" t="s">
        <v>1029</v>
      </c>
      <c r="L213" s="4" t="s">
        <v>924</v>
      </c>
      <c r="M213" s="3" t="str">
        <f t="shared" si="0"/>
        <v>Outstanding</v>
      </c>
      <c r="N213" s="11" t="s">
        <v>20</v>
      </c>
    </row>
    <row r="214" spans="1:14" ht="60" customHeight="1" x14ac:dyDescent="0.35">
      <c r="A214" s="9" t="s">
        <v>1030</v>
      </c>
      <c r="B214" s="2" t="s">
        <v>1031</v>
      </c>
      <c r="C214" s="1" t="s">
        <v>1032</v>
      </c>
      <c r="D214" s="3" t="s">
        <v>17</v>
      </c>
      <c r="E214" s="3" t="s">
        <v>18</v>
      </c>
      <c r="F214" s="3" t="s">
        <v>19</v>
      </c>
      <c r="G214" s="3" t="s">
        <v>20</v>
      </c>
      <c r="H214" s="4" t="s">
        <v>20</v>
      </c>
      <c r="I214" s="4" t="s">
        <v>1033</v>
      </c>
      <c r="J214" s="4" t="s">
        <v>1034</v>
      </c>
      <c r="K214" s="4" t="s">
        <v>1035</v>
      </c>
      <c r="L214" s="4" t="s">
        <v>967</v>
      </c>
      <c r="M214" s="3" t="str">
        <f t="shared" si="0"/>
        <v>Outstanding</v>
      </c>
      <c r="N214" s="11" t="s">
        <v>20</v>
      </c>
    </row>
    <row r="215" spans="1:14" ht="60" customHeight="1" x14ac:dyDescent="0.35">
      <c r="A215" s="9" t="s">
        <v>1030</v>
      </c>
      <c r="B215" s="2" t="s">
        <v>1036</v>
      </c>
      <c r="C215" s="1" t="s">
        <v>1037</v>
      </c>
      <c r="D215" s="3" t="s">
        <v>17</v>
      </c>
      <c r="E215" s="3" t="s">
        <v>18</v>
      </c>
      <c r="F215" s="3" t="s">
        <v>19</v>
      </c>
      <c r="G215" s="3" t="s">
        <v>20</v>
      </c>
      <c r="H215" s="4" t="s">
        <v>20</v>
      </c>
      <c r="I215" s="4" t="s">
        <v>1038</v>
      </c>
      <c r="J215" s="4" t="s">
        <v>1039</v>
      </c>
      <c r="K215" s="4" t="s">
        <v>1040</v>
      </c>
      <c r="L215" s="4" t="s">
        <v>967</v>
      </c>
      <c r="M215" s="3" t="str">
        <f t="shared" si="0"/>
        <v>Outstanding</v>
      </c>
      <c r="N215" s="11" t="s">
        <v>20</v>
      </c>
    </row>
    <row r="216" spans="1:14" ht="60" customHeight="1" x14ac:dyDescent="0.35">
      <c r="A216" s="9" t="s">
        <v>1030</v>
      </c>
      <c r="B216" s="2" t="s">
        <v>1041</v>
      </c>
      <c r="C216" s="1" t="s">
        <v>1042</v>
      </c>
      <c r="D216" s="3" t="s">
        <v>17</v>
      </c>
      <c r="E216" s="3" t="s">
        <v>18</v>
      </c>
      <c r="F216" s="3" t="s">
        <v>19</v>
      </c>
      <c r="G216" s="3" t="s">
        <v>20</v>
      </c>
      <c r="H216" s="4" t="s">
        <v>20</v>
      </c>
      <c r="I216" s="4" t="s">
        <v>1043</v>
      </c>
      <c r="J216" s="4" t="s">
        <v>1044</v>
      </c>
      <c r="K216" s="4" t="s">
        <v>1045</v>
      </c>
      <c r="L216" s="4" t="s">
        <v>967</v>
      </c>
      <c r="M216" s="3" t="str">
        <f t="shared" si="0"/>
        <v>Outstanding</v>
      </c>
      <c r="N216" s="11" t="s">
        <v>20</v>
      </c>
    </row>
    <row r="217" spans="1:14" ht="60" customHeight="1" x14ac:dyDescent="0.35">
      <c r="A217" s="9" t="s">
        <v>1030</v>
      </c>
      <c r="B217" s="2" t="s">
        <v>1046</v>
      </c>
      <c r="C217" s="1" t="s">
        <v>1047</v>
      </c>
      <c r="D217" s="3" t="s">
        <v>17</v>
      </c>
      <c r="E217" s="3" t="s">
        <v>18</v>
      </c>
      <c r="F217" s="3" t="s">
        <v>19</v>
      </c>
      <c r="G217" s="3" t="s">
        <v>20</v>
      </c>
      <c r="H217" s="4" t="s">
        <v>20</v>
      </c>
      <c r="I217" s="4" t="s">
        <v>1048</v>
      </c>
      <c r="J217" s="4" t="s">
        <v>1049</v>
      </c>
      <c r="K217" s="4" t="s">
        <v>1050</v>
      </c>
      <c r="L217" s="4" t="s">
        <v>973</v>
      </c>
      <c r="M217" s="3" t="str">
        <f t="shared" si="0"/>
        <v>Outstanding</v>
      </c>
      <c r="N217" s="11" t="s">
        <v>20</v>
      </c>
    </row>
    <row r="218" spans="1:14" ht="60" customHeight="1" x14ac:dyDescent="0.35">
      <c r="A218" s="9" t="s">
        <v>1030</v>
      </c>
      <c r="B218" s="2" t="s">
        <v>1051</v>
      </c>
      <c r="C218" s="1" t="s">
        <v>1052</v>
      </c>
      <c r="D218" s="3" t="s">
        <v>17</v>
      </c>
      <c r="E218" s="3" t="s">
        <v>18</v>
      </c>
      <c r="F218" s="3" t="s">
        <v>19</v>
      </c>
      <c r="G218" s="3" t="s">
        <v>20</v>
      </c>
      <c r="H218" s="4" t="s">
        <v>20</v>
      </c>
      <c r="I218" s="4" t="s">
        <v>1053</v>
      </c>
      <c r="J218" s="4" t="s">
        <v>1054</v>
      </c>
      <c r="K218" s="4" t="s">
        <v>1055</v>
      </c>
      <c r="L218" s="4" t="s">
        <v>924</v>
      </c>
      <c r="M218" s="3" t="str">
        <f t="shared" si="0"/>
        <v>Outstanding</v>
      </c>
      <c r="N218" s="11" t="s">
        <v>20</v>
      </c>
    </row>
    <row r="219" spans="1:14" ht="60" customHeight="1" x14ac:dyDescent="0.35">
      <c r="A219" s="9" t="s">
        <v>1030</v>
      </c>
      <c r="B219" s="2" t="s">
        <v>1056</v>
      </c>
      <c r="C219" s="1" t="s">
        <v>1057</v>
      </c>
      <c r="D219" s="3" t="s">
        <v>17</v>
      </c>
      <c r="E219" s="3" t="s">
        <v>18</v>
      </c>
      <c r="F219" s="3" t="s">
        <v>19</v>
      </c>
      <c r="G219" s="3" t="s">
        <v>20</v>
      </c>
      <c r="H219" s="4" t="s">
        <v>20</v>
      </c>
      <c r="I219" s="4" t="s">
        <v>1058</v>
      </c>
      <c r="J219" s="4" t="s">
        <v>1059</v>
      </c>
      <c r="K219" s="4" t="s">
        <v>1060</v>
      </c>
      <c r="L219" s="4" t="s">
        <v>1061</v>
      </c>
      <c r="M219" s="3" t="str">
        <f t="shared" si="0"/>
        <v>Outstanding</v>
      </c>
      <c r="N219" s="11" t="s">
        <v>20</v>
      </c>
    </row>
    <row r="220" spans="1:14" ht="60" customHeight="1" x14ac:dyDescent="0.35">
      <c r="A220" s="9" t="s">
        <v>1030</v>
      </c>
      <c r="B220" s="2" t="s">
        <v>1062</v>
      </c>
      <c r="C220" s="1" t="s">
        <v>1063</v>
      </c>
      <c r="D220" s="3" t="s">
        <v>17</v>
      </c>
      <c r="E220" s="3" t="s">
        <v>18</v>
      </c>
      <c r="F220" s="3" t="s">
        <v>19</v>
      </c>
      <c r="G220" s="3" t="s">
        <v>20</v>
      </c>
      <c r="H220" s="4" t="s">
        <v>20</v>
      </c>
      <c r="I220" s="4" t="s">
        <v>1064</v>
      </c>
      <c r="J220" s="4" t="s">
        <v>1065</v>
      </c>
      <c r="K220" s="4" t="s">
        <v>1066</v>
      </c>
      <c r="L220" s="4" t="s">
        <v>973</v>
      </c>
      <c r="M220" s="3" t="str">
        <f t="shared" si="0"/>
        <v>Outstanding</v>
      </c>
      <c r="N220" s="11" t="s">
        <v>20</v>
      </c>
    </row>
    <row r="221" spans="1:14" ht="60" customHeight="1" x14ac:dyDescent="0.35">
      <c r="A221" s="9" t="s">
        <v>1030</v>
      </c>
      <c r="B221" s="2" t="s">
        <v>1067</v>
      </c>
      <c r="C221" s="1" t="s">
        <v>1068</v>
      </c>
      <c r="D221" s="3" t="s">
        <v>17</v>
      </c>
      <c r="E221" s="3" t="s">
        <v>18</v>
      </c>
      <c r="F221" s="3" t="s">
        <v>19</v>
      </c>
      <c r="G221" s="3" t="s">
        <v>20</v>
      </c>
      <c r="H221" s="4" t="s">
        <v>20</v>
      </c>
      <c r="I221" s="4" t="s">
        <v>1069</v>
      </c>
      <c r="J221" s="4" t="s">
        <v>1070</v>
      </c>
      <c r="K221" s="4" t="s">
        <v>1071</v>
      </c>
      <c r="L221" s="4" t="s">
        <v>967</v>
      </c>
      <c r="M221" s="3" t="str">
        <f t="shared" si="0"/>
        <v>Outstanding</v>
      </c>
      <c r="N221" s="11" t="s">
        <v>20</v>
      </c>
    </row>
    <row r="222" spans="1:14" ht="60" customHeight="1" x14ac:dyDescent="0.35">
      <c r="A222" s="9" t="s">
        <v>1030</v>
      </c>
      <c r="B222" s="2" t="s">
        <v>1072</v>
      </c>
      <c r="C222" s="1" t="s">
        <v>1073</v>
      </c>
      <c r="D222" s="3" t="s">
        <v>17</v>
      </c>
      <c r="E222" s="3" t="s">
        <v>18</v>
      </c>
      <c r="F222" s="3" t="s">
        <v>19</v>
      </c>
      <c r="G222" s="3" t="s">
        <v>20</v>
      </c>
      <c r="H222" s="4" t="s">
        <v>20</v>
      </c>
      <c r="I222" s="4" t="s">
        <v>1074</v>
      </c>
      <c r="J222" s="4" t="s">
        <v>1075</v>
      </c>
      <c r="K222" s="4" t="s">
        <v>1076</v>
      </c>
      <c r="L222" s="4" t="s">
        <v>973</v>
      </c>
      <c r="M222" s="3" t="str">
        <f t="shared" si="0"/>
        <v>Outstanding</v>
      </c>
      <c r="N222" s="11" t="s">
        <v>20</v>
      </c>
    </row>
    <row r="223" spans="1:14" ht="60" customHeight="1" x14ac:dyDescent="0.35">
      <c r="A223" s="9" t="s">
        <v>1030</v>
      </c>
      <c r="B223" s="2" t="s">
        <v>1077</v>
      </c>
      <c r="C223" s="1" t="s">
        <v>1078</v>
      </c>
      <c r="D223" s="3" t="s">
        <v>17</v>
      </c>
      <c r="E223" s="3" t="s">
        <v>18</v>
      </c>
      <c r="F223" s="3" t="s">
        <v>19</v>
      </c>
      <c r="G223" s="3" t="s">
        <v>20</v>
      </c>
      <c r="H223" s="4" t="s">
        <v>20</v>
      </c>
      <c r="I223" s="4" t="s">
        <v>1079</v>
      </c>
      <c r="J223" s="4" t="s">
        <v>1080</v>
      </c>
      <c r="K223" s="4" t="s">
        <v>1081</v>
      </c>
      <c r="L223" s="4" t="s">
        <v>973</v>
      </c>
      <c r="M223" s="3" t="str">
        <f t="shared" si="0"/>
        <v>Outstanding</v>
      </c>
      <c r="N223" s="11" t="s">
        <v>20</v>
      </c>
    </row>
    <row r="224" spans="1:14" ht="60" customHeight="1" x14ac:dyDescent="0.35">
      <c r="A224" s="9" t="s">
        <v>1030</v>
      </c>
      <c r="B224" s="2" t="s">
        <v>1082</v>
      </c>
      <c r="C224" s="1" t="s">
        <v>1083</v>
      </c>
      <c r="D224" s="3" t="s">
        <v>17</v>
      </c>
      <c r="E224" s="3" t="s">
        <v>18</v>
      </c>
      <c r="F224" s="3" t="s">
        <v>19</v>
      </c>
      <c r="G224" s="3" t="s">
        <v>20</v>
      </c>
      <c r="H224" s="4" t="s">
        <v>20</v>
      </c>
      <c r="I224" s="4" t="s">
        <v>1084</v>
      </c>
      <c r="J224" s="4" t="s">
        <v>1085</v>
      </c>
      <c r="K224" s="4" t="s">
        <v>1086</v>
      </c>
      <c r="L224" s="4" t="s">
        <v>1013</v>
      </c>
      <c r="M224" s="3" t="str">
        <f t="shared" si="0"/>
        <v>Outstanding</v>
      </c>
      <c r="N224" s="11" t="s">
        <v>20</v>
      </c>
    </row>
    <row r="225" spans="1:14" ht="60" customHeight="1" x14ac:dyDescent="0.35">
      <c r="A225" s="9" t="s">
        <v>1030</v>
      </c>
      <c r="B225" s="2" t="s">
        <v>1087</v>
      </c>
      <c r="C225" s="1" t="s">
        <v>1088</v>
      </c>
      <c r="D225" s="3" t="s">
        <v>17</v>
      </c>
      <c r="E225" s="3" t="s">
        <v>18</v>
      </c>
      <c r="F225" s="3" t="s">
        <v>19</v>
      </c>
      <c r="G225" s="3" t="s">
        <v>20</v>
      </c>
      <c r="H225" s="4" t="s">
        <v>20</v>
      </c>
      <c r="I225" s="4" t="s">
        <v>1089</v>
      </c>
      <c r="J225" s="4" t="s">
        <v>1090</v>
      </c>
      <c r="K225" s="4" t="s">
        <v>1091</v>
      </c>
      <c r="L225" s="4" t="s">
        <v>967</v>
      </c>
      <c r="M225" s="3" t="str">
        <f t="shared" si="0"/>
        <v>Outstanding</v>
      </c>
      <c r="N225" s="11" t="s">
        <v>20</v>
      </c>
    </row>
    <row r="226" spans="1:14" ht="60" customHeight="1" x14ac:dyDescent="0.35">
      <c r="A226" s="9" t="s">
        <v>1030</v>
      </c>
      <c r="B226" s="2" t="s">
        <v>1092</v>
      </c>
      <c r="C226" s="1" t="s">
        <v>1093</v>
      </c>
      <c r="D226" s="3" t="s">
        <v>17</v>
      </c>
      <c r="E226" s="3" t="s">
        <v>18</v>
      </c>
      <c r="F226" s="3" t="s">
        <v>19</v>
      </c>
      <c r="G226" s="3" t="s">
        <v>20</v>
      </c>
      <c r="H226" s="4" t="s">
        <v>20</v>
      </c>
      <c r="I226" s="4" t="s">
        <v>1094</v>
      </c>
      <c r="J226" s="4" t="s">
        <v>1095</v>
      </c>
      <c r="K226" s="4" t="s">
        <v>1096</v>
      </c>
      <c r="L226" s="4" t="s">
        <v>1013</v>
      </c>
      <c r="M226" s="3" t="str">
        <f t="shared" si="0"/>
        <v>Outstanding</v>
      </c>
      <c r="N226" s="11" t="s">
        <v>20</v>
      </c>
    </row>
    <row r="227" spans="1:14" ht="60" customHeight="1" x14ac:dyDescent="0.35">
      <c r="A227" s="9" t="s">
        <v>1030</v>
      </c>
      <c r="B227" s="2" t="s">
        <v>1097</v>
      </c>
      <c r="C227" s="1" t="s">
        <v>1098</v>
      </c>
      <c r="D227" s="3" t="s">
        <v>17</v>
      </c>
      <c r="E227" s="3" t="s">
        <v>18</v>
      </c>
      <c r="F227" s="3" t="s">
        <v>19</v>
      </c>
      <c r="G227" s="3" t="s">
        <v>20</v>
      </c>
      <c r="H227" s="4" t="s">
        <v>20</v>
      </c>
      <c r="I227" s="4" t="s">
        <v>1099</v>
      </c>
      <c r="J227" s="4" t="s">
        <v>1100</v>
      </c>
      <c r="K227" s="4" t="s">
        <v>1101</v>
      </c>
      <c r="L227" s="4" t="s">
        <v>967</v>
      </c>
      <c r="M227" s="3" t="str">
        <f t="shared" si="0"/>
        <v>Outstanding</v>
      </c>
      <c r="N227" s="11" t="s">
        <v>20</v>
      </c>
    </row>
    <row r="228" spans="1:14" ht="60" customHeight="1" x14ac:dyDescent="0.35">
      <c r="A228" s="9" t="s">
        <v>1030</v>
      </c>
      <c r="B228" s="2" t="s">
        <v>1102</v>
      </c>
      <c r="C228" s="1" t="s">
        <v>1103</v>
      </c>
      <c r="D228" s="3" t="s">
        <v>17</v>
      </c>
      <c r="E228" s="3" t="s">
        <v>18</v>
      </c>
      <c r="F228" s="3" t="s">
        <v>19</v>
      </c>
      <c r="G228" s="3" t="s">
        <v>20</v>
      </c>
      <c r="H228" s="4" t="s">
        <v>20</v>
      </c>
      <c r="I228" s="4" t="s">
        <v>1104</v>
      </c>
      <c r="J228" s="4" t="s">
        <v>1105</v>
      </c>
      <c r="K228" s="4" t="s">
        <v>1106</v>
      </c>
      <c r="L228" s="4" t="s">
        <v>967</v>
      </c>
      <c r="M228" s="3" t="str">
        <f t="shared" si="0"/>
        <v>Outstanding</v>
      </c>
      <c r="N228" s="11" t="s">
        <v>20</v>
      </c>
    </row>
    <row r="229" spans="1:14" ht="60" customHeight="1" x14ac:dyDescent="0.35">
      <c r="A229" s="9" t="s">
        <v>1030</v>
      </c>
      <c r="B229" s="2" t="s">
        <v>1107</v>
      </c>
      <c r="C229" s="1" t="s">
        <v>1108</v>
      </c>
      <c r="D229" s="3" t="s">
        <v>17</v>
      </c>
      <c r="E229" s="3" t="s">
        <v>18</v>
      </c>
      <c r="F229" s="3" t="s">
        <v>19</v>
      </c>
      <c r="G229" s="3" t="s">
        <v>20</v>
      </c>
      <c r="H229" s="4" t="s">
        <v>20</v>
      </c>
      <c r="I229" s="4" t="s">
        <v>1109</v>
      </c>
      <c r="J229" s="4" t="s">
        <v>1110</v>
      </c>
      <c r="K229" s="4" t="s">
        <v>1111</v>
      </c>
      <c r="L229" s="4" t="s">
        <v>967</v>
      </c>
      <c r="M229" s="3" t="str">
        <f t="shared" si="0"/>
        <v>Outstanding</v>
      </c>
      <c r="N229" s="11" t="s">
        <v>20</v>
      </c>
    </row>
    <row r="230" spans="1:14" ht="60" customHeight="1" x14ac:dyDescent="0.35">
      <c r="A230" s="9" t="s">
        <v>1030</v>
      </c>
      <c r="B230" s="2" t="s">
        <v>1112</v>
      </c>
      <c r="C230" s="1" t="s">
        <v>1113</v>
      </c>
      <c r="D230" s="3" t="s">
        <v>17</v>
      </c>
      <c r="E230" s="3" t="s">
        <v>18</v>
      </c>
      <c r="F230" s="3" t="s">
        <v>19</v>
      </c>
      <c r="G230" s="3" t="s">
        <v>20</v>
      </c>
      <c r="H230" s="4" t="s">
        <v>20</v>
      </c>
      <c r="I230" s="4" t="s">
        <v>1114</v>
      </c>
      <c r="J230" s="4" t="s">
        <v>1115</v>
      </c>
      <c r="K230" s="4" t="s">
        <v>1116</v>
      </c>
      <c r="L230" s="4" t="s">
        <v>967</v>
      </c>
      <c r="M230" s="3" t="str">
        <f t="shared" si="0"/>
        <v>Outstanding</v>
      </c>
      <c r="N230" s="11" t="s">
        <v>20</v>
      </c>
    </row>
    <row r="231" spans="1:14" ht="60" customHeight="1" x14ac:dyDescent="0.35">
      <c r="A231" s="9" t="s">
        <v>1030</v>
      </c>
      <c r="B231" s="2" t="s">
        <v>1117</v>
      </c>
      <c r="C231" s="1" t="s">
        <v>1118</v>
      </c>
      <c r="D231" s="3" t="s">
        <v>17</v>
      </c>
      <c r="E231" s="3" t="s">
        <v>18</v>
      </c>
      <c r="F231" s="3" t="s">
        <v>19</v>
      </c>
      <c r="G231" s="3" t="s">
        <v>20</v>
      </c>
      <c r="H231" s="4" t="s">
        <v>20</v>
      </c>
      <c r="I231" s="4" t="s">
        <v>1119</v>
      </c>
      <c r="J231" s="4" t="s">
        <v>1120</v>
      </c>
      <c r="K231" s="4" t="s">
        <v>1121</v>
      </c>
      <c r="L231" s="4" t="s">
        <v>973</v>
      </c>
      <c r="M231" s="3" t="str">
        <f t="shared" si="0"/>
        <v>Outstanding</v>
      </c>
      <c r="N231" s="11" t="s">
        <v>20</v>
      </c>
    </row>
    <row r="232" spans="1:14" ht="60" customHeight="1" x14ac:dyDescent="0.35">
      <c r="A232" s="9" t="s">
        <v>1030</v>
      </c>
      <c r="B232" s="2" t="s">
        <v>1122</v>
      </c>
      <c r="C232" s="1" t="s">
        <v>1123</v>
      </c>
      <c r="D232" s="3" t="s">
        <v>17</v>
      </c>
      <c r="E232" s="3" t="s">
        <v>18</v>
      </c>
      <c r="F232" s="3" t="s">
        <v>19</v>
      </c>
      <c r="G232" s="3" t="s">
        <v>20</v>
      </c>
      <c r="H232" s="4" t="s">
        <v>20</v>
      </c>
      <c r="I232" s="4" t="s">
        <v>1124</v>
      </c>
      <c r="J232" s="4" t="s">
        <v>1125</v>
      </c>
      <c r="K232" s="4" t="s">
        <v>1126</v>
      </c>
      <c r="L232" s="4" t="s">
        <v>967</v>
      </c>
      <c r="M232" s="3" t="str">
        <f t="shared" si="0"/>
        <v>Outstanding</v>
      </c>
      <c r="N232" s="11" t="s">
        <v>20</v>
      </c>
    </row>
    <row r="233" spans="1:14" ht="60" customHeight="1" x14ac:dyDescent="0.35">
      <c r="A233" s="9" t="s">
        <v>1030</v>
      </c>
      <c r="B233" s="2" t="s">
        <v>1127</v>
      </c>
      <c r="C233" s="1" t="s">
        <v>1128</v>
      </c>
      <c r="D233" s="3" t="s">
        <v>17</v>
      </c>
      <c r="E233" s="3" t="s">
        <v>18</v>
      </c>
      <c r="F233" s="3" t="s">
        <v>19</v>
      </c>
      <c r="G233" s="3" t="s">
        <v>20</v>
      </c>
      <c r="H233" s="4" t="s">
        <v>20</v>
      </c>
      <c r="I233" s="4" t="s">
        <v>1129</v>
      </c>
      <c r="J233" s="4" t="s">
        <v>1130</v>
      </c>
      <c r="K233" s="4" t="s">
        <v>1131</v>
      </c>
      <c r="L233" s="4" t="s">
        <v>967</v>
      </c>
      <c r="M233" s="3" t="str">
        <f t="shared" si="0"/>
        <v>Outstanding</v>
      </c>
      <c r="N233" s="11" t="s">
        <v>20</v>
      </c>
    </row>
    <row r="234" spans="1:14" ht="60" customHeight="1" x14ac:dyDescent="0.35">
      <c r="A234" s="9" t="s">
        <v>1030</v>
      </c>
      <c r="B234" s="2" t="s">
        <v>1132</v>
      </c>
      <c r="C234" s="1" t="s">
        <v>1133</v>
      </c>
      <c r="D234" s="3" t="s">
        <v>17</v>
      </c>
      <c r="E234" s="3" t="s">
        <v>18</v>
      </c>
      <c r="F234" s="3" t="s">
        <v>19</v>
      </c>
      <c r="G234" s="3" t="s">
        <v>20</v>
      </c>
      <c r="H234" s="4" t="s">
        <v>20</v>
      </c>
      <c r="I234" s="4" t="s">
        <v>1134</v>
      </c>
      <c r="J234" s="4" t="s">
        <v>1135</v>
      </c>
      <c r="K234" s="4" t="s">
        <v>1136</v>
      </c>
      <c r="L234" s="4" t="s">
        <v>967</v>
      </c>
      <c r="M234" s="3" t="str">
        <f t="shared" si="0"/>
        <v>Outstanding</v>
      </c>
      <c r="N234" s="11" t="s">
        <v>20</v>
      </c>
    </row>
    <row r="235" spans="1:14" ht="60" customHeight="1" x14ac:dyDescent="0.35">
      <c r="A235" s="9" t="s">
        <v>1030</v>
      </c>
      <c r="B235" s="2" t="s">
        <v>1137</v>
      </c>
      <c r="C235" s="1" t="s">
        <v>1138</v>
      </c>
      <c r="D235" s="3" t="s">
        <v>17</v>
      </c>
      <c r="E235" s="3" t="s">
        <v>18</v>
      </c>
      <c r="F235" s="3" t="s">
        <v>19</v>
      </c>
      <c r="G235" s="3" t="s">
        <v>20</v>
      </c>
      <c r="H235" s="4" t="s">
        <v>20</v>
      </c>
      <c r="I235" s="4" t="s">
        <v>1139</v>
      </c>
      <c r="J235" s="4" t="s">
        <v>1140</v>
      </c>
      <c r="K235" s="4" t="s">
        <v>1141</v>
      </c>
      <c r="L235" s="4" t="s">
        <v>967</v>
      </c>
      <c r="M235" s="3" t="str">
        <f t="shared" si="0"/>
        <v>Outstanding</v>
      </c>
      <c r="N235" s="11" t="s">
        <v>20</v>
      </c>
    </row>
    <row r="236" spans="1:14" ht="60" customHeight="1" x14ac:dyDescent="0.35">
      <c r="A236" s="9" t="s">
        <v>1030</v>
      </c>
      <c r="B236" s="2" t="s">
        <v>1142</v>
      </c>
      <c r="C236" s="1" t="s">
        <v>1143</v>
      </c>
      <c r="D236" s="3" t="s">
        <v>17</v>
      </c>
      <c r="E236" s="3" t="s">
        <v>18</v>
      </c>
      <c r="F236" s="3" t="s">
        <v>19</v>
      </c>
      <c r="G236" s="3" t="s">
        <v>20</v>
      </c>
      <c r="H236" s="4" t="s">
        <v>20</v>
      </c>
      <c r="I236" s="4" t="s">
        <v>1144</v>
      </c>
      <c r="J236" s="4" t="s">
        <v>1145</v>
      </c>
      <c r="K236" s="4" t="s">
        <v>1146</v>
      </c>
      <c r="L236" s="4" t="s">
        <v>967</v>
      </c>
      <c r="M236" s="3" t="str">
        <f t="shared" si="0"/>
        <v>Outstanding</v>
      </c>
      <c r="N236" s="11" t="s">
        <v>20</v>
      </c>
    </row>
    <row r="237" spans="1:14" ht="60" customHeight="1" x14ac:dyDescent="0.35">
      <c r="A237" s="9" t="s">
        <v>1030</v>
      </c>
      <c r="B237" s="2" t="s">
        <v>1147</v>
      </c>
      <c r="C237" s="1" t="s">
        <v>1148</v>
      </c>
      <c r="D237" s="3" t="s">
        <v>17</v>
      </c>
      <c r="E237" s="3" t="s">
        <v>18</v>
      </c>
      <c r="F237" s="3" t="s">
        <v>19</v>
      </c>
      <c r="G237" s="3" t="s">
        <v>20</v>
      </c>
      <c r="H237" s="4" t="s">
        <v>20</v>
      </c>
      <c r="I237" s="4" t="s">
        <v>1149</v>
      </c>
      <c r="J237" s="4" t="s">
        <v>1150</v>
      </c>
      <c r="K237" s="4" t="s">
        <v>1151</v>
      </c>
      <c r="L237" s="4" t="s">
        <v>967</v>
      </c>
      <c r="M237" s="3" t="str">
        <f t="shared" si="0"/>
        <v>Outstanding</v>
      </c>
      <c r="N237" s="11" t="s">
        <v>20</v>
      </c>
    </row>
    <row r="238" spans="1:14" ht="60" customHeight="1" x14ac:dyDescent="0.35">
      <c r="A238" s="9" t="s">
        <v>1030</v>
      </c>
      <c r="B238" s="2" t="s">
        <v>1152</v>
      </c>
      <c r="C238" s="1" t="s">
        <v>1153</v>
      </c>
      <c r="D238" s="3" t="s">
        <v>17</v>
      </c>
      <c r="E238" s="3" t="s">
        <v>18</v>
      </c>
      <c r="F238" s="3" t="s">
        <v>19</v>
      </c>
      <c r="G238" s="3" t="s">
        <v>20</v>
      </c>
      <c r="H238" s="4" t="s">
        <v>20</v>
      </c>
      <c r="I238" s="4" t="s">
        <v>1154</v>
      </c>
      <c r="J238" s="4" t="s">
        <v>1155</v>
      </c>
      <c r="K238" s="4" t="s">
        <v>1156</v>
      </c>
      <c r="L238" s="4" t="s">
        <v>967</v>
      </c>
      <c r="M238" s="3" t="str">
        <f t="shared" si="0"/>
        <v>Outstanding</v>
      </c>
      <c r="N238" s="11" t="s">
        <v>20</v>
      </c>
    </row>
    <row r="239" spans="1:14" ht="60" customHeight="1" x14ac:dyDescent="0.35">
      <c r="A239" s="9" t="s">
        <v>1030</v>
      </c>
      <c r="B239" s="2" t="s">
        <v>1157</v>
      </c>
      <c r="C239" s="1" t="s">
        <v>1158</v>
      </c>
      <c r="D239" s="3" t="s">
        <v>17</v>
      </c>
      <c r="E239" s="3" t="s">
        <v>18</v>
      </c>
      <c r="F239" s="3" t="s">
        <v>19</v>
      </c>
      <c r="G239" s="3" t="s">
        <v>20</v>
      </c>
      <c r="H239" s="4" t="s">
        <v>20</v>
      </c>
      <c r="I239" s="4" t="s">
        <v>1159</v>
      </c>
      <c r="J239" s="4" t="s">
        <v>1160</v>
      </c>
      <c r="K239" s="4" t="s">
        <v>1161</v>
      </c>
      <c r="L239" s="4" t="s">
        <v>973</v>
      </c>
      <c r="M239" s="3" t="str">
        <f t="shared" si="0"/>
        <v>Outstanding</v>
      </c>
      <c r="N239" s="11" t="s">
        <v>20</v>
      </c>
    </row>
    <row r="240" spans="1:14" ht="60" customHeight="1" x14ac:dyDescent="0.35">
      <c r="A240" s="9" t="s">
        <v>1030</v>
      </c>
      <c r="B240" s="2" t="s">
        <v>1162</v>
      </c>
      <c r="C240" s="1" t="s">
        <v>1163</v>
      </c>
      <c r="D240" s="3" t="s">
        <v>17</v>
      </c>
      <c r="E240" s="3" t="s">
        <v>18</v>
      </c>
      <c r="F240" s="3" t="s">
        <v>19</v>
      </c>
      <c r="G240" s="3" t="s">
        <v>20</v>
      </c>
      <c r="H240" s="4" t="s">
        <v>20</v>
      </c>
      <c r="I240" s="4" t="s">
        <v>1164</v>
      </c>
      <c r="J240" s="4" t="s">
        <v>1165</v>
      </c>
      <c r="K240" s="4" t="s">
        <v>1166</v>
      </c>
      <c r="L240" s="4" t="s">
        <v>924</v>
      </c>
      <c r="M240" s="3" t="str">
        <f t="shared" si="0"/>
        <v>Outstanding</v>
      </c>
      <c r="N240" s="11" t="s">
        <v>20</v>
      </c>
    </row>
    <row r="241" spans="1:14" ht="60" customHeight="1" x14ac:dyDescent="0.35">
      <c r="A241" s="9" t="s">
        <v>1030</v>
      </c>
      <c r="B241" s="2" t="s">
        <v>1167</v>
      </c>
      <c r="C241" s="1" t="s">
        <v>1168</v>
      </c>
      <c r="D241" s="3" t="s">
        <v>17</v>
      </c>
      <c r="E241" s="3" t="s">
        <v>18</v>
      </c>
      <c r="F241" s="3" t="s">
        <v>19</v>
      </c>
      <c r="G241" s="3" t="s">
        <v>20</v>
      </c>
      <c r="H241" s="4" t="s">
        <v>20</v>
      </c>
      <c r="I241" s="4" t="s">
        <v>1169</v>
      </c>
      <c r="J241" s="4" t="s">
        <v>1170</v>
      </c>
      <c r="K241" s="4" t="s">
        <v>1171</v>
      </c>
      <c r="L241" s="4" t="s">
        <v>1172</v>
      </c>
      <c r="M241" s="3" t="str">
        <f t="shared" si="0"/>
        <v>Outstanding</v>
      </c>
      <c r="N241" s="11" t="s">
        <v>20</v>
      </c>
    </row>
    <row r="242" spans="1:14" ht="60" customHeight="1" x14ac:dyDescent="0.35">
      <c r="A242" s="9" t="s">
        <v>1030</v>
      </c>
      <c r="B242" s="2" t="s">
        <v>1173</v>
      </c>
      <c r="C242" s="1" t="s">
        <v>1174</v>
      </c>
      <c r="D242" s="3" t="s">
        <v>17</v>
      </c>
      <c r="E242" s="3" t="s">
        <v>18</v>
      </c>
      <c r="F242" s="3" t="s">
        <v>19</v>
      </c>
      <c r="G242" s="3" t="s">
        <v>20</v>
      </c>
      <c r="H242" s="4" t="s">
        <v>20</v>
      </c>
      <c r="I242" s="4" t="s">
        <v>1175</v>
      </c>
      <c r="J242" s="4" t="s">
        <v>1176</v>
      </c>
      <c r="K242" s="4" t="s">
        <v>1177</v>
      </c>
      <c r="L242" s="4" t="s">
        <v>973</v>
      </c>
      <c r="M242" s="3" t="str">
        <f t="shared" si="0"/>
        <v>Outstanding</v>
      </c>
      <c r="N242" s="11" t="s">
        <v>20</v>
      </c>
    </row>
    <row r="243" spans="1:14" ht="60" customHeight="1" x14ac:dyDescent="0.35">
      <c r="A243" s="9" t="s">
        <v>1030</v>
      </c>
      <c r="B243" s="2" t="s">
        <v>1178</v>
      </c>
      <c r="C243" s="1" t="s">
        <v>1179</v>
      </c>
      <c r="D243" s="3" t="s">
        <v>17</v>
      </c>
      <c r="E243" s="3" t="s">
        <v>18</v>
      </c>
      <c r="F243" s="3" t="s">
        <v>19</v>
      </c>
      <c r="G243" s="3" t="s">
        <v>20</v>
      </c>
      <c r="H243" s="4" t="s">
        <v>20</v>
      </c>
      <c r="I243" s="4" t="s">
        <v>1180</v>
      </c>
      <c r="J243" s="4" t="s">
        <v>1181</v>
      </c>
      <c r="K243" s="4" t="s">
        <v>1182</v>
      </c>
      <c r="L243" s="4" t="s">
        <v>967</v>
      </c>
      <c r="M243" s="3" t="str">
        <f t="shared" si="0"/>
        <v>Outstanding</v>
      </c>
      <c r="N243" s="11" t="s">
        <v>20</v>
      </c>
    </row>
    <row r="244" spans="1:14" ht="60" customHeight="1" x14ac:dyDescent="0.35">
      <c r="A244" s="9" t="s">
        <v>1030</v>
      </c>
      <c r="B244" s="2" t="s">
        <v>1183</v>
      </c>
      <c r="C244" s="1" t="s">
        <v>1184</v>
      </c>
      <c r="D244" s="3" t="s">
        <v>17</v>
      </c>
      <c r="E244" s="3" t="s">
        <v>18</v>
      </c>
      <c r="F244" s="3" t="s">
        <v>19</v>
      </c>
      <c r="G244" s="3" t="s">
        <v>20</v>
      </c>
      <c r="H244" s="4" t="s">
        <v>20</v>
      </c>
      <c r="I244" s="4" t="s">
        <v>1185</v>
      </c>
      <c r="J244" s="4" t="s">
        <v>1186</v>
      </c>
      <c r="K244" s="4" t="s">
        <v>1187</v>
      </c>
      <c r="L244" s="4" t="s">
        <v>967</v>
      </c>
      <c r="M244" s="3" t="str">
        <f t="shared" si="0"/>
        <v>Outstanding</v>
      </c>
      <c r="N244" s="11" t="s">
        <v>20</v>
      </c>
    </row>
    <row r="245" spans="1:14" ht="60" customHeight="1" x14ac:dyDescent="0.35">
      <c r="A245" s="9" t="s">
        <v>1030</v>
      </c>
      <c r="B245" s="2" t="s">
        <v>1188</v>
      </c>
      <c r="C245" s="1" t="s">
        <v>1189</v>
      </c>
      <c r="D245" s="3" t="s">
        <v>17</v>
      </c>
      <c r="E245" s="3" t="s">
        <v>18</v>
      </c>
      <c r="F245" s="3" t="s">
        <v>19</v>
      </c>
      <c r="G245" s="3" t="s">
        <v>20</v>
      </c>
      <c r="H245" s="4" t="s">
        <v>20</v>
      </c>
      <c r="I245" s="4" t="s">
        <v>1190</v>
      </c>
      <c r="J245" s="4" t="s">
        <v>1191</v>
      </c>
      <c r="K245" s="4" t="s">
        <v>1192</v>
      </c>
      <c r="L245" s="4" t="s">
        <v>967</v>
      </c>
      <c r="M245" s="3" t="str">
        <f t="shared" si="0"/>
        <v>Outstanding</v>
      </c>
      <c r="N245" s="11" t="s">
        <v>20</v>
      </c>
    </row>
    <row r="246" spans="1:14" ht="60" customHeight="1" x14ac:dyDescent="0.35">
      <c r="A246" s="9" t="s">
        <v>1193</v>
      </c>
      <c r="B246" s="2" t="s">
        <v>1194</v>
      </c>
      <c r="C246" s="1" t="s">
        <v>1093</v>
      </c>
      <c r="D246" s="3" t="s">
        <v>17</v>
      </c>
      <c r="E246" s="3" t="s">
        <v>18</v>
      </c>
      <c r="F246" s="3" t="s">
        <v>19</v>
      </c>
      <c r="G246" s="3" t="s">
        <v>20</v>
      </c>
      <c r="H246" s="4" t="s">
        <v>20</v>
      </c>
      <c r="I246" s="4" t="s">
        <v>1195</v>
      </c>
      <c r="J246" s="4" t="s">
        <v>1196</v>
      </c>
      <c r="K246" s="4" t="s">
        <v>1197</v>
      </c>
      <c r="L246" s="4" t="s">
        <v>1013</v>
      </c>
      <c r="M246" s="3" t="str">
        <f t="shared" si="0"/>
        <v>Outstanding</v>
      </c>
      <c r="N246" s="11" t="s">
        <v>20</v>
      </c>
    </row>
    <row r="247" spans="1:14" ht="60" customHeight="1" x14ac:dyDescent="0.35">
      <c r="A247" s="9" t="s">
        <v>1193</v>
      </c>
      <c r="B247" s="2" t="s">
        <v>1198</v>
      </c>
      <c r="C247" s="1" t="s">
        <v>1123</v>
      </c>
      <c r="D247" s="3" t="s">
        <v>17</v>
      </c>
      <c r="E247" s="3" t="s">
        <v>18</v>
      </c>
      <c r="F247" s="3" t="s">
        <v>19</v>
      </c>
      <c r="G247" s="3" t="s">
        <v>20</v>
      </c>
      <c r="H247" s="4" t="s">
        <v>20</v>
      </c>
      <c r="I247" s="4" t="s">
        <v>1199</v>
      </c>
      <c r="J247" s="4" t="s">
        <v>1125</v>
      </c>
      <c r="K247" s="4" t="s">
        <v>1200</v>
      </c>
      <c r="L247" s="4" t="s">
        <v>967</v>
      </c>
      <c r="M247" s="3" t="str">
        <f t="shared" si="0"/>
        <v>Outstanding</v>
      </c>
      <c r="N247" s="11" t="s">
        <v>20</v>
      </c>
    </row>
    <row r="248" spans="1:14" ht="60" customHeight="1" x14ac:dyDescent="0.35">
      <c r="A248" s="9" t="s">
        <v>1193</v>
      </c>
      <c r="B248" s="2" t="s">
        <v>1201</v>
      </c>
      <c r="C248" s="1" t="s">
        <v>1202</v>
      </c>
      <c r="D248" s="3" t="s">
        <v>17</v>
      </c>
      <c r="E248" s="3" t="s">
        <v>18</v>
      </c>
      <c r="F248" s="3" t="s">
        <v>19</v>
      </c>
      <c r="G248" s="3" t="s">
        <v>20</v>
      </c>
      <c r="H248" s="4" t="s">
        <v>20</v>
      </c>
      <c r="I248" s="4" t="s">
        <v>1203</v>
      </c>
      <c r="J248" s="4" t="s">
        <v>1204</v>
      </c>
      <c r="K248" s="4" t="s">
        <v>1205</v>
      </c>
      <c r="L248" s="4" t="s">
        <v>967</v>
      </c>
      <c r="M248" s="3" t="str">
        <f t="shared" si="0"/>
        <v>Outstanding</v>
      </c>
      <c r="N248" s="11" t="s">
        <v>20</v>
      </c>
    </row>
    <row r="249" spans="1:14" ht="60" customHeight="1" x14ac:dyDescent="0.35">
      <c r="A249" s="9" t="s">
        <v>1206</v>
      </c>
      <c r="B249" s="2" t="s">
        <v>1207</v>
      </c>
      <c r="C249" s="1" t="s">
        <v>1093</v>
      </c>
      <c r="D249" s="3" t="s">
        <v>17</v>
      </c>
      <c r="E249" s="3" t="s">
        <v>18</v>
      </c>
      <c r="F249" s="3" t="s">
        <v>19</v>
      </c>
      <c r="G249" s="3" t="s">
        <v>20</v>
      </c>
      <c r="H249" s="4" t="s">
        <v>20</v>
      </c>
      <c r="I249" s="4" t="s">
        <v>1208</v>
      </c>
      <c r="J249" s="4" t="s">
        <v>1196</v>
      </c>
      <c r="K249" s="4" t="s">
        <v>1209</v>
      </c>
      <c r="L249" s="4" t="s">
        <v>1013</v>
      </c>
      <c r="M249" s="3" t="str">
        <f t="shared" si="0"/>
        <v>Outstanding</v>
      </c>
      <c r="N249" s="11" t="s">
        <v>20</v>
      </c>
    </row>
    <row r="250" spans="1:14" ht="60" customHeight="1" x14ac:dyDescent="0.35">
      <c r="A250" s="9" t="s">
        <v>1206</v>
      </c>
      <c r="B250" s="2" t="s">
        <v>1210</v>
      </c>
      <c r="C250" s="1" t="s">
        <v>1211</v>
      </c>
      <c r="D250" s="3" t="s">
        <v>17</v>
      </c>
      <c r="E250" s="3" t="s">
        <v>18</v>
      </c>
      <c r="F250" s="3" t="s">
        <v>19</v>
      </c>
      <c r="G250" s="3" t="s">
        <v>20</v>
      </c>
      <c r="H250" s="4" t="s">
        <v>20</v>
      </c>
      <c r="I250" s="4" t="s">
        <v>1212</v>
      </c>
      <c r="J250" s="4" t="s">
        <v>1204</v>
      </c>
      <c r="K250" s="4" t="s">
        <v>1213</v>
      </c>
      <c r="L250" s="4" t="s">
        <v>967</v>
      </c>
      <c r="M250" s="3" t="str">
        <f t="shared" si="0"/>
        <v>Outstanding</v>
      </c>
      <c r="N250" s="11" t="s">
        <v>20</v>
      </c>
    </row>
    <row r="251" spans="1:14" ht="60" customHeight="1" x14ac:dyDescent="0.35">
      <c r="A251" s="9" t="s">
        <v>1214</v>
      </c>
      <c r="B251" s="2" t="s">
        <v>1215</v>
      </c>
      <c r="C251" s="1" t="s">
        <v>1174</v>
      </c>
      <c r="D251" s="3" t="s">
        <v>17</v>
      </c>
      <c r="E251" s="3" t="s">
        <v>18</v>
      </c>
      <c r="F251" s="3" t="s">
        <v>19</v>
      </c>
      <c r="G251" s="3" t="s">
        <v>20</v>
      </c>
      <c r="H251" s="4" t="s">
        <v>20</v>
      </c>
      <c r="I251" s="4" t="s">
        <v>1216</v>
      </c>
      <c r="J251" s="4" t="s">
        <v>1176</v>
      </c>
      <c r="K251" s="4" t="s">
        <v>1217</v>
      </c>
      <c r="L251" s="4" t="s">
        <v>973</v>
      </c>
      <c r="M251" s="3" t="str">
        <f t="shared" si="0"/>
        <v>Outstanding</v>
      </c>
      <c r="N251" s="11" t="s">
        <v>20</v>
      </c>
    </row>
    <row r="252" spans="1:14" ht="60" customHeight="1" x14ac:dyDescent="0.35">
      <c r="A252" s="9" t="s">
        <v>1218</v>
      </c>
      <c r="B252" s="2" t="s">
        <v>1219</v>
      </c>
      <c r="C252" s="1" t="s">
        <v>1211</v>
      </c>
      <c r="D252" s="3" t="s">
        <v>17</v>
      </c>
      <c r="E252" s="3" t="s">
        <v>18</v>
      </c>
      <c r="F252" s="3" t="s">
        <v>19</v>
      </c>
      <c r="G252" s="3" t="s">
        <v>20</v>
      </c>
      <c r="H252" s="4" t="s">
        <v>20</v>
      </c>
      <c r="I252" s="4" t="s">
        <v>1220</v>
      </c>
      <c r="J252" s="4" t="s">
        <v>1221</v>
      </c>
      <c r="K252" s="4" t="s">
        <v>1222</v>
      </c>
      <c r="L252" s="4" t="s">
        <v>967</v>
      </c>
      <c r="M252" s="3" t="str">
        <f t="shared" si="0"/>
        <v>Outstanding</v>
      </c>
      <c r="N252" s="11" t="s">
        <v>20</v>
      </c>
    </row>
    <row r="253" spans="1:14" ht="60" customHeight="1" x14ac:dyDescent="0.35">
      <c r="A253" s="9" t="s">
        <v>1223</v>
      </c>
      <c r="B253" s="2" t="s">
        <v>1224</v>
      </c>
      <c r="C253" s="1" t="s">
        <v>1211</v>
      </c>
      <c r="D253" s="3" t="s">
        <v>17</v>
      </c>
      <c r="E253" s="3" t="s">
        <v>18</v>
      </c>
      <c r="F253" s="3" t="s">
        <v>19</v>
      </c>
      <c r="G253" s="3" t="s">
        <v>20</v>
      </c>
      <c r="H253" s="4" t="s">
        <v>20</v>
      </c>
      <c r="I253" s="4" t="s">
        <v>1225</v>
      </c>
      <c r="J253" s="4" t="s">
        <v>1221</v>
      </c>
      <c r="K253" s="4" t="s">
        <v>1226</v>
      </c>
      <c r="L253" s="4" t="s">
        <v>967</v>
      </c>
      <c r="M253" s="3" t="str">
        <f t="shared" si="0"/>
        <v>Outstanding</v>
      </c>
      <c r="N253" s="11" t="s">
        <v>20</v>
      </c>
    </row>
    <row r="254" spans="1:14" ht="60" customHeight="1" x14ac:dyDescent="0.35">
      <c r="A254" s="9" t="s">
        <v>1227</v>
      </c>
      <c r="B254" s="2" t="s">
        <v>1228</v>
      </c>
      <c r="C254" s="1" t="s">
        <v>1211</v>
      </c>
      <c r="D254" s="3" t="s">
        <v>17</v>
      </c>
      <c r="E254" s="3" t="s">
        <v>18</v>
      </c>
      <c r="F254" s="3" t="s">
        <v>19</v>
      </c>
      <c r="G254" s="3" t="s">
        <v>20</v>
      </c>
      <c r="H254" s="4" t="s">
        <v>20</v>
      </c>
      <c r="I254" s="4" t="s">
        <v>1229</v>
      </c>
      <c r="J254" s="4" t="s">
        <v>1221</v>
      </c>
      <c r="K254" s="4" t="s">
        <v>1230</v>
      </c>
      <c r="L254" s="4" t="s">
        <v>967</v>
      </c>
      <c r="M254" s="3" t="str">
        <f t="shared" si="0"/>
        <v>Outstanding</v>
      </c>
      <c r="N254" s="11" t="s">
        <v>20</v>
      </c>
    </row>
    <row r="255" spans="1:14" ht="60" customHeight="1" x14ac:dyDescent="0.35">
      <c r="A255" s="9" t="s">
        <v>1227</v>
      </c>
      <c r="B255" s="2" t="s">
        <v>1231</v>
      </c>
      <c r="C255" s="1" t="s">
        <v>1174</v>
      </c>
      <c r="D255" s="3" t="s">
        <v>17</v>
      </c>
      <c r="E255" s="3" t="s">
        <v>18</v>
      </c>
      <c r="F255" s="3" t="s">
        <v>19</v>
      </c>
      <c r="G255" s="3" t="s">
        <v>20</v>
      </c>
      <c r="H255" s="4" t="s">
        <v>20</v>
      </c>
      <c r="I255" s="4" t="s">
        <v>1232</v>
      </c>
      <c r="J255" s="4" t="s">
        <v>1176</v>
      </c>
      <c r="K255" s="4" t="s">
        <v>1233</v>
      </c>
      <c r="L255" s="4" t="s">
        <v>973</v>
      </c>
      <c r="M255" s="3" t="str">
        <f t="shared" si="0"/>
        <v>Outstanding</v>
      </c>
      <c r="N255" s="11" t="s">
        <v>20</v>
      </c>
    </row>
    <row r="256" spans="1:14" ht="60" customHeight="1" x14ac:dyDescent="0.35">
      <c r="A256" s="9" t="s">
        <v>1234</v>
      </c>
      <c r="B256" s="2" t="s">
        <v>1235</v>
      </c>
      <c r="C256" s="1" t="s">
        <v>1211</v>
      </c>
      <c r="D256" s="3" t="s">
        <v>17</v>
      </c>
      <c r="E256" s="3" t="s">
        <v>18</v>
      </c>
      <c r="F256" s="3" t="s">
        <v>19</v>
      </c>
      <c r="G256" s="3" t="s">
        <v>20</v>
      </c>
      <c r="H256" s="4" t="s">
        <v>20</v>
      </c>
      <c r="I256" s="4" t="s">
        <v>1236</v>
      </c>
      <c r="J256" s="4" t="s">
        <v>1221</v>
      </c>
      <c r="K256" s="4" t="s">
        <v>1237</v>
      </c>
      <c r="L256" s="4" t="s">
        <v>967</v>
      </c>
      <c r="M256" s="3" t="str">
        <f t="shared" si="0"/>
        <v>Outstanding</v>
      </c>
      <c r="N256" s="11" t="s">
        <v>20</v>
      </c>
    </row>
    <row r="257" spans="1:14" ht="60" customHeight="1" x14ac:dyDescent="0.35">
      <c r="A257" s="9" t="s">
        <v>1238</v>
      </c>
      <c r="B257" s="2" t="s">
        <v>1239</v>
      </c>
      <c r="C257" s="1" t="s">
        <v>1032</v>
      </c>
      <c r="D257" s="3" t="s">
        <v>17</v>
      </c>
      <c r="E257" s="3" t="s">
        <v>18</v>
      </c>
      <c r="F257" s="3" t="s">
        <v>19</v>
      </c>
      <c r="G257" s="3" t="s">
        <v>20</v>
      </c>
      <c r="H257" s="4" t="s">
        <v>20</v>
      </c>
      <c r="I257" s="4" t="s">
        <v>1240</v>
      </c>
      <c r="J257" s="4" t="s">
        <v>1034</v>
      </c>
      <c r="K257" s="4" t="s">
        <v>1241</v>
      </c>
      <c r="L257" s="4" t="s">
        <v>967</v>
      </c>
      <c r="M257" s="3" t="str">
        <f t="shared" ref="M257:M368" si="1">IF(OR(G257="Implemented",G257="Compensated"),"Resolved",IF(OR(G257="Risk Accepted",G257="N/A"),"Excluded",IF(G257="Testing","Testing","Outstanding")))</f>
        <v>Outstanding</v>
      </c>
      <c r="N257" s="11" t="s">
        <v>20</v>
      </c>
    </row>
    <row r="258" spans="1:14" ht="60" customHeight="1" x14ac:dyDescent="0.35">
      <c r="A258" s="9" t="s">
        <v>1238</v>
      </c>
      <c r="B258" s="2" t="s">
        <v>1242</v>
      </c>
      <c r="C258" s="1" t="s">
        <v>1243</v>
      </c>
      <c r="D258" s="3" t="s">
        <v>17</v>
      </c>
      <c r="E258" s="3" t="s">
        <v>18</v>
      </c>
      <c r="F258" s="3" t="s">
        <v>19</v>
      </c>
      <c r="G258" s="3" t="s">
        <v>20</v>
      </c>
      <c r="H258" s="4" t="s">
        <v>20</v>
      </c>
      <c r="I258" s="4" t="s">
        <v>1244</v>
      </c>
      <c r="J258" s="4" t="s">
        <v>1245</v>
      </c>
      <c r="K258" s="4" t="s">
        <v>1246</v>
      </c>
      <c r="L258" s="4" t="s">
        <v>967</v>
      </c>
      <c r="M258" s="3" t="str">
        <f t="shared" si="1"/>
        <v>Outstanding</v>
      </c>
      <c r="N258" s="11" t="s">
        <v>20</v>
      </c>
    </row>
    <row r="259" spans="1:14" ht="60" customHeight="1" x14ac:dyDescent="0.35">
      <c r="A259" s="9" t="s">
        <v>1238</v>
      </c>
      <c r="B259" s="2" t="s">
        <v>1247</v>
      </c>
      <c r="C259" s="1" t="s">
        <v>1248</v>
      </c>
      <c r="D259" s="3" t="s">
        <v>17</v>
      </c>
      <c r="E259" s="3" t="s">
        <v>18</v>
      </c>
      <c r="F259" s="3" t="s">
        <v>19</v>
      </c>
      <c r="G259" s="3" t="s">
        <v>20</v>
      </c>
      <c r="H259" s="4" t="s">
        <v>20</v>
      </c>
      <c r="I259" s="4" t="s">
        <v>1249</v>
      </c>
      <c r="J259" s="4" t="s">
        <v>1250</v>
      </c>
      <c r="K259" s="4" t="s">
        <v>1251</v>
      </c>
      <c r="L259" s="4" t="s">
        <v>967</v>
      </c>
      <c r="M259" s="3" t="str">
        <f t="shared" si="1"/>
        <v>Outstanding</v>
      </c>
      <c r="N259" s="11" t="s">
        <v>20</v>
      </c>
    </row>
    <row r="260" spans="1:14" ht="60" customHeight="1" x14ac:dyDescent="0.35">
      <c r="A260" s="9" t="s">
        <v>1238</v>
      </c>
      <c r="B260" s="2" t="s">
        <v>1252</v>
      </c>
      <c r="C260" s="1" t="s">
        <v>1037</v>
      </c>
      <c r="D260" s="3" t="s">
        <v>17</v>
      </c>
      <c r="E260" s="3" t="s">
        <v>18</v>
      </c>
      <c r="F260" s="3" t="s">
        <v>19</v>
      </c>
      <c r="G260" s="3" t="s">
        <v>20</v>
      </c>
      <c r="H260" s="4" t="s">
        <v>20</v>
      </c>
      <c r="I260" s="4" t="s">
        <v>1253</v>
      </c>
      <c r="J260" s="4" t="s">
        <v>1254</v>
      </c>
      <c r="K260" s="4" t="s">
        <v>1255</v>
      </c>
      <c r="L260" s="4" t="s">
        <v>967</v>
      </c>
      <c r="M260" s="3" t="str">
        <f t="shared" si="1"/>
        <v>Outstanding</v>
      </c>
      <c r="N260" s="11" t="s">
        <v>20</v>
      </c>
    </row>
    <row r="261" spans="1:14" ht="60" customHeight="1" x14ac:dyDescent="0.35">
      <c r="A261" s="9" t="s">
        <v>1238</v>
      </c>
      <c r="B261" s="2" t="s">
        <v>1256</v>
      </c>
      <c r="C261" s="1" t="s">
        <v>1042</v>
      </c>
      <c r="D261" s="3" t="s">
        <v>17</v>
      </c>
      <c r="E261" s="3" t="s">
        <v>18</v>
      </c>
      <c r="F261" s="3" t="s">
        <v>19</v>
      </c>
      <c r="G261" s="3" t="s">
        <v>20</v>
      </c>
      <c r="H261" s="4" t="s">
        <v>20</v>
      </c>
      <c r="I261" s="4" t="s">
        <v>1257</v>
      </c>
      <c r="J261" s="4" t="s">
        <v>1258</v>
      </c>
      <c r="K261" s="4" t="s">
        <v>1259</v>
      </c>
      <c r="L261" s="4" t="s">
        <v>967</v>
      </c>
      <c r="M261" s="3" t="str">
        <f t="shared" si="1"/>
        <v>Outstanding</v>
      </c>
      <c r="N261" s="11" t="s">
        <v>20</v>
      </c>
    </row>
    <row r="262" spans="1:14" ht="60" customHeight="1" x14ac:dyDescent="0.35">
      <c r="A262" s="9" t="s">
        <v>1238</v>
      </c>
      <c r="B262" s="2" t="s">
        <v>1260</v>
      </c>
      <c r="C262" s="1" t="s">
        <v>1261</v>
      </c>
      <c r="D262" s="3" t="s">
        <v>17</v>
      </c>
      <c r="E262" s="3" t="s">
        <v>18</v>
      </c>
      <c r="F262" s="3" t="s">
        <v>19</v>
      </c>
      <c r="G262" s="3" t="s">
        <v>20</v>
      </c>
      <c r="H262" s="4" t="s">
        <v>20</v>
      </c>
      <c r="I262" s="4" t="s">
        <v>1262</v>
      </c>
      <c r="J262" s="4" t="s">
        <v>1263</v>
      </c>
      <c r="K262" s="4" t="s">
        <v>1264</v>
      </c>
      <c r="L262" s="4" t="s">
        <v>967</v>
      </c>
      <c r="M262" s="3" t="str">
        <f t="shared" si="1"/>
        <v>Outstanding</v>
      </c>
      <c r="N262" s="11" t="s">
        <v>20</v>
      </c>
    </row>
    <row r="263" spans="1:14" ht="60" customHeight="1" x14ac:dyDescent="0.35">
      <c r="A263" s="9" t="s">
        <v>1238</v>
      </c>
      <c r="B263" s="2" t="s">
        <v>1265</v>
      </c>
      <c r="C263" s="1" t="s">
        <v>1047</v>
      </c>
      <c r="D263" s="3" t="s">
        <v>17</v>
      </c>
      <c r="E263" s="3" t="s">
        <v>18</v>
      </c>
      <c r="F263" s="3" t="s">
        <v>19</v>
      </c>
      <c r="G263" s="3" t="s">
        <v>20</v>
      </c>
      <c r="H263" s="4" t="s">
        <v>20</v>
      </c>
      <c r="I263" s="4" t="s">
        <v>1266</v>
      </c>
      <c r="J263" s="4" t="s">
        <v>1049</v>
      </c>
      <c r="K263" s="4" t="s">
        <v>1267</v>
      </c>
      <c r="L263" s="4" t="s">
        <v>973</v>
      </c>
      <c r="M263" s="3" t="str">
        <f t="shared" si="1"/>
        <v>Outstanding</v>
      </c>
      <c r="N263" s="11" t="s">
        <v>20</v>
      </c>
    </row>
    <row r="264" spans="1:14" ht="60" customHeight="1" x14ac:dyDescent="0.35">
      <c r="A264" s="9" t="s">
        <v>1238</v>
      </c>
      <c r="B264" s="2" t="s">
        <v>1268</v>
      </c>
      <c r="C264" s="1" t="s">
        <v>1269</v>
      </c>
      <c r="D264" s="3" t="s">
        <v>17</v>
      </c>
      <c r="E264" s="3" t="s">
        <v>18</v>
      </c>
      <c r="F264" s="3" t="s">
        <v>19</v>
      </c>
      <c r="G264" s="3" t="s">
        <v>20</v>
      </c>
      <c r="H264" s="4" t="s">
        <v>20</v>
      </c>
      <c r="I264" s="4" t="s">
        <v>1270</v>
      </c>
      <c r="J264" s="4" t="s">
        <v>1271</v>
      </c>
      <c r="K264" s="4" t="s">
        <v>1272</v>
      </c>
      <c r="L264" s="4" t="s">
        <v>967</v>
      </c>
      <c r="M264" s="3" t="str">
        <f t="shared" si="1"/>
        <v>Outstanding</v>
      </c>
      <c r="N264" s="11" t="s">
        <v>20</v>
      </c>
    </row>
    <row r="265" spans="1:14" ht="60" customHeight="1" x14ac:dyDescent="0.35">
      <c r="A265" s="9" t="s">
        <v>1238</v>
      </c>
      <c r="B265" s="2" t="s">
        <v>1273</v>
      </c>
      <c r="C265" s="1" t="s">
        <v>1052</v>
      </c>
      <c r="D265" s="3" t="s">
        <v>17</v>
      </c>
      <c r="E265" s="3" t="s">
        <v>18</v>
      </c>
      <c r="F265" s="3" t="s">
        <v>19</v>
      </c>
      <c r="G265" s="3" t="s">
        <v>20</v>
      </c>
      <c r="H265" s="4" t="s">
        <v>20</v>
      </c>
      <c r="I265" s="4" t="s">
        <v>1274</v>
      </c>
      <c r="J265" s="4" t="s">
        <v>1054</v>
      </c>
      <c r="K265" s="4" t="s">
        <v>1275</v>
      </c>
      <c r="L265" s="4" t="s">
        <v>924</v>
      </c>
      <c r="M265" s="3" t="str">
        <f t="shared" si="1"/>
        <v>Outstanding</v>
      </c>
      <c r="N265" s="11" t="s">
        <v>20</v>
      </c>
    </row>
    <row r="266" spans="1:14" ht="60" customHeight="1" x14ac:dyDescent="0.35">
      <c r="A266" s="9" t="s">
        <v>1238</v>
      </c>
      <c r="B266" s="2" t="s">
        <v>1276</v>
      </c>
      <c r="C266" s="1" t="s">
        <v>1057</v>
      </c>
      <c r="D266" s="3" t="s">
        <v>17</v>
      </c>
      <c r="E266" s="3" t="s">
        <v>18</v>
      </c>
      <c r="F266" s="3" t="s">
        <v>19</v>
      </c>
      <c r="G266" s="3" t="s">
        <v>20</v>
      </c>
      <c r="H266" s="4" t="s">
        <v>20</v>
      </c>
      <c r="I266" s="4" t="s">
        <v>1277</v>
      </c>
      <c r="J266" s="4" t="s">
        <v>1059</v>
      </c>
      <c r="K266" s="4" t="s">
        <v>1278</v>
      </c>
      <c r="L266" s="4" t="s">
        <v>1061</v>
      </c>
      <c r="M266" s="3" t="str">
        <f t="shared" si="1"/>
        <v>Outstanding</v>
      </c>
      <c r="N266" s="11" t="s">
        <v>20</v>
      </c>
    </row>
    <row r="267" spans="1:14" ht="60" customHeight="1" x14ac:dyDescent="0.35">
      <c r="A267" s="9" t="s">
        <v>1238</v>
      </c>
      <c r="B267" s="2" t="s">
        <v>1279</v>
      </c>
      <c r="C267" s="1" t="s">
        <v>1063</v>
      </c>
      <c r="D267" s="3" t="s">
        <v>17</v>
      </c>
      <c r="E267" s="3" t="s">
        <v>18</v>
      </c>
      <c r="F267" s="3" t="s">
        <v>19</v>
      </c>
      <c r="G267" s="3" t="s">
        <v>20</v>
      </c>
      <c r="H267" s="4" t="s">
        <v>20</v>
      </c>
      <c r="I267" s="4" t="s">
        <v>1280</v>
      </c>
      <c r="J267" s="4" t="s">
        <v>1065</v>
      </c>
      <c r="K267" s="4" t="s">
        <v>1281</v>
      </c>
      <c r="L267" s="4" t="s">
        <v>973</v>
      </c>
      <c r="M267" s="3" t="str">
        <f t="shared" si="1"/>
        <v>Outstanding</v>
      </c>
      <c r="N267" s="11" t="s">
        <v>20</v>
      </c>
    </row>
    <row r="268" spans="1:14" ht="60" customHeight="1" x14ac:dyDescent="0.35">
      <c r="A268" s="9" t="s">
        <v>1238</v>
      </c>
      <c r="B268" s="2" t="s">
        <v>1282</v>
      </c>
      <c r="C268" s="1" t="s">
        <v>1068</v>
      </c>
      <c r="D268" s="3" t="s">
        <v>17</v>
      </c>
      <c r="E268" s="3" t="s">
        <v>18</v>
      </c>
      <c r="F268" s="3" t="s">
        <v>19</v>
      </c>
      <c r="G268" s="3" t="s">
        <v>20</v>
      </c>
      <c r="H268" s="4" t="s">
        <v>20</v>
      </c>
      <c r="I268" s="4" t="s">
        <v>1283</v>
      </c>
      <c r="J268" s="4" t="s">
        <v>1070</v>
      </c>
      <c r="K268" s="4" t="s">
        <v>1284</v>
      </c>
      <c r="L268" s="4" t="s">
        <v>967</v>
      </c>
      <c r="M268" s="3" t="str">
        <f t="shared" si="1"/>
        <v>Outstanding</v>
      </c>
      <c r="N268" s="11" t="s">
        <v>20</v>
      </c>
    </row>
    <row r="269" spans="1:14" ht="60" customHeight="1" x14ac:dyDescent="0.35">
      <c r="A269" s="9" t="s">
        <v>1238</v>
      </c>
      <c r="B269" s="2" t="s">
        <v>1285</v>
      </c>
      <c r="C269" s="1" t="s">
        <v>1073</v>
      </c>
      <c r="D269" s="3" t="s">
        <v>17</v>
      </c>
      <c r="E269" s="3" t="s">
        <v>18</v>
      </c>
      <c r="F269" s="3" t="s">
        <v>19</v>
      </c>
      <c r="G269" s="3" t="s">
        <v>20</v>
      </c>
      <c r="H269" s="4" t="s">
        <v>20</v>
      </c>
      <c r="I269" s="4" t="s">
        <v>1286</v>
      </c>
      <c r="J269" s="4" t="s">
        <v>1075</v>
      </c>
      <c r="K269" s="4" t="s">
        <v>1287</v>
      </c>
      <c r="L269" s="4" t="s">
        <v>973</v>
      </c>
      <c r="M269" s="3" t="str">
        <f t="shared" si="1"/>
        <v>Outstanding</v>
      </c>
      <c r="N269" s="11" t="s">
        <v>20</v>
      </c>
    </row>
    <row r="270" spans="1:14" ht="60" customHeight="1" x14ac:dyDescent="0.35">
      <c r="A270" s="9" t="s">
        <v>1238</v>
      </c>
      <c r="B270" s="2" t="s">
        <v>1288</v>
      </c>
      <c r="C270" s="1" t="s">
        <v>1078</v>
      </c>
      <c r="D270" s="3" t="s">
        <v>17</v>
      </c>
      <c r="E270" s="3" t="s">
        <v>18</v>
      </c>
      <c r="F270" s="3" t="s">
        <v>19</v>
      </c>
      <c r="G270" s="3" t="s">
        <v>20</v>
      </c>
      <c r="H270" s="4" t="s">
        <v>20</v>
      </c>
      <c r="I270" s="4" t="s">
        <v>1289</v>
      </c>
      <c r="J270" s="4" t="s">
        <v>1080</v>
      </c>
      <c r="K270" s="4" t="s">
        <v>1290</v>
      </c>
      <c r="L270" s="4" t="s">
        <v>973</v>
      </c>
      <c r="M270" s="3" t="str">
        <f t="shared" si="1"/>
        <v>Outstanding</v>
      </c>
      <c r="N270" s="11" t="s">
        <v>20</v>
      </c>
    </row>
    <row r="271" spans="1:14" ht="60" customHeight="1" x14ac:dyDescent="0.35">
      <c r="A271" s="9" t="s">
        <v>1238</v>
      </c>
      <c r="B271" s="2" t="s">
        <v>1291</v>
      </c>
      <c r="C271" s="1" t="s">
        <v>1083</v>
      </c>
      <c r="D271" s="3" t="s">
        <v>17</v>
      </c>
      <c r="E271" s="3" t="s">
        <v>18</v>
      </c>
      <c r="F271" s="3" t="s">
        <v>19</v>
      </c>
      <c r="G271" s="3" t="s">
        <v>20</v>
      </c>
      <c r="H271" s="4" t="s">
        <v>20</v>
      </c>
      <c r="I271" s="4" t="s">
        <v>1292</v>
      </c>
      <c r="J271" s="4" t="s">
        <v>1085</v>
      </c>
      <c r="K271" s="4" t="s">
        <v>1293</v>
      </c>
      <c r="L271" s="4" t="s">
        <v>1013</v>
      </c>
      <c r="M271" s="3" t="str">
        <f t="shared" si="1"/>
        <v>Outstanding</v>
      </c>
      <c r="N271" s="11" t="s">
        <v>20</v>
      </c>
    </row>
    <row r="272" spans="1:14" ht="60" customHeight="1" x14ac:dyDescent="0.35">
      <c r="A272" s="9" t="s">
        <v>1238</v>
      </c>
      <c r="B272" s="2" t="s">
        <v>1294</v>
      </c>
      <c r="C272" s="1" t="s">
        <v>1088</v>
      </c>
      <c r="D272" s="3" t="s">
        <v>17</v>
      </c>
      <c r="E272" s="3" t="s">
        <v>18</v>
      </c>
      <c r="F272" s="3" t="s">
        <v>19</v>
      </c>
      <c r="G272" s="3" t="s">
        <v>20</v>
      </c>
      <c r="H272" s="4" t="s">
        <v>20</v>
      </c>
      <c r="I272" s="4" t="s">
        <v>1295</v>
      </c>
      <c r="J272" s="4" t="s">
        <v>1090</v>
      </c>
      <c r="K272" s="4" t="s">
        <v>1296</v>
      </c>
      <c r="L272" s="4" t="s">
        <v>967</v>
      </c>
      <c r="M272" s="3" t="str">
        <f t="shared" si="1"/>
        <v>Outstanding</v>
      </c>
      <c r="N272" s="11" t="s">
        <v>20</v>
      </c>
    </row>
    <row r="273" spans="1:14" ht="60" customHeight="1" x14ac:dyDescent="0.35">
      <c r="A273" s="9" t="s">
        <v>1238</v>
      </c>
      <c r="B273" s="2" t="s">
        <v>1297</v>
      </c>
      <c r="C273" s="1" t="s">
        <v>1093</v>
      </c>
      <c r="D273" s="3" t="s">
        <v>17</v>
      </c>
      <c r="E273" s="3" t="s">
        <v>18</v>
      </c>
      <c r="F273" s="3" t="s">
        <v>19</v>
      </c>
      <c r="G273" s="3" t="s">
        <v>20</v>
      </c>
      <c r="H273" s="4" t="s">
        <v>20</v>
      </c>
      <c r="I273" s="4" t="s">
        <v>1298</v>
      </c>
      <c r="J273" s="4" t="s">
        <v>1095</v>
      </c>
      <c r="K273" s="4" t="s">
        <v>1299</v>
      </c>
      <c r="L273" s="4" t="s">
        <v>1013</v>
      </c>
      <c r="M273" s="3" t="str">
        <f t="shared" si="1"/>
        <v>Outstanding</v>
      </c>
      <c r="N273" s="11" t="s">
        <v>20</v>
      </c>
    </row>
    <row r="274" spans="1:14" ht="60" customHeight="1" x14ac:dyDescent="0.35">
      <c r="A274" s="9" t="s">
        <v>1238</v>
      </c>
      <c r="B274" s="2" t="s">
        <v>1300</v>
      </c>
      <c r="C274" s="1" t="s">
        <v>1098</v>
      </c>
      <c r="D274" s="3" t="s">
        <v>17</v>
      </c>
      <c r="E274" s="3" t="s">
        <v>18</v>
      </c>
      <c r="F274" s="3" t="s">
        <v>19</v>
      </c>
      <c r="G274" s="3" t="s">
        <v>20</v>
      </c>
      <c r="H274" s="4" t="s">
        <v>20</v>
      </c>
      <c r="I274" s="4" t="s">
        <v>1301</v>
      </c>
      <c r="J274" s="4" t="s">
        <v>1302</v>
      </c>
      <c r="K274" s="4" t="s">
        <v>1303</v>
      </c>
      <c r="L274" s="4" t="s">
        <v>967</v>
      </c>
      <c r="M274" s="3" t="str">
        <f t="shared" si="1"/>
        <v>Outstanding</v>
      </c>
      <c r="N274" s="11" t="s">
        <v>20</v>
      </c>
    </row>
    <row r="275" spans="1:14" ht="60" customHeight="1" x14ac:dyDescent="0.35">
      <c r="A275" s="9" t="s">
        <v>1238</v>
      </c>
      <c r="B275" s="2" t="s">
        <v>1304</v>
      </c>
      <c r="C275" s="1" t="s">
        <v>1103</v>
      </c>
      <c r="D275" s="3" t="s">
        <v>17</v>
      </c>
      <c r="E275" s="3" t="s">
        <v>18</v>
      </c>
      <c r="F275" s="3" t="s">
        <v>19</v>
      </c>
      <c r="G275" s="3" t="s">
        <v>20</v>
      </c>
      <c r="H275" s="4" t="s">
        <v>20</v>
      </c>
      <c r="I275" s="4" t="s">
        <v>1305</v>
      </c>
      <c r="J275" s="4" t="s">
        <v>1105</v>
      </c>
      <c r="K275" s="4" t="s">
        <v>1306</v>
      </c>
      <c r="L275" s="4" t="s">
        <v>967</v>
      </c>
      <c r="M275" s="3" t="str">
        <f t="shared" si="1"/>
        <v>Outstanding</v>
      </c>
      <c r="N275" s="11" t="s">
        <v>20</v>
      </c>
    </row>
    <row r="276" spans="1:14" ht="60" customHeight="1" x14ac:dyDescent="0.35">
      <c r="A276" s="9" t="s">
        <v>1238</v>
      </c>
      <c r="B276" s="2" t="s">
        <v>1307</v>
      </c>
      <c r="C276" s="1" t="s">
        <v>1108</v>
      </c>
      <c r="D276" s="3" t="s">
        <v>17</v>
      </c>
      <c r="E276" s="3" t="s">
        <v>18</v>
      </c>
      <c r="F276" s="3" t="s">
        <v>19</v>
      </c>
      <c r="G276" s="3" t="s">
        <v>20</v>
      </c>
      <c r="H276" s="4" t="s">
        <v>20</v>
      </c>
      <c r="I276" s="4" t="s">
        <v>1308</v>
      </c>
      <c r="J276" s="4" t="s">
        <v>1110</v>
      </c>
      <c r="K276" s="4" t="s">
        <v>1309</v>
      </c>
      <c r="L276" s="4" t="s">
        <v>967</v>
      </c>
      <c r="M276" s="3" t="str">
        <f t="shared" si="1"/>
        <v>Outstanding</v>
      </c>
      <c r="N276" s="11" t="s">
        <v>20</v>
      </c>
    </row>
    <row r="277" spans="1:14" ht="60" customHeight="1" x14ac:dyDescent="0.35">
      <c r="A277" s="9" t="s">
        <v>1238</v>
      </c>
      <c r="B277" s="2" t="s">
        <v>1310</v>
      </c>
      <c r="C277" s="1" t="s">
        <v>1113</v>
      </c>
      <c r="D277" s="3" t="s">
        <v>17</v>
      </c>
      <c r="E277" s="3" t="s">
        <v>18</v>
      </c>
      <c r="F277" s="3" t="s">
        <v>19</v>
      </c>
      <c r="G277" s="3" t="s">
        <v>20</v>
      </c>
      <c r="H277" s="4" t="s">
        <v>20</v>
      </c>
      <c r="I277" s="4" t="s">
        <v>1311</v>
      </c>
      <c r="J277" s="4" t="s">
        <v>1115</v>
      </c>
      <c r="K277" s="4" t="s">
        <v>1312</v>
      </c>
      <c r="L277" s="4" t="s">
        <v>967</v>
      </c>
      <c r="M277" s="3" t="str">
        <f t="shared" si="1"/>
        <v>Outstanding</v>
      </c>
      <c r="N277" s="11" t="s">
        <v>20</v>
      </c>
    </row>
    <row r="278" spans="1:14" ht="60" customHeight="1" x14ac:dyDescent="0.35">
      <c r="A278" s="9" t="s">
        <v>1238</v>
      </c>
      <c r="B278" s="2" t="s">
        <v>1313</v>
      </c>
      <c r="C278" s="1" t="s">
        <v>1118</v>
      </c>
      <c r="D278" s="3" t="s">
        <v>17</v>
      </c>
      <c r="E278" s="3" t="s">
        <v>18</v>
      </c>
      <c r="F278" s="3" t="s">
        <v>19</v>
      </c>
      <c r="G278" s="3" t="s">
        <v>20</v>
      </c>
      <c r="H278" s="4" t="s">
        <v>20</v>
      </c>
      <c r="I278" s="4" t="s">
        <v>1314</v>
      </c>
      <c r="J278" s="4" t="s">
        <v>1120</v>
      </c>
      <c r="K278" s="4" t="s">
        <v>1315</v>
      </c>
      <c r="L278" s="4" t="s">
        <v>973</v>
      </c>
      <c r="M278" s="3" t="str">
        <f t="shared" si="1"/>
        <v>Outstanding</v>
      </c>
      <c r="N278" s="11" t="s">
        <v>20</v>
      </c>
    </row>
    <row r="279" spans="1:14" ht="60" customHeight="1" x14ac:dyDescent="0.35">
      <c r="A279" s="9" t="s">
        <v>1238</v>
      </c>
      <c r="B279" s="2" t="s">
        <v>1316</v>
      </c>
      <c r="C279" s="1" t="s">
        <v>1123</v>
      </c>
      <c r="D279" s="3" t="s">
        <v>17</v>
      </c>
      <c r="E279" s="3" t="s">
        <v>18</v>
      </c>
      <c r="F279" s="3" t="s">
        <v>19</v>
      </c>
      <c r="G279" s="3" t="s">
        <v>20</v>
      </c>
      <c r="H279" s="4" t="s">
        <v>20</v>
      </c>
      <c r="I279" s="4" t="s">
        <v>1317</v>
      </c>
      <c r="J279" s="4" t="s">
        <v>1125</v>
      </c>
      <c r="K279" s="4" t="s">
        <v>1318</v>
      </c>
      <c r="L279" s="4" t="s">
        <v>967</v>
      </c>
      <c r="M279" s="3" t="str">
        <f t="shared" si="1"/>
        <v>Outstanding</v>
      </c>
      <c r="N279" s="11" t="s">
        <v>20</v>
      </c>
    </row>
    <row r="280" spans="1:14" ht="60" customHeight="1" x14ac:dyDescent="0.35">
      <c r="A280" s="9" t="s">
        <v>1238</v>
      </c>
      <c r="B280" s="2" t="s">
        <v>1319</v>
      </c>
      <c r="C280" s="1" t="s">
        <v>1211</v>
      </c>
      <c r="D280" s="3" t="s">
        <v>17</v>
      </c>
      <c r="E280" s="3" t="s">
        <v>18</v>
      </c>
      <c r="F280" s="3" t="s">
        <v>19</v>
      </c>
      <c r="G280" s="3" t="s">
        <v>20</v>
      </c>
      <c r="H280" s="4" t="s">
        <v>20</v>
      </c>
      <c r="I280" s="4" t="s">
        <v>1320</v>
      </c>
      <c r="J280" s="4" t="s">
        <v>1221</v>
      </c>
      <c r="K280" s="4" t="s">
        <v>1321</v>
      </c>
      <c r="L280" s="4" t="s">
        <v>967</v>
      </c>
      <c r="M280" s="3" t="str">
        <f t="shared" si="1"/>
        <v>Outstanding</v>
      </c>
      <c r="N280" s="11" t="s">
        <v>20</v>
      </c>
    </row>
    <row r="281" spans="1:14" ht="60" customHeight="1" x14ac:dyDescent="0.35">
      <c r="A281" s="9" t="s">
        <v>1238</v>
      </c>
      <c r="B281" s="2" t="s">
        <v>1322</v>
      </c>
      <c r="C281" s="1" t="s">
        <v>1133</v>
      </c>
      <c r="D281" s="3" t="s">
        <v>17</v>
      </c>
      <c r="E281" s="3" t="s">
        <v>18</v>
      </c>
      <c r="F281" s="3" t="s">
        <v>19</v>
      </c>
      <c r="G281" s="3" t="s">
        <v>20</v>
      </c>
      <c r="H281" s="4" t="s">
        <v>20</v>
      </c>
      <c r="I281" s="4" t="s">
        <v>1323</v>
      </c>
      <c r="J281" s="4" t="s">
        <v>1324</v>
      </c>
      <c r="K281" s="4" t="s">
        <v>1325</v>
      </c>
      <c r="L281" s="4" t="s">
        <v>967</v>
      </c>
      <c r="M281" s="3" t="str">
        <f t="shared" si="1"/>
        <v>Outstanding</v>
      </c>
      <c r="N281" s="11" t="s">
        <v>20</v>
      </c>
    </row>
    <row r="282" spans="1:14" ht="60" customHeight="1" x14ac:dyDescent="0.35">
      <c r="A282" s="9" t="s">
        <v>1238</v>
      </c>
      <c r="B282" s="2" t="s">
        <v>1326</v>
      </c>
      <c r="C282" s="1" t="s">
        <v>1327</v>
      </c>
      <c r="D282" s="3" t="s">
        <v>17</v>
      </c>
      <c r="E282" s="3" t="s">
        <v>18</v>
      </c>
      <c r="F282" s="3" t="s">
        <v>19</v>
      </c>
      <c r="G282" s="3" t="s">
        <v>20</v>
      </c>
      <c r="H282" s="4" t="s">
        <v>20</v>
      </c>
      <c r="I282" s="4" t="s">
        <v>1328</v>
      </c>
      <c r="J282" s="4" t="s">
        <v>1329</v>
      </c>
      <c r="K282" s="4" t="s">
        <v>1330</v>
      </c>
      <c r="L282" s="4" t="s">
        <v>967</v>
      </c>
      <c r="M282" s="3" t="str">
        <f t="shared" si="1"/>
        <v>Outstanding</v>
      </c>
      <c r="N282" s="11" t="s">
        <v>20</v>
      </c>
    </row>
    <row r="283" spans="1:14" ht="60" customHeight="1" x14ac:dyDescent="0.35">
      <c r="A283" s="9" t="s">
        <v>1238</v>
      </c>
      <c r="B283" s="2" t="s">
        <v>1331</v>
      </c>
      <c r="C283" s="1" t="s">
        <v>1143</v>
      </c>
      <c r="D283" s="3" t="s">
        <v>17</v>
      </c>
      <c r="E283" s="3" t="s">
        <v>18</v>
      </c>
      <c r="F283" s="3" t="s">
        <v>19</v>
      </c>
      <c r="G283" s="3" t="s">
        <v>20</v>
      </c>
      <c r="H283" s="4" t="s">
        <v>20</v>
      </c>
      <c r="I283" s="4" t="s">
        <v>1332</v>
      </c>
      <c r="J283" s="4" t="s">
        <v>1333</v>
      </c>
      <c r="K283" s="4" t="s">
        <v>1334</v>
      </c>
      <c r="L283" s="4" t="s">
        <v>967</v>
      </c>
      <c r="M283" s="3" t="str">
        <f t="shared" si="1"/>
        <v>Outstanding</v>
      </c>
      <c r="N283" s="11" t="s">
        <v>20</v>
      </c>
    </row>
    <row r="284" spans="1:14" ht="60" customHeight="1" x14ac:dyDescent="0.35">
      <c r="A284" s="9" t="s">
        <v>1238</v>
      </c>
      <c r="B284" s="2" t="s">
        <v>1335</v>
      </c>
      <c r="C284" s="1" t="s">
        <v>1148</v>
      </c>
      <c r="D284" s="3" t="s">
        <v>17</v>
      </c>
      <c r="E284" s="3" t="s">
        <v>18</v>
      </c>
      <c r="F284" s="3" t="s">
        <v>19</v>
      </c>
      <c r="G284" s="3" t="s">
        <v>20</v>
      </c>
      <c r="H284" s="4" t="s">
        <v>20</v>
      </c>
      <c r="I284" s="4" t="s">
        <v>1336</v>
      </c>
      <c r="J284" s="4" t="s">
        <v>1337</v>
      </c>
      <c r="K284" s="4" t="s">
        <v>1338</v>
      </c>
      <c r="L284" s="4" t="s">
        <v>967</v>
      </c>
      <c r="M284" s="3" t="str">
        <f t="shared" si="1"/>
        <v>Outstanding</v>
      </c>
      <c r="N284" s="11" t="s">
        <v>20</v>
      </c>
    </row>
    <row r="285" spans="1:14" ht="60" customHeight="1" x14ac:dyDescent="0.35">
      <c r="A285" s="9" t="s">
        <v>1238</v>
      </c>
      <c r="B285" s="2" t="s">
        <v>1339</v>
      </c>
      <c r="C285" s="1" t="s">
        <v>1153</v>
      </c>
      <c r="D285" s="3" t="s">
        <v>17</v>
      </c>
      <c r="E285" s="3" t="s">
        <v>18</v>
      </c>
      <c r="F285" s="3" t="s">
        <v>19</v>
      </c>
      <c r="G285" s="3" t="s">
        <v>20</v>
      </c>
      <c r="H285" s="4" t="s">
        <v>20</v>
      </c>
      <c r="I285" s="4" t="s">
        <v>1340</v>
      </c>
      <c r="J285" s="4" t="s">
        <v>1341</v>
      </c>
      <c r="K285" s="4" t="s">
        <v>1342</v>
      </c>
      <c r="L285" s="4" t="s">
        <v>967</v>
      </c>
      <c r="M285" s="3" t="str">
        <f t="shared" si="1"/>
        <v>Outstanding</v>
      </c>
      <c r="N285" s="11" t="s">
        <v>20</v>
      </c>
    </row>
    <row r="286" spans="1:14" ht="60" customHeight="1" x14ac:dyDescent="0.35">
      <c r="A286" s="9" t="s">
        <v>1238</v>
      </c>
      <c r="B286" s="2" t="s">
        <v>1343</v>
      </c>
      <c r="C286" s="1" t="s">
        <v>1344</v>
      </c>
      <c r="D286" s="3" t="s">
        <v>17</v>
      </c>
      <c r="E286" s="3" t="s">
        <v>18</v>
      </c>
      <c r="F286" s="3" t="s">
        <v>19</v>
      </c>
      <c r="G286" s="3" t="s">
        <v>20</v>
      </c>
      <c r="H286" s="4" t="s">
        <v>20</v>
      </c>
      <c r="I286" s="4" t="s">
        <v>1345</v>
      </c>
      <c r="J286" s="4" t="s">
        <v>1346</v>
      </c>
      <c r="K286" s="4" t="s">
        <v>1347</v>
      </c>
      <c r="L286" s="4" t="s">
        <v>967</v>
      </c>
      <c r="M286" s="3" t="str">
        <f t="shared" si="1"/>
        <v>Outstanding</v>
      </c>
      <c r="N286" s="11" t="s">
        <v>20</v>
      </c>
    </row>
    <row r="287" spans="1:14" ht="60" customHeight="1" x14ac:dyDescent="0.35">
      <c r="A287" s="9" t="s">
        <v>1238</v>
      </c>
      <c r="B287" s="2" t="s">
        <v>1348</v>
      </c>
      <c r="C287" s="1" t="s">
        <v>1349</v>
      </c>
      <c r="D287" s="3" t="s">
        <v>17</v>
      </c>
      <c r="E287" s="3" t="s">
        <v>18</v>
      </c>
      <c r="F287" s="3" t="s">
        <v>19</v>
      </c>
      <c r="G287" s="3" t="s">
        <v>20</v>
      </c>
      <c r="H287" s="4" t="s">
        <v>20</v>
      </c>
      <c r="I287" s="4" t="s">
        <v>1350</v>
      </c>
      <c r="J287" s="4" t="s">
        <v>1351</v>
      </c>
      <c r="K287" s="4" t="s">
        <v>1352</v>
      </c>
      <c r="L287" s="4" t="s">
        <v>967</v>
      </c>
      <c r="M287" s="3" t="str">
        <f t="shared" si="1"/>
        <v>Outstanding</v>
      </c>
      <c r="N287" s="11" t="s">
        <v>20</v>
      </c>
    </row>
    <row r="288" spans="1:14" ht="60" customHeight="1" x14ac:dyDescent="0.35">
      <c r="A288" s="9" t="s">
        <v>1238</v>
      </c>
      <c r="B288" s="2" t="s">
        <v>1353</v>
      </c>
      <c r="C288" s="1" t="s">
        <v>1354</v>
      </c>
      <c r="D288" s="3" t="s">
        <v>17</v>
      </c>
      <c r="E288" s="3" t="s">
        <v>18</v>
      </c>
      <c r="F288" s="3" t="s">
        <v>19</v>
      </c>
      <c r="G288" s="3" t="s">
        <v>20</v>
      </c>
      <c r="H288" s="4" t="s">
        <v>20</v>
      </c>
      <c r="I288" s="4" t="s">
        <v>1355</v>
      </c>
      <c r="J288" s="4" t="s">
        <v>1356</v>
      </c>
      <c r="K288" s="4" t="s">
        <v>1357</v>
      </c>
      <c r="L288" s="4" t="s">
        <v>967</v>
      </c>
      <c r="M288" s="3" t="str">
        <f t="shared" si="1"/>
        <v>Outstanding</v>
      </c>
      <c r="N288" s="11" t="s">
        <v>20</v>
      </c>
    </row>
    <row r="289" spans="1:14" ht="60" customHeight="1" x14ac:dyDescent="0.35">
      <c r="A289" s="9" t="s">
        <v>1238</v>
      </c>
      <c r="B289" s="2" t="s">
        <v>1358</v>
      </c>
      <c r="C289" s="1" t="s">
        <v>1359</v>
      </c>
      <c r="D289" s="3" t="s">
        <v>17</v>
      </c>
      <c r="E289" s="3" t="s">
        <v>18</v>
      </c>
      <c r="F289" s="3" t="s">
        <v>19</v>
      </c>
      <c r="G289" s="3" t="s">
        <v>20</v>
      </c>
      <c r="H289" s="4" t="s">
        <v>20</v>
      </c>
      <c r="I289" s="4" t="s">
        <v>1360</v>
      </c>
      <c r="J289" s="4" t="s">
        <v>1160</v>
      </c>
      <c r="K289" s="4" t="s">
        <v>1361</v>
      </c>
      <c r="L289" s="4" t="s">
        <v>973</v>
      </c>
      <c r="M289" s="3" t="str">
        <f t="shared" si="1"/>
        <v>Outstanding</v>
      </c>
      <c r="N289" s="11" t="s">
        <v>20</v>
      </c>
    </row>
    <row r="290" spans="1:14" ht="60" customHeight="1" x14ac:dyDescent="0.35">
      <c r="A290" s="9" t="s">
        <v>1238</v>
      </c>
      <c r="B290" s="2" t="s">
        <v>1362</v>
      </c>
      <c r="C290" s="1" t="s">
        <v>1163</v>
      </c>
      <c r="D290" s="3" t="s">
        <v>17</v>
      </c>
      <c r="E290" s="3" t="s">
        <v>18</v>
      </c>
      <c r="F290" s="3" t="s">
        <v>19</v>
      </c>
      <c r="G290" s="3" t="s">
        <v>20</v>
      </c>
      <c r="H290" s="4" t="s">
        <v>20</v>
      </c>
      <c r="I290" s="4" t="s">
        <v>1363</v>
      </c>
      <c r="J290" s="4" t="s">
        <v>1165</v>
      </c>
      <c r="K290" s="4" t="s">
        <v>1364</v>
      </c>
      <c r="L290" s="4" t="s">
        <v>924</v>
      </c>
      <c r="M290" s="3" t="str">
        <f t="shared" si="1"/>
        <v>Outstanding</v>
      </c>
      <c r="N290" s="11" t="s">
        <v>20</v>
      </c>
    </row>
    <row r="291" spans="1:14" ht="60" customHeight="1" x14ac:dyDescent="0.35">
      <c r="A291" s="9" t="s">
        <v>1238</v>
      </c>
      <c r="B291" s="2" t="s">
        <v>1365</v>
      </c>
      <c r="C291" s="1" t="s">
        <v>1168</v>
      </c>
      <c r="D291" s="3" t="s">
        <v>17</v>
      </c>
      <c r="E291" s="3" t="s">
        <v>18</v>
      </c>
      <c r="F291" s="3" t="s">
        <v>19</v>
      </c>
      <c r="G291" s="3" t="s">
        <v>20</v>
      </c>
      <c r="H291" s="4" t="s">
        <v>20</v>
      </c>
      <c r="I291" s="4" t="s">
        <v>1366</v>
      </c>
      <c r="J291" s="4" t="s">
        <v>1170</v>
      </c>
      <c r="K291" s="4" t="s">
        <v>1367</v>
      </c>
      <c r="L291" s="4" t="s">
        <v>1172</v>
      </c>
      <c r="M291" s="3" t="str">
        <f t="shared" si="1"/>
        <v>Outstanding</v>
      </c>
      <c r="N291" s="11" t="s">
        <v>20</v>
      </c>
    </row>
    <row r="292" spans="1:14" ht="60" customHeight="1" x14ac:dyDescent="0.35">
      <c r="A292" s="9" t="s">
        <v>1238</v>
      </c>
      <c r="B292" s="2" t="s">
        <v>1368</v>
      </c>
      <c r="C292" s="1" t="s">
        <v>1174</v>
      </c>
      <c r="D292" s="3" t="s">
        <v>17</v>
      </c>
      <c r="E292" s="3" t="s">
        <v>18</v>
      </c>
      <c r="F292" s="3" t="s">
        <v>19</v>
      </c>
      <c r="G292" s="3" t="s">
        <v>20</v>
      </c>
      <c r="H292" s="4" t="s">
        <v>20</v>
      </c>
      <c r="I292" s="4" t="s">
        <v>1369</v>
      </c>
      <c r="J292" s="4" t="s">
        <v>1176</v>
      </c>
      <c r="K292" s="4" t="s">
        <v>1370</v>
      </c>
      <c r="L292" s="4" t="s">
        <v>973</v>
      </c>
      <c r="M292" s="3" t="str">
        <f t="shared" si="1"/>
        <v>Outstanding</v>
      </c>
      <c r="N292" s="11" t="s">
        <v>20</v>
      </c>
    </row>
    <row r="293" spans="1:14" ht="60" customHeight="1" x14ac:dyDescent="0.35">
      <c r="A293" s="9" t="s">
        <v>1238</v>
      </c>
      <c r="B293" s="2" t="s">
        <v>1371</v>
      </c>
      <c r="C293" s="1" t="s">
        <v>1179</v>
      </c>
      <c r="D293" s="3" t="s">
        <v>17</v>
      </c>
      <c r="E293" s="3" t="s">
        <v>18</v>
      </c>
      <c r="F293" s="3" t="s">
        <v>19</v>
      </c>
      <c r="G293" s="3" t="s">
        <v>20</v>
      </c>
      <c r="H293" s="4" t="s">
        <v>20</v>
      </c>
      <c r="I293" s="4" t="s">
        <v>1372</v>
      </c>
      <c r="J293" s="4" t="s">
        <v>1181</v>
      </c>
      <c r="K293" s="4" t="s">
        <v>1373</v>
      </c>
      <c r="L293" s="4" t="s">
        <v>967</v>
      </c>
      <c r="M293" s="3" t="str">
        <f t="shared" si="1"/>
        <v>Outstanding</v>
      </c>
      <c r="N293" s="11" t="s">
        <v>20</v>
      </c>
    </row>
    <row r="294" spans="1:14" ht="60" customHeight="1" x14ac:dyDescent="0.35">
      <c r="A294" s="9" t="s">
        <v>1238</v>
      </c>
      <c r="B294" s="2" t="s">
        <v>1374</v>
      </c>
      <c r="C294" s="1" t="s">
        <v>1184</v>
      </c>
      <c r="D294" s="3" t="s">
        <v>17</v>
      </c>
      <c r="E294" s="3" t="s">
        <v>18</v>
      </c>
      <c r="F294" s="3" t="s">
        <v>19</v>
      </c>
      <c r="G294" s="3" t="s">
        <v>20</v>
      </c>
      <c r="H294" s="4" t="s">
        <v>20</v>
      </c>
      <c r="I294" s="4" t="s">
        <v>1375</v>
      </c>
      <c r="J294" s="4" t="s">
        <v>1376</v>
      </c>
      <c r="K294" s="4" t="s">
        <v>1377</v>
      </c>
      <c r="L294" s="4" t="s">
        <v>967</v>
      </c>
      <c r="M294" s="3" t="str">
        <f t="shared" si="1"/>
        <v>Outstanding</v>
      </c>
      <c r="N294" s="11" t="s">
        <v>20</v>
      </c>
    </row>
    <row r="295" spans="1:14" ht="60" customHeight="1" x14ac:dyDescent="0.35">
      <c r="A295" s="9" t="s">
        <v>1238</v>
      </c>
      <c r="B295" s="2" t="s">
        <v>1378</v>
      </c>
      <c r="C295" s="1" t="s">
        <v>1189</v>
      </c>
      <c r="D295" s="3" t="s">
        <v>17</v>
      </c>
      <c r="E295" s="3" t="s">
        <v>18</v>
      </c>
      <c r="F295" s="3" t="s">
        <v>19</v>
      </c>
      <c r="G295" s="3" t="s">
        <v>20</v>
      </c>
      <c r="H295" s="4" t="s">
        <v>20</v>
      </c>
      <c r="I295" s="4" t="s">
        <v>1379</v>
      </c>
      <c r="J295" s="4" t="s">
        <v>1380</v>
      </c>
      <c r="K295" s="4" t="s">
        <v>1381</v>
      </c>
      <c r="L295" s="4" t="s">
        <v>967</v>
      </c>
      <c r="M295" s="3" t="str">
        <f t="shared" si="1"/>
        <v>Outstanding</v>
      </c>
      <c r="N295" s="11" t="s">
        <v>20</v>
      </c>
    </row>
    <row r="296" spans="1:14" ht="60" customHeight="1" x14ac:dyDescent="0.35">
      <c r="A296" s="9" t="s">
        <v>1382</v>
      </c>
      <c r="B296" s="2" t="s">
        <v>1383</v>
      </c>
      <c r="C296" s="1" t="s">
        <v>1384</v>
      </c>
      <c r="D296" s="3" t="s">
        <v>17</v>
      </c>
      <c r="E296" s="3" t="s">
        <v>18</v>
      </c>
      <c r="F296" s="3" t="s">
        <v>19</v>
      </c>
      <c r="G296" s="3" t="s">
        <v>20</v>
      </c>
      <c r="H296" s="4" t="s">
        <v>20</v>
      </c>
      <c r="I296" s="4" t="s">
        <v>1385</v>
      </c>
      <c r="J296" s="4" t="s">
        <v>1196</v>
      </c>
      <c r="K296" s="4" t="s">
        <v>1386</v>
      </c>
      <c r="L296" s="4" t="s">
        <v>1013</v>
      </c>
      <c r="M296" s="3" t="str">
        <f t="shared" si="1"/>
        <v>Outstanding</v>
      </c>
      <c r="N296" s="11" t="s">
        <v>20</v>
      </c>
    </row>
    <row r="297" spans="1:14" ht="60" customHeight="1" x14ac:dyDescent="0.35">
      <c r="A297" s="9" t="s">
        <v>1382</v>
      </c>
      <c r="B297" s="2" t="s">
        <v>1387</v>
      </c>
      <c r="C297" s="1" t="s">
        <v>1388</v>
      </c>
      <c r="D297" s="3" t="s">
        <v>17</v>
      </c>
      <c r="E297" s="3" t="s">
        <v>18</v>
      </c>
      <c r="F297" s="3" t="s">
        <v>19</v>
      </c>
      <c r="G297" s="3" t="s">
        <v>20</v>
      </c>
      <c r="H297" s="4" t="s">
        <v>20</v>
      </c>
      <c r="I297" s="4" t="s">
        <v>1389</v>
      </c>
      <c r="J297" s="4" t="s">
        <v>1390</v>
      </c>
      <c r="K297" s="4" t="s">
        <v>1391</v>
      </c>
      <c r="L297" s="4" t="s">
        <v>967</v>
      </c>
      <c r="M297" s="3" t="str">
        <f t="shared" si="1"/>
        <v>Outstanding</v>
      </c>
      <c r="N297" s="11" t="s">
        <v>20</v>
      </c>
    </row>
    <row r="298" spans="1:14" ht="60" customHeight="1" x14ac:dyDescent="0.35">
      <c r="A298" s="9" t="s">
        <v>1382</v>
      </c>
      <c r="B298" s="2" t="s">
        <v>1392</v>
      </c>
      <c r="C298" s="1" t="s">
        <v>1202</v>
      </c>
      <c r="D298" s="3" t="s">
        <v>17</v>
      </c>
      <c r="E298" s="3" t="s">
        <v>18</v>
      </c>
      <c r="F298" s="3" t="s">
        <v>19</v>
      </c>
      <c r="G298" s="3" t="s">
        <v>20</v>
      </c>
      <c r="H298" s="4" t="s">
        <v>20</v>
      </c>
      <c r="I298" s="4" t="s">
        <v>1393</v>
      </c>
      <c r="J298" s="4" t="s">
        <v>1394</v>
      </c>
      <c r="K298" s="4" t="s">
        <v>1395</v>
      </c>
      <c r="L298" s="4" t="s">
        <v>967</v>
      </c>
      <c r="M298" s="3" t="str">
        <f t="shared" si="1"/>
        <v>Outstanding</v>
      </c>
      <c r="N298" s="11" t="s">
        <v>20</v>
      </c>
    </row>
    <row r="299" spans="1:14" ht="60" customHeight="1" x14ac:dyDescent="0.35">
      <c r="A299" s="9" t="s">
        <v>1396</v>
      </c>
      <c r="B299" s="2" t="s">
        <v>1397</v>
      </c>
      <c r="C299" s="1" t="s">
        <v>1398</v>
      </c>
      <c r="D299" s="3" t="s">
        <v>17</v>
      </c>
      <c r="E299" s="3" t="s">
        <v>18</v>
      </c>
      <c r="F299" s="3" t="s">
        <v>19</v>
      </c>
      <c r="G299" s="3" t="s">
        <v>20</v>
      </c>
      <c r="H299" s="4" t="s">
        <v>20</v>
      </c>
      <c r="I299" s="4" t="s">
        <v>1399</v>
      </c>
      <c r="J299" s="4" t="s">
        <v>1400</v>
      </c>
      <c r="K299" s="4" t="s">
        <v>1401</v>
      </c>
      <c r="L299" s="4" t="s">
        <v>973</v>
      </c>
      <c r="M299" s="3" t="str">
        <f t="shared" si="1"/>
        <v>Outstanding</v>
      </c>
      <c r="N299" s="11" t="s">
        <v>20</v>
      </c>
    </row>
    <row r="300" spans="1:14" ht="60" customHeight="1" x14ac:dyDescent="0.35">
      <c r="A300" s="9" t="s">
        <v>1402</v>
      </c>
      <c r="B300" s="2" t="s">
        <v>1403</v>
      </c>
      <c r="C300" s="1" t="s">
        <v>1404</v>
      </c>
      <c r="D300" s="3" t="s">
        <v>17</v>
      </c>
      <c r="E300" s="3" t="s">
        <v>18</v>
      </c>
      <c r="F300" s="3" t="s">
        <v>19</v>
      </c>
      <c r="G300" s="3" t="s">
        <v>20</v>
      </c>
      <c r="H300" s="4" t="s">
        <v>20</v>
      </c>
      <c r="I300" s="4" t="s">
        <v>1405</v>
      </c>
      <c r="J300" s="4" t="s">
        <v>1406</v>
      </c>
      <c r="K300" s="4" t="s">
        <v>1407</v>
      </c>
      <c r="L300" s="4" t="s">
        <v>924</v>
      </c>
      <c r="M300" s="3" t="str">
        <f t="shared" si="1"/>
        <v>Outstanding</v>
      </c>
      <c r="N300" s="11" t="s">
        <v>20</v>
      </c>
    </row>
    <row r="301" spans="1:14" ht="60" customHeight="1" x14ac:dyDescent="0.35">
      <c r="A301" s="9" t="s">
        <v>1402</v>
      </c>
      <c r="B301" s="2" t="s">
        <v>1408</v>
      </c>
      <c r="C301" s="1" t="s">
        <v>1409</v>
      </c>
      <c r="D301" s="3" t="s">
        <v>17</v>
      </c>
      <c r="E301" s="3" t="s">
        <v>18</v>
      </c>
      <c r="F301" s="3" t="s">
        <v>19</v>
      </c>
      <c r="G301" s="3" t="s">
        <v>20</v>
      </c>
      <c r="H301" s="4" t="s">
        <v>20</v>
      </c>
      <c r="I301" s="4" t="s">
        <v>1410</v>
      </c>
      <c r="J301" s="4" t="s">
        <v>1411</v>
      </c>
      <c r="K301" s="4" t="s">
        <v>1412</v>
      </c>
      <c r="L301" s="4" t="s">
        <v>924</v>
      </c>
      <c r="M301" s="3" t="str">
        <f t="shared" si="1"/>
        <v>Outstanding</v>
      </c>
      <c r="N301" s="11" t="s">
        <v>20</v>
      </c>
    </row>
    <row r="302" spans="1:14" ht="60" customHeight="1" x14ac:dyDescent="0.35">
      <c r="A302" s="9" t="s">
        <v>1413</v>
      </c>
      <c r="B302" s="2" t="s">
        <v>1414</v>
      </c>
      <c r="C302" s="1" t="s">
        <v>1415</v>
      </c>
      <c r="D302" s="3" t="s">
        <v>17</v>
      </c>
      <c r="E302" s="3" t="s">
        <v>18</v>
      </c>
      <c r="F302" s="3" t="s">
        <v>19</v>
      </c>
      <c r="G302" s="3" t="s">
        <v>20</v>
      </c>
      <c r="H302" s="4" t="s">
        <v>20</v>
      </c>
      <c r="I302" s="4" t="s">
        <v>1416</v>
      </c>
      <c r="J302" s="4" t="s">
        <v>1417</v>
      </c>
      <c r="K302" s="4" t="s">
        <v>1418</v>
      </c>
      <c r="L302" s="4" t="s">
        <v>967</v>
      </c>
      <c r="M302" s="3" t="str">
        <f t="shared" si="1"/>
        <v>Outstanding</v>
      </c>
      <c r="N302" s="11" t="s">
        <v>20</v>
      </c>
    </row>
    <row r="303" spans="1:14" ht="60" customHeight="1" x14ac:dyDescent="0.35">
      <c r="A303" s="9" t="s">
        <v>1419</v>
      </c>
      <c r="B303" s="2" t="s">
        <v>1420</v>
      </c>
      <c r="C303" s="1" t="s">
        <v>1415</v>
      </c>
      <c r="D303" s="3" t="s">
        <v>17</v>
      </c>
      <c r="E303" s="3" t="s">
        <v>18</v>
      </c>
      <c r="F303" s="3" t="s">
        <v>19</v>
      </c>
      <c r="G303" s="3" t="s">
        <v>20</v>
      </c>
      <c r="H303" s="4" t="s">
        <v>20</v>
      </c>
      <c r="I303" s="4" t="s">
        <v>1421</v>
      </c>
      <c r="J303" s="4" t="s">
        <v>1422</v>
      </c>
      <c r="K303" s="4" t="s">
        <v>1423</v>
      </c>
      <c r="L303" s="4" t="s">
        <v>967</v>
      </c>
      <c r="M303" s="3" t="str">
        <f t="shared" si="1"/>
        <v>Outstanding</v>
      </c>
      <c r="N303" s="11" t="s">
        <v>20</v>
      </c>
    </row>
    <row r="304" spans="1:14" ht="60" customHeight="1" x14ac:dyDescent="0.35">
      <c r="A304" s="9" t="s">
        <v>1424</v>
      </c>
      <c r="B304" s="2" t="s">
        <v>1425</v>
      </c>
      <c r="C304" s="1" t="s">
        <v>1415</v>
      </c>
      <c r="D304" s="3" t="s">
        <v>17</v>
      </c>
      <c r="E304" s="3" t="s">
        <v>18</v>
      </c>
      <c r="F304" s="3" t="s">
        <v>19</v>
      </c>
      <c r="G304" s="3" t="s">
        <v>20</v>
      </c>
      <c r="H304" s="4" t="s">
        <v>20</v>
      </c>
      <c r="I304" s="4" t="s">
        <v>1426</v>
      </c>
      <c r="J304" s="4" t="s">
        <v>1427</v>
      </c>
      <c r="K304" s="4" t="s">
        <v>1428</v>
      </c>
      <c r="L304" s="4" t="s">
        <v>967</v>
      </c>
      <c r="M304" s="3" t="str">
        <f t="shared" si="1"/>
        <v>Outstanding</v>
      </c>
      <c r="N304" s="11" t="s">
        <v>20</v>
      </c>
    </row>
    <row r="305" spans="1:14" ht="60" customHeight="1" x14ac:dyDescent="0.35">
      <c r="A305" s="9" t="s">
        <v>1429</v>
      </c>
      <c r="B305" s="2" t="s">
        <v>1430</v>
      </c>
      <c r="C305" s="1" t="s">
        <v>1415</v>
      </c>
      <c r="D305" s="3" t="s">
        <v>17</v>
      </c>
      <c r="E305" s="3" t="s">
        <v>18</v>
      </c>
      <c r="F305" s="3" t="s">
        <v>19</v>
      </c>
      <c r="G305" s="3" t="s">
        <v>20</v>
      </c>
      <c r="H305" s="4" t="s">
        <v>20</v>
      </c>
      <c r="I305" s="4" t="s">
        <v>1431</v>
      </c>
      <c r="J305" s="4" t="s">
        <v>1432</v>
      </c>
      <c r="K305" s="4" t="s">
        <v>1433</v>
      </c>
      <c r="L305" s="4" t="s">
        <v>967</v>
      </c>
      <c r="M305" s="3" t="str">
        <f t="shared" si="1"/>
        <v>Outstanding</v>
      </c>
      <c r="N305" s="11" t="s">
        <v>20</v>
      </c>
    </row>
    <row r="306" spans="1:14" ht="60" customHeight="1" x14ac:dyDescent="0.35">
      <c r="A306" s="9" t="s">
        <v>1434</v>
      </c>
      <c r="B306" s="2" t="s">
        <v>1435</v>
      </c>
      <c r="C306" s="1" t="s">
        <v>1415</v>
      </c>
      <c r="D306" s="3" t="s">
        <v>17</v>
      </c>
      <c r="E306" s="3" t="s">
        <v>18</v>
      </c>
      <c r="F306" s="3" t="s">
        <v>19</v>
      </c>
      <c r="G306" s="3" t="s">
        <v>20</v>
      </c>
      <c r="H306" s="4" t="s">
        <v>20</v>
      </c>
      <c r="I306" s="4" t="s">
        <v>1436</v>
      </c>
      <c r="J306" s="4" t="s">
        <v>1437</v>
      </c>
      <c r="K306" s="4" t="s">
        <v>1438</v>
      </c>
      <c r="L306" s="4" t="s">
        <v>967</v>
      </c>
      <c r="M306" s="3" t="str">
        <f t="shared" si="1"/>
        <v>Outstanding</v>
      </c>
      <c r="N306" s="11" t="s">
        <v>20</v>
      </c>
    </row>
    <row r="307" spans="1:14" ht="60" customHeight="1" x14ac:dyDescent="0.35">
      <c r="A307" s="9" t="s">
        <v>1439</v>
      </c>
      <c r="B307" s="2" t="s">
        <v>1440</v>
      </c>
      <c r="C307" s="1" t="s">
        <v>1415</v>
      </c>
      <c r="D307" s="3" t="s">
        <v>17</v>
      </c>
      <c r="E307" s="3" t="s">
        <v>18</v>
      </c>
      <c r="F307" s="3" t="s">
        <v>19</v>
      </c>
      <c r="G307" s="3" t="s">
        <v>20</v>
      </c>
      <c r="H307" s="4" t="s">
        <v>20</v>
      </c>
      <c r="I307" s="4" t="s">
        <v>1441</v>
      </c>
      <c r="J307" s="4" t="s">
        <v>1442</v>
      </c>
      <c r="K307" s="4" t="s">
        <v>1443</v>
      </c>
      <c r="L307" s="4" t="s">
        <v>967</v>
      </c>
      <c r="M307" s="3" t="str">
        <f t="shared" si="1"/>
        <v>Outstanding</v>
      </c>
      <c r="N307" s="11" t="s">
        <v>20</v>
      </c>
    </row>
    <row r="308" spans="1:14" ht="60" customHeight="1" x14ac:dyDescent="0.35">
      <c r="A308" s="9" t="s">
        <v>1444</v>
      </c>
      <c r="B308" s="2" t="s">
        <v>1445</v>
      </c>
      <c r="C308" s="1" t="s">
        <v>1415</v>
      </c>
      <c r="D308" s="3" t="s">
        <v>17</v>
      </c>
      <c r="E308" s="3" t="s">
        <v>18</v>
      </c>
      <c r="F308" s="3" t="s">
        <v>19</v>
      </c>
      <c r="G308" s="3" t="s">
        <v>20</v>
      </c>
      <c r="H308" s="4" t="s">
        <v>20</v>
      </c>
      <c r="I308" s="4" t="s">
        <v>1446</v>
      </c>
      <c r="J308" s="4" t="s">
        <v>1447</v>
      </c>
      <c r="K308" s="4" t="s">
        <v>1448</v>
      </c>
      <c r="L308" s="4" t="s">
        <v>967</v>
      </c>
      <c r="M308" s="3" t="str">
        <f t="shared" si="1"/>
        <v>Outstanding</v>
      </c>
      <c r="N308" s="11" t="s">
        <v>20</v>
      </c>
    </row>
    <row r="309" spans="1:14" ht="60" customHeight="1" x14ac:dyDescent="0.35">
      <c r="A309" s="9" t="s">
        <v>1449</v>
      </c>
      <c r="B309" s="2" t="s">
        <v>1450</v>
      </c>
      <c r="C309" s="1" t="s">
        <v>1415</v>
      </c>
      <c r="D309" s="3" t="s">
        <v>17</v>
      </c>
      <c r="E309" s="3" t="s">
        <v>18</v>
      </c>
      <c r="F309" s="3" t="s">
        <v>19</v>
      </c>
      <c r="G309" s="3" t="s">
        <v>20</v>
      </c>
      <c r="H309" s="4" t="s">
        <v>20</v>
      </c>
      <c r="I309" s="4" t="s">
        <v>1451</v>
      </c>
      <c r="J309" s="4" t="s">
        <v>1452</v>
      </c>
      <c r="K309" s="4" t="s">
        <v>1453</v>
      </c>
      <c r="L309" s="4" t="s">
        <v>967</v>
      </c>
      <c r="M309" s="3" t="str">
        <f t="shared" si="1"/>
        <v>Outstanding</v>
      </c>
      <c r="N309" s="11" t="s">
        <v>20</v>
      </c>
    </row>
    <row r="310" spans="1:14" ht="60" customHeight="1" x14ac:dyDescent="0.35">
      <c r="A310" s="9" t="s">
        <v>1454</v>
      </c>
      <c r="B310" s="2" t="s">
        <v>1455</v>
      </c>
      <c r="C310" s="1" t="s">
        <v>1456</v>
      </c>
      <c r="D310" s="3" t="s">
        <v>17</v>
      </c>
      <c r="E310" s="3" t="s">
        <v>18</v>
      </c>
      <c r="F310" s="3" t="s">
        <v>19</v>
      </c>
      <c r="G310" s="3" t="s">
        <v>20</v>
      </c>
      <c r="H310" s="4" t="s">
        <v>20</v>
      </c>
      <c r="I310" s="4" t="s">
        <v>1457</v>
      </c>
      <c r="J310" s="4" t="s">
        <v>1458</v>
      </c>
      <c r="K310" s="4" t="s">
        <v>1459</v>
      </c>
      <c r="L310" s="4" t="s">
        <v>1460</v>
      </c>
      <c r="M310" s="3" t="str">
        <f t="shared" si="1"/>
        <v>Outstanding</v>
      </c>
      <c r="N310" s="11" t="s">
        <v>20</v>
      </c>
    </row>
    <row r="311" spans="1:14" ht="60" customHeight="1" x14ac:dyDescent="0.35">
      <c r="A311" s="9" t="s">
        <v>1454</v>
      </c>
      <c r="B311" s="2" t="s">
        <v>1461</v>
      </c>
      <c r="C311" s="1" t="s">
        <v>1462</v>
      </c>
      <c r="D311" s="3" t="s">
        <v>17</v>
      </c>
      <c r="E311" s="3" t="s">
        <v>18</v>
      </c>
      <c r="F311" s="3" t="s">
        <v>19</v>
      </c>
      <c r="G311" s="3" t="s">
        <v>20</v>
      </c>
      <c r="H311" s="4" t="s">
        <v>20</v>
      </c>
      <c r="I311" s="4" t="s">
        <v>1463</v>
      </c>
      <c r="J311" s="4" t="s">
        <v>1464</v>
      </c>
      <c r="K311" s="4" t="s">
        <v>1465</v>
      </c>
      <c r="L311" s="4" t="s">
        <v>644</v>
      </c>
      <c r="M311" s="3" t="str">
        <f t="shared" si="1"/>
        <v>Outstanding</v>
      </c>
      <c r="N311" s="11" t="s">
        <v>20</v>
      </c>
    </row>
    <row r="312" spans="1:14" ht="60" customHeight="1" x14ac:dyDescent="0.35">
      <c r="A312" s="9" t="s">
        <v>1454</v>
      </c>
      <c r="B312" s="2" t="s">
        <v>1466</v>
      </c>
      <c r="C312" s="1" t="s">
        <v>1467</v>
      </c>
      <c r="D312" s="3" t="s">
        <v>17</v>
      </c>
      <c r="E312" s="3" t="s">
        <v>18</v>
      </c>
      <c r="F312" s="3" t="s">
        <v>19</v>
      </c>
      <c r="G312" s="3" t="s">
        <v>20</v>
      </c>
      <c r="H312" s="4" t="s">
        <v>20</v>
      </c>
      <c r="I312" s="4" t="s">
        <v>1468</v>
      </c>
      <c r="J312" s="4" t="s">
        <v>1469</v>
      </c>
      <c r="K312" s="4" t="s">
        <v>1470</v>
      </c>
      <c r="L312" s="4" t="s">
        <v>1460</v>
      </c>
      <c r="M312" s="3" t="str">
        <f t="shared" si="1"/>
        <v>Outstanding</v>
      </c>
      <c r="N312" s="11" t="s">
        <v>20</v>
      </c>
    </row>
    <row r="313" spans="1:14" ht="60" customHeight="1" x14ac:dyDescent="0.35">
      <c r="A313" s="9" t="s">
        <v>1454</v>
      </c>
      <c r="B313" s="2" t="s">
        <v>1471</v>
      </c>
      <c r="C313" s="1" t="s">
        <v>1472</v>
      </c>
      <c r="D313" s="3" t="s">
        <v>17</v>
      </c>
      <c r="E313" s="3" t="s">
        <v>18</v>
      </c>
      <c r="F313" s="3" t="s">
        <v>19</v>
      </c>
      <c r="G313" s="3" t="s">
        <v>20</v>
      </c>
      <c r="H313" s="4" t="s">
        <v>20</v>
      </c>
      <c r="I313" s="4" t="s">
        <v>1473</v>
      </c>
      <c r="J313" s="4" t="s">
        <v>1474</v>
      </c>
      <c r="K313" s="4" t="s">
        <v>1475</v>
      </c>
      <c r="L313" s="4" t="s">
        <v>1460</v>
      </c>
      <c r="M313" s="3" t="str">
        <f t="shared" si="1"/>
        <v>Outstanding</v>
      </c>
      <c r="N313" s="11" t="s">
        <v>20</v>
      </c>
    </row>
    <row r="314" spans="1:14" ht="60" customHeight="1" x14ac:dyDescent="0.35">
      <c r="A314" s="9" t="s">
        <v>1454</v>
      </c>
      <c r="B314" s="2" t="s">
        <v>1476</v>
      </c>
      <c r="C314" s="1" t="s">
        <v>1477</v>
      </c>
      <c r="D314" s="3" t="s">
        <v>17</v>
      </c>
      <c r="E314" s="3" t="s">
        <v>18</v>
      </c>
      <c r="F314" s="3" t="s">
        <v>19</v>
      </c>
      <c r="G314" s="3" t="s">
        <v>20</v>
      </c>
      <c r="H314" s="4" t="s">
        <v>20</v>
      </c>
      <c r="I314" s="4" t="s">
        <v>1478</v>
      </c>
      <c r="J314" s="4" t="s">
        <v>1479</v>
      </c>
      <c r="K314" s="4" t="s">
        <v>1480</v>
      </c>
      <c r="L314" s="4" t="s">
        <v>476</v>
      </c>
      <c r="M314" s="3" t="str">
        <f t="shared" si="1"/>
        <v>Outstanding</v>
      </c>
      <c r="N314" s="11" t="s">
        <v>20</v>
      </c>
    </row>
    <row r="315" spans="1:14" ht="60" customHeight="1" x14ac:dyDescent="0.35">
      <c r="A315" s="9" t="s">
        <v>1481</v>
      </c>
      <c r="B315" s="2" t="s">
        <v>1482</v>
      </c>
      <c r="C315" s="1" t="s">
        <v>1483</v>
      </c>
      <c r="D315" s="3" t="s">
        <v>17</v>
      </c>
      <c r="E315" s="3" t="s">
        <v>18</v>
      </c>
      <c r="F315" s="3" t="s">
        <v>19</v>
      </c>
      <c r="G315" s="3" t="s">
        <v>20</v>
      </c>
      <c r="H315" s="4" t="s">
        <v>20</v>
      </c>
      <c r="I315" s="4" t="s">
        <v>1484</v>
      </c>
      <c r="J315" s="4" t="s">
        <v>1485</v>
      </c>
      <c r="K315" s="4" t="s">
        <v>1486</v>
      </c>
      <c r="L315" s="4" t="s">
        <v>644</v>
      </c>
      <c r="M315" s="3" t="str">
        <f t="shared" si="1"/>
        <v>Outstanding</v>
      </c>
      <c r="N315" s="11" t="s">
        <v>20</v>
      </c>
    </row>
    <row r="316" spans="1:14" ht="60" customHeight="1" x14ac:dyDescent="0.35">
      <c r="A316" s="9" t="s">
        <v>1487</v>
      </c>
      <c r="B316" s="2" t="s">
        <v>1488</v>
      </c>
      <c r="C316" s="1" t="s">
        <v>1489</v>
      </c>
      <c r="D316" s="3" t="s">
        <v>17</v>
      </c>
      <c r="E316" s="3" t="s">
        <v>18</v>
      </c>
      <c r="F316" s="3" t="s">
        <v>19</v>
      </c>
      <c r="G316" s="3" t="s">
        <v>20</v>
      </c>
      <c r="H316" s="4" t="s">
        <v>20</v>
      </c>
      <c r="I316" s="4" t="s">
        <v>1490</v>
      </c>
      <c r="J316" s="4" t="s">
        <v>1491</v>
      </c>
      <c r="K316" s="4" t="s">
        <v>1492</v>
      </c>
      <c r="L316" s="4" t="s">
        <v>482</v>
      </c>
      <c r="M316" s="3" t="str">
        <f t="shared" si="1"/>
        <v>Outstanding</v>
      </c>
      <c r="N316" s="11" t="s">
        <v>20</v>
      </c>
    </row>
    <row r="317" spans="1:14" ht="60" customHeight="1" x14ac:dyDescent="0.35">
      <c r="A317" s="9" t="s">
        <v>1487</v>
      </c>
      <c r="B317" s="2" t="s">
        <v>1493</v>
      </c>
      <c r="C317" s="1" t="s">
        <v>1494</v>
      </c>
      <c r="D317" s="3" t="s">
        <v>17</v>
      </c>
      <c r="E317" s="3" t="s">
        <v>18</v>
      </c>
      <c r="F317" s="3" t="s">
        <v>19</v>
      </c>
      <c r="G317" s="3" t="s">
        <v>20</v>
      </c>
      <c r="H317" s="4" t="s">
        <v>20</v>
      </c>
      <c r="I317" s="4" t="s">
        <v>1495</v>
      </c>
      <c r="J317" s="4" t="s">
        <v>1496</v>
      </c>
      <c r="K317" s="4" t="s">
        <v>1497</v>
      </c>
      <c r="L317" s="4" t="s">
        <v>476</v>
      </c>
      <c r="M317" s="3" t="str">
        <f t="shared" si="1"/>
        <v>Outstanding</v>
      </c>
      <c r="N317" s="11" t="s">
        <v>20</v>
      </c>
    </row>
    <row r="318" spans="1:14" ht="60" customHeight="1" x14ac:dyDescent="0.35">
      <c r="A318" s="9" t="s">
        <v>1487</v>
      </c>
      <c r="B318" s="2" t="s">
        <v>1498</v>
      </c>
      <c r="C318" s="1" t="s">
        <v>1499</v>
      </c>
      <c r="D318" s="3" t="s">
        <v>17</v>
      </c>
      <c r="E318" s="3" t="s">
        <v>18</v>
      </c>
      <c r="F318" s="3" t="s">
        <v>19</v>
      </c>
      <c r="G318" s="3" t="s">
        <v>20</v>
      </c>
      <c r="H318" s="4" t="s">
        <v>20</v>
      </c>
      <c r="I318" s="4" t="s">
        <v>1500</v>
      </c>
      <c r="J318" s="4" t="s">
        <v>1501</v>
      </c>
      <c r="K318" s="4" t="s">
        <v>1502</v>
      </c>
      <c r="L318" s="4" t="s">
        <v>476</v>
      </c>
      <c r="M318" s="3" t="str">
        <f t="shared" si="1"/>
        <v>Outstanding</v>
      </c>
      <c r="N318" s="11" t="s">
        <v>20</v>
      </c>
    </row>
    <row r="319" spans="1:14" ht="60" customHeight="1" x14ac:dyDescent="0.35">
      <c r="A319" s="9" t="s">
        <v>1503</v>
      </c>
      <c r="B319" s="2" t="s">
        <v>1504</v>
      </c>
      <c r="C319" s="1" t="s">
        <v>1505</v>
      </c>
      <c r="D319" s="3" t="s">
        <v>17</v>
      </c>
      <c r="E319" s="3" t="s">
        <v>18</v>
      </c>
      <c r="F319" s="3" t="s">
        <v>19</v>
      </c>
      <c r="G319" s="3" t="s">
        <v>20</v>
      </c>
      <c r="H319" s="4" t="s">
        <v>20</v>
      </c>
      <c r="I319" s="4" t="s">
        <v>1506</v>
      </c>
      <c r="J319" s="4" t="s">
        <v>1507</v>
      </c>
      <c r="K319" s="4" t="s">
        <v>1508</v>
      </c>
      <c r="L319" s="4" t="s">
        <v>1509</v>
      </c>
      <c r="M319" s="3" t="str">
        <f t="shared" si="1"/>
        <v>Outstanding</v>
      </c>
      <c r="N319" s="11" t="s">
        <v>20</v>
      </c>
    </row>
    <row r="320" spans="1:14" ht="60" customHeight="1" x14ac:dyDescent="0.35">
      <c r="A320" s="9" t="s">
        <v>1510</v>
      </c>
      <c r="B320" s="2" t="s">
        <v>1511</v>
      </c>
      <c r="C320" s="1" t="s">
        <v>1512</v>
      </c>
      <c r="D320" s="3" t="s">
        <v>17</v>
      </c>
      <c r="E320" s="3" t="s">
        <v>18</v>
      </c>
      <c r="F320" s="3" t="s">
        <v>19</v>
      </c>
      <c r="G320" s="3" t="s">
        <v>20</v>
      </c>
      <c r="H320" s="4" t="s">
        <v>20</v>
      </c>
      <c r="I320" s="4" t="s">
        <v>1513</v>
      </c>
      <c r="J320" s="4" t="s">
        <v>1514</v>
      </c>
      <c r="K320" s="4" t="s">
        <v>1515</v>
      </c>
      <c r="L320" s="4" t="s">
        <v>1509</v>
      </c>
      <c r="M320" s="3" t="str">
        <f t="shared" si="1"/>
        <v>Outstanding</v>
      </c>
      <c r="N320" s="11" t="s">
        <v>20</v>
      </c>
    </row>
    <row r="321" spans="1:14" ht="60" customHeight="1" x14ac:dyDescent="0.35">
      <c r="A321" s="9" t="s">
        <v>1516</v>
      </c>
      <c r="B321" s="2" t="s">
        <v>1517</v>
      </c>
      <c r="C321" s="1" t="s">
        <v>1518</v>
      </c>
      <c r="D321" s="3" t="s">
        <v>17</v>
      </c>
      <c r="E321" s="3" t="s">
        <v>18</v>
      </c>
      <c r="F321" s="3" t="s">
        <v>19</v>
      </c>
      <c r="G321" s="3" t="s">
        <v>20</v>
      </c>
      <c r="H321" s="4" t="s">
        <v>20</v>
      </c>
      <c r="I321" s="4" t="s">
        <v>1519</v>
      </c>
      <c r="J321" s="4" t="s">
        <v>1520</v>
      </c>
      <c r="K321" s="4" t="s">
        <v>1521</v>
      </c>
      <c r="L321" s="4" t="s">
        <v>482</v>
      </c>
      <c r="M321" s="3" t="str">
        <f t="shared" si="1"/>
        <v>Outstanding</v>
      </c>
      <c r="N321" s="11" t="s">
        <v>20</v>
      </c>
    </row>
    <row r="322" spans="1:14" ht="60" customHeight="1" x14ac:dyDescent="0.35">
      <c r="A322" s="9" t="s">
        <v>1516</v>
      </c>
      <c r="B322" s="2" t="s">
        <v>1522</v>
      </c>
      <c r="C322" s="1" t="s">
        <v>1523</v>
      </c>
      <c r="D322" s="3" t="s">
        <v>17</v>
      </c>
      <c r="E322" s="3" t="s">
        <v>18</v>
      </c>
      <c r="F322" s="3" t="s">
        <v>19</v>
      </c>
      <c r="G322" s="3" t="s">
        <v>20</v>
      </c>
      <c r="H322" s="4" t="s">
        <v>20</v>
      </c>
      <c r="I322" s="4" t="s">
        <v>1524</v>
      </c>
      <c r="J322" s="4" t="s">
        <v>1525</v>
      </c>
      <c r="K322" s="4" t="s">
        <v>1526</v>
      </c>
      <c r="L322" s="4" t="s">
        <v>482</v>
      </c>
      <c r="M322" s="3" t="str">
        <f t="shared" si="1"/>
        <v>Outstanding</v>
      </c>
      <c r="N322" s="11" t="s">
        <v>20</v>
      </c>
    </row>
    <row r="323" spans="1:14" ht="60" customHeight="1" x14ac:dyDescent="0.35">
      <c r="A323" s="9" t="s">
        <v>1527</v>
      </c>
      <c r="B323" s="2" t="s">
        <v>1528</v>
      </c>
      <c r="C323" s="1" t="s">
        <v>1529</v>
      </c>
      <c r="D323" s="3" t="s">
        <v>17</v>
      </c>
      <c r="E323" s="3" t="s">
        <v>18</v>
      </c>
      <c r="F323" s="3" t="s">
        <v>19</v>
      </c>
      <c r="G323" s="3" t="s">
        <v>20</v>
      </c>
      <c r="H323" s="4" t="s">
        <v>20</v>
      </c>
      <c r="I323" s="4" t="s">
        <v>1530</v>
      </c>
      <c r="J323" s="4" t="s">
        <v>1531</v>
      </c>
      <c r="K323" s="4" t="s">
        <v>1532</v>
      </c>
      <c r="L323" s="4" t="s">
        <v>1509</v>
      </c>
      <c r="M323" s="3" t="str">
        <f t="shared" si="1"/>
        <v>Outstanding</v>
      </c>
      <c r="N323" s="11" t="s">
        <v>20</v>
      </c>
    </row>
    <row r="324" spans="1:14" ht="60" customHeight="1" x14ac:dyDescent="0.35">
      <c r="A324" s="9" t="s">
        <v>1533</v>
      </c>
      <c r="B324" s="2" t="s">
        <v>1534</v>
      </c>
      <c r="C324" s="1" t="s">
        <v>1535</v>
      </c>
      <c r="D324" s="3" t="s">
        <v>17</v>
      </c>
      <c r="E324" s="3" t="s">
        <v>18</v>
      </c>
      <c r="F324" s="3" t="s">
        <v>19</v>
      </c>
      <c r="G324" s="3" t="s">
        <v>20</v>
      </c>
      <c r="H324" s="4" t="s">
        <v>20</v>
      </c>
      <c r="I324" s="4" t="s">
        <v>1536</v>
      </c>
      <c r="J324" s="4" t="s">
        <v>1537</v>
      </c>
      <c r="K324" s="4" t="s">
        <v>1538</v>
      </c>
      <c r="L324" s="4" t="s">
        <v>644</v>
      </c>
      <c r="M324" s="3" t="str">
        <f t="shared" si="1"/>
        <v>Outstanding</v>
      </c>
      <c r="N324" s="11" t="s">
        <v>20</v>
      </c>
    </row>
    <row r="325" spans="1:14" ht="60" customHeight="1" x14ac:dyDescent="0.35">
      <c r="A325" s="9" t="s">
        <v>1533</v>
      </c>
      <c r="B325" s="2" t="s">
        <v>1539</v>
      </c>
      <c r="C325" s="1" t="s">
        <v>1540</v>
      </c>
      <c r="D325" s="3" t="s">
        <v>17</v>
      </c>
      <c r="E325" s="3" t="s">
        <v>18</v>
      </c>
      <c r="F325" s="3" t="s">
        <v>19</v>
      </c>
      <c r="G325" s="3" t="s">
        <v>20</v>
      </c>
      <c r="H325" s="4" t="s">
        <v>20</v>
      </c>
      <c r="I325" s="4" t="s">
        <v>1541</v>
      </c>
      <c r="J325" s="4" t="s">
        <v>1542</v>
      </c>
      <c r="K325" s="4" t="s">
        <v>1543</v>
      </c>
      <c r="L325" s="4" t="s">
        <v>644</v>
      </c>
      <c r="M325" s="3" t="str">
        <f t="shared" si="1"/>
        <v>Outstanding</v>
      </c>
      <c r="N325" s="11" t="s">
        <v>20</v>
      </c>
    </row>
    <row r="326" spans="1:14" ht="60" customHeight="1" x14ac:dyDescent="0.35">
      <c r="A326" s="9" t="s">
        <v>1533</v>
      </c>
      <c r="B326" s="2" t="s">
        <v>1544</v>
      </c>
      <c r="C326" s="1" t="s">
        <v>1545</v>
      </c>
      <c r="D326" s="3" t="s">
        <v>17</v>
      </c>
      <c r="E326" s="3" t="s">
        <v>18</v>
      </c>
      <c r="F326" s="3" t="s">
        <v>19</v>
      </c>
      <c r="G326" s="3" t="s">
        <v>20</v>
      </c>
      <c r="H326" s="4" t="s">
        <v>20</v>
      </c>
      <c r="I326" s="4" t="s">
        <v>1546</v>
      </c>
      <c r="J326" s="4" t="s">
        <v>1547</v>
      </c>
      <c r="K326" s="4" t="s">
        <v>1548</v>
      </c>
      <c r="L326" s="4" t="s">
        <v>644</v>
      </c>
      <c r="M326" s="3" t="str">
        <f t="shared" si="1"/>
        <v>Outstanding</v>
      </c>
      <c r="N326" s="11" t="s">
        <v>20</v>
      </c>
    </row>
    <row r="327" spans="1:14" ht="60" customHeight="1" x14ac:dyDescent="0.35">
      <c r="A327" s="9" t="s">
        <v>1533</v>
      </c>
      <c r="B327" s="2" t="s">
        <v>1549</v>
      </c>
      <c r="C327" s="1" t="s">
        <v>1550</v>
      </c>
      <c r="D327" s="3" t="s">
        <v>17</v>
      </c>
      <c r="E327" s="3" t="s">
        <v>18</v>
      </c>
      <c r="F327" s="3" t="s">
        <v>19</v>
      </c>
      <c r="G327" s="3" t="s">
        <v>20</v>
      </c>
      <c r="H327" s="4" t="s">
        <v>20</v>
      </c>
      <c r="I327" s="4" t="s">
        <v>1551</v>
      </c>
      <c r="J327" s="4" t="s">
        <v>1552</v>
      </c>
      <c r="K327" s="4" t="s">
        <v>1553</v>
      </c>
      <c r="L327" s="4" t="s">
        <v>644</v>
      </c>
      <c r="M327" s="3" t="str">
        <f t="shared" si="1"/>
        <v>Outstanding</v>
      </c>
      <c r="N327" s="11" t="s">
        <v>20</v>
      </c>
    </row>
    <row r="328" spans="1:14" ht="60" customHeight="1" x14ac:dyDescent="0.35">
      <c r="A328" s="9" t="s">
        <v>1533</v>
      </c>
      <c r="B328" s="2" t="s">
        <v>1554</v>
      </c>
      <c r="C328" s="1" t="s">
        <v>1555</v>
      </c>
      <c r="D328" s="3" t="s">
        <v>17</v>
      </c>
      <c r="E328" s="3" t="s">
        <v>18</v>
      </c>
      <c r="F328" s="3" t="s">
        <v>19</v>
      </c>
      <c r="G328" s="3" t="s">
        <v>20</v>
      </c>
      <c r="H328" s="4" t="s">
        <v>20</v>
      </c>
      <c r="I328" s="4" t="s">
        <v>1556</v>
      </c>
      <c r="J328" s="4" t="s">
        <v>1557</v>
      </c>
      <c r="K328" s="4" t="s">
        <v>1558</v>
      </c>
      <c r="L328" s="4" t="s">
        <v>476</v>
      </c>
      <c r="M328" s="3" t="str">
        <f t="shared" si="1"/>
        <v>Outstanding</v>
      </c>
      <c r="N328" s="11" t="s">
        <v>20</v>
      </c>
    </row>
    <row r="329" spans="1:14" ht="60" customHeight="1" x14ac:dyDescent="0.35">
      <c r="A329" s="9" t="s">
        <v>1533</v>
      </c>
      <c r="B329" s="2" t="s">
        <v>1559</v>
      </c>
      <c r="C329" s="1" t="s">
        <v>1560</v>
      </c>
      <c r="D329" s="3" t="s">
        <v>17</v>
      </c>
      <c r="E329" s="3" t="s">
        <v>18</v>
      </c>
      <c r="F329" s="3" t="s">
        <v>19</v>
      </c>
      <c r="G329" s="3" t="s">
        <v>20</v>
      </c>
      <c r="H329" s="4" t="s">
        <v>20</v>
      </c>
      <c r="I329" s="4" t="s">
        <v>1561</v>
      </c>
      <c r="J329" s="4" t="s">
        <v>1562</v>
      </c>
      <c r="K329" s="4" t="s">
        <v>1563</v>
      </c>
      <c r="L329" s="4" t="s">
        <v>644</v>
      </c>
      <c r="M329" s="3" t="str">
        <f t="shared" si="1"/>
        <v>Outstanding</v>
      </c>
      <c r="N329" s="11" t="s">
        <v>20</v>
      </c>
    </row>
    <row r="330" spans="1:14" ht="60" customHeight="1" x14ac:dyDescent="0.35">
      <c r="A330" s="9" t="s">
        <v>1533</v>
      </c>
      <c r="B330" s="2" t="s">
        <v>1564</v>
      </c>
      <c r="C330" s="1" t="s">
        <v>1565</v>
      </c>
      <c r="D330" s="3" t="s">
        <v>17</v>
      </c>
      <c r="E330" s="3" t="s">
        <v>18</v>
      </c>
      <c r="F330" s="3" t="s">
        <v>19</v>
      </c>
      <c r="G330" s="3" t="s">
        <v>20</v>
      </c>
      <c r="H330" s="4" t="s">
        <v>20</v>
      </c>
      <c r="I330" s="4" t="s">
        <v>1566</v>
      </c>
      <c r="J330" s="4" t="s">
        <v>1567</v>
      </c>
      <c r="K330" s="4" t="s">
        <v>1568</v>
      </c>
      <c r="L330" s="4" t="s">
        <v>644</v>
      </c>
      <c r="M330" s="3" t="str">
        <f t="shared" si="1"/>
        <v>Outstanding</v>
      </c>
      <c r="N330" s="11" t="s">
        <v>20</v>
      </c>
    </row>
    <row r="331" spans="1:14" ht="60" customHeight="1" x14ac:dyDescent="0.35">
      <c r="A331" s="9" t="s">
        <v>1533</v>
      </c>
      <c r="B331" s="2" t="s">
        <v>1569</v>
      </c>
      <c r="C331" s="1" t="s">
        <v>1570</v>
      </c>
      <c r="D331" s="3" t="s">
        <v>17</v>
      </c>
      <c r="E331" s="3" t="s">
        <v>18</v>
      </c>
      <c r="F331" s="3" t="s">
        <v>19</v>
      </c>
      <c r="G331" s="3" t="s">
        <v>20</v>
      </c>
      <c r="H331" s="4" t="s">
        <v>20</v>
      </c>
      <c r="I331" s="4" t="s">
        <v>1571</v>
      </c>
      <c r="J331" s="4" t="s">
        <v>1572</v>
      </c>
      <c r="K331" s="4" t="s">
        <v>1573</v>
      </c>
      <c r="L331" s="4" t="s">
        <v>644</v>
      </c>
      <c r="M331" s="3" t="str">
        <f t="shared" si="1"/>
        <v>Outstanding</v>
      </c>
      <c r="N331" s="11" t="s">
        <v>20</v>
      </c>
    </row>
    <row r="332" spans="1:14" ht="60" customHeight="1" x14ac:dyDescent="0.35">
      <c r="A332" s="9" t="s">
        <v>1574</v>
      </c>
      <c r="B332" s="2" t="s">
        <v>1575</v>
      </c>
      <c r="C332" s="1" t="s">
        <v>1576</v>
      </c>
      <c r="D332" s="3" t="s">
        <v>17</v>
      </c>
      <c r="E332" s="3" t="s">
        <v>18</v>
      </c>
      <c r="F332" s="3" t="s">
        <v>19</v>
      </c>
      <c r="G332" s="3" t="s">
        <v>20</v>
      </c>
      <c r="H332" s="4" t="s">
        <v>20</v>
      </c>
      <c r="I332" s="4" t="s">
        <v>1577</v>
      </c>
      <c r="J332" s="4" t="s">
        <v>1578</v>
      </c>
      <c r="K332" s="4" t="s">
        <v>1579</v>
      </c>
      <c r="L332" s="4" t="s">
        <v>644</v>
      </c>
      <c r="M332" s="3" t="str">
        <f t="shared" si="1"/>
        <v>Outstanding</v>
      </c>
      <c r="N332" s="11" t="s">
        <v>20</v>
      </c>
    </row>
    <row r="333" spans="1:14" ht="60" customHeight="1" x14ac:dyDescent="0.35">
      <c r="A333" s="9" t="s">
        <v>1580</v>
      </c>
      <c r="B333" s="2" t="s">
        <v>1581</v>
      </c>
      <c r="C333" s="1" t="s">
        <v>1582</v>
      </c>
      <c r="D333" s="3" t="s">
        <v>17</v>
      </c>
      <c r="E333" s="3" t="s">
        <v>18</v>
      </c>
      <c r="F333" s="3" t="s">
        <v>19</v>
      </c>
      <c r="G333" s="3" t="s">
        <v>20</v>
      </c>
      <c r="H333" s="4" t="s">
        <v>20</v>
      </c>
      <c r="I333" s="4" t="s">
        <v>1583</v>
      </c>
      <c r="J333" s="4" t="s">
        <v>1584</v>
      </c>
      <c r="K333" s="4" t="s">
        <v>1585</v>
      </c>
      <c r="L333" s="4" t="s">
        <v>644</v>
      </c>
      <c r="M333" s="3" t="str">
        <f t="shared" si="1"/>
        <v>Outstanding</v>
      </c>
      <c r="N333" s="11" t="s">
        <v>20</v>
      </c>
    </row>
    <row r="334" spans="1:14" ht="60" customHeight="1" x14ac:dyDescent="0.35">
      <c r="A334" s="9" t="s">
        <v>1580</v>
      </c>
      <c r="B334" s="2" t="s">
        <v>1586</v>
      </c>
      <c r="C334" s="1" t="s">
        <v>1587</v>
      </c>
      <c r="D334" s="3" t="s">
        <v>17</v>
      </c>
      <c r="E334" s="3" t="s">
        <v>18</v>
      </c>
      <c r="F334" s="3" t="s">
        <v>19</v>
      </c>
      <c r="G334" s="3" t="s">
        <v>20</v>
      </c>
      <c r="H334" s="4" t="s">
        <v>20</v>
      </c>
      <c r="I334" s="4" t="s">
        <v>1588</v>
      </c>
      <c r="J334" s="4" t="s">
        <v>1589</v>
      </c>
      <c r="K334" s="4" t="s">
        <v>1590</v>
      </c>
      <c r="L334" s="4" t="s">
        <v>644</v>
      </c>
      <c r="M334" s="3" t="str">
        <f t="shared" si="1"/>
        <v>Outstanding</v>
      </c>
      <c r="N334" s="11" t="s">
        <v>20</v>
      </c>
    </row>
    <row r="335" spans="1:14" ht="60" customHeight="1" x14ac:dyDescent="0.35">
      <c r="A335" s="9" t="s">
        <v>1580</v>
      </c>
      <c r="B335" s="2" t="s">
        <v>1591</v>
      </c>
      <c r="C335" s="1" t="s">
        <v>1592</v>
      </c>
      <c r="D335" s="3" t="s">
        <v>17</v>
      </c>
      <c r="E335" s="3" t="s">
        <v>18</v>
      </c>
      <c r="F335" s="3" t="s">
        <v>19</v>
      </c>
      <c r="G335" s="3" t="s">
        <v>20</v>
      </c>
      <c r="H335" s="4" t="s">
        <v>20</v>
      </c>
      <c r="I335" s="4" t="s">
        <v>1593</v>
      </c>
      <c r="J335" s="4" t="s">
        <v>1594</v>
      </c>
      <c r="K335" s="4" t="s">
        <v>1595</v>
      </c>
      <c r="L335" s="4" t="s">
        <v>644</v>
      </c>
      <c r="M335" s="3" t="str">
        <f t="shared" si="1"/>
        <v>Outstanding</v>
      </c>
      <c r="N335" s="11" t="s">
        <v>20</v>
      </c>
    </row>
    <row r="336" spans="1:14" ht="60" customHeight="1" x14ac:dyDescent="0.35">
      <c r="A336" s="9" t="s">
        <v>1596</v>
      </c>
      <c r="B336" s="2" t="s">
        <v>1597</v>
      </c>
      <c r="C336" s="1" t="s">
        <v>1598</v>
      </c>
      <c r="D336" s="3" t="s">
        <v>17</v>
      </c>
      <c r="E336" s="3" t="s">
        <v>18</v>
      </c>
      <c r="F336" s="3" t="s">
        <v>19</v>
      </c>
      <c r="G336" s="3" t="s">
        <v>20</v>
      </c>
      <c r="H336" s="4" t="s">
        <v>20</v>
      </c>
      <c r="I336" s="4" t="s">
        <v>1599</v>
      </c>
      <c r="J336" s="4" t="s">
        <v>1600</v>
      </c>
      <c r="K336" s="4" t="s">
        <v>1601</v>
      </c>
      <c r="L336" s="4" t="s">
        <v>728</v>
      </c>
      <c r="M336" s="3" t="str">
        <f t="shared" si="1"/>
        <v>Outstanding</v>
      </c>
      <c r="N336" s="11" t="s">
        <v>20</v>
      </c>
    </row>
    <row r="337" spans="1:14" ht="60" customHeight="1" x14ac:dyDescent="0.35">
      <c r="A337" s="9" t="s">
        <v>1602</v>
      </c>
      <c r="B337" s="2" t="s">
        <v>1603</v>
      </c>
      <c r="C337" s="1" t="s">
        <v>1604</v>
      </c>
      <c r="D337" s="3" t="s">
        <v>17</v>
      </c>
      <c r="E337" s="3" t="s">
        <v>18</v>
      </c>
      <c r="F337" s="3" t="s">
        <v>19</v>
      </c>
      <c r="G337" s="3" t="s">
        <v>20</v>
      </c>
      <c r="H337" s="4" t="s">
        <v>20</v>
      </c>
      <c r="I337" s="4" t="s">
        <v>1605</v>
      </c>
      <c r="J337" s="4" t="s">
        <v>1606</v>
      </c>
      <c r="K337" s="4" t="s">
        <v>1607</v>
      </c>
      <c r="L337" s="4" t="s">
        <v>631</v>
      </c>
      <c r="M337" s="3" t="str">
        <f t="shared" si="1"/>
        <v>Outstanding</v>
      </c>
      <c r="N337" s="11" t="s">
        <v>20</v>
      </c>
    </row>
    <row r="338" spans="1:14" ht="60" customHeight="1" x14ac:dyDescent="0.35">
      <c r="A338" s="9" t="s">
        <v>1608</v>
      </c>
      <c r="B338" s="2" t="s">
        <v>1609</v>
      </c>
      <c r="C338" s="1" t="s">
        <v>1610</v>
      </c>
      <c r="D338" s="3" t="s">
        <v>17</v>
      </c>
      <c r="E338" s="3" t="s">
        <v>18</v>
      </c>
      <c r="F338" s="3" t="s">
        <v>19</v>
      </c>
      <c r="G338" s="3" t="s">
        <v>20</v>
      </c>
      <c r="H338" s="4" t="s">
        <v>20</v>
      </c>
      <c r="I338" s="4" t="s">
        <v>1611</v>
      </c>
      <c r="J338" s="4" t="s">
        <v>1612</v>
      </c>
      <c r="K338" s="4" t="s">
        <v>1613</v>
      </c>
      <c r="L338" s="4" t="s">
        <v>631</v>
      </c>
      <c r="M338" s="3" t="str">
        <f t="shared" si="1"/>
        <v>Outstanding</v>
      </c>
      <c r="N338" s="11" t="s">
        <v>20</v>
      </c>
    </row>
    <row r="339" spans="1:14" ht="60" customHeight="1" x14ac:dyDescent="0.35">
      <c r="A339" s="9" t="s">
        <v>1608</v>
      </c>
      <c r="B339" s="2" t="s">
        <v>1614</v>
      </c>
      <c r="C339" s="1" t="s">
        <v>1615</v>
      </c>
      <c r="D339" s="3" t="s">
        <v>17</v>
      </c>
      <c r="E339" s="3" t="s">
        <v>18</v>
      </c>
      <c r="F339" s="3" t="s">
        <v>19</v>
      </c>
      <c r="G339" s="3" t="s">
        <v>20</v>
      </c>
      <c r="H339" s="4" t="s">
        <v>20</v>
      </c>
      <c r="I339" s="4" t="s">
        <v>1616</v>
      </c>
      <c r="J339" s="4" t="s">
        <v>1617</v>
      </c>
      <c r="K339" s="4" t="s">
        <v>1618</v>
      </c>
      <c r="L339" s="4" t="s">
        <v>1619</v>
      </c>
      <c r="M339" s="3" t="str">
        <f t="shared" si="1"/>
        <v>Outstanding</v>
      </c>
      <c r="N339" s="11" t="s">
        <v>20</v>
      </c>
    </row>
    <row r="340" spans="1:14" ht="60" customHeight="1" x14ac:dyDescent="0.35">
      <c r="A340" s="9" t="s">
        <v>1608</v>
      </c>
      <c r="B340" s="2" t="s">
        <v>1620</v>
      </c>
      <c r="C340" s="1" t="s">
        <v>1621</v>
      </c>
      <c r="D340" s="3" t="s">
        <v>17</v>
      </c>
      <c r="E340" s="3" t="s">
        <v>18</v>
      </c>
      <c r="F340" s="3" t="s">
        <v>19</v>
      </c>
      <c r="G340" s="3" t="s">
        <v>20</v>
      </c>
      <c r="H340" s="4" t="s">
        <v>20</v>
      </c>
      <c r="I340" s="4" t="s">
        <v>1622</v>
      </c>
      <c r="J340" s="4" t="s">
        <v>1623</v>
      </c>
      <c r="K340" s="4" t="s">
        <v>1624</v>
      </c>
      <c r="L340" s="4" t="s">
        <v>631</v>
      </c>
      <c r="M340" s="3" t="str">
        <f t="shared" si="1"/>
        <v>Outstanding</v>
      </c>
      <c r="N340" s="11" t="s">
        <v>20</v>
      </c>
    </row>
    <row r="341" spans="1:14" ht="60" customHeight="1" x14ac:dyDescent="0.35">
      <c r="A341" s="9" t="s">
        <v>1625</v>
      </c>
      <c r="B341" s="2" t="s">
        <v>1626</v>
      </c>
      <c r="C341" s="1" t="s">
        <v>1627</v>
      </c>
      <c r="D341" s="3" t="s">
        <v>17</v>
      </c>
      <c r="E341" s="3" t="s">
        <v>18</v>
      </c>
      <c r="F341" s="3" t="s">
        <v>19</v>
      </c>
      <c r="G341" s="3" t="s">
        <v>20</v>
      </c>
      <c r="H341" s="4" t="s">
        <v>20</v>
      </c>
      <c r="I341" s="4" t="s">
        <v>1628</v>
      </c>
      <c r="J341" s="4" t="s">
        <v>1629</v>
      </c>
      <c r="K341" s="4" t="s">
        <v>1630</v>
      </c>
      <c r="L341" s="4" t="s">
        <v>973</v>
      </c>
      <c r="M341" s="3" t="str">
        <f t="shared" si="1"/>
        <v>Outstanding</v>
      </c>
      <c r="N341" s="11" t="s">
        <v>20</v>
      </c>
    </row>
    <row r="342" spans="1:14" ht="60" customHeight="1" x14ac:dyDescent="0.35">
      <c r="A342" s="9" t="s">
        <v>1631</v>
      </c>
      <c r="B342" s="2" t="s">
        <v>1632</v>
      </c>
      <c r="C342" s="1" t="s">
        <v>1633</v>
      </c>
      <c r="D342" s="3" t="s">
        <v>17</v>
      </c>
      <c r="E342" s="3" t="s">
        <v>18</v>
      </c>
      <c r="F342" s="3" t="s">
        <v>19</v>
      </c>
      <c r="G342" s="3" t="s">
        <v>20</v>
      </c>
      <c r="H342" s="4" t="s">
        <v>20</v>
      </c>
      <c r="I342" s="4" t="s">
        <v>1634</v>
      </c>
      <c r="J342" s="4" t="s">
        <v>1635</v>
      </c>
      <c r="K342" s="4" t="s">
        <v>1636</v>
      </c>
      <c r="L342" s="4" t="s">
        <v>1637</v>
      </c>
      <c r="M342" s="3" t="str">
        <f t="shared" si="1"/>
        <v>Outstanding</v>
      </c>
      <c r="N342" s="11" t="s">
        <v>20</v>
      </c>
    </row>
    <row r="343" spans="1:14" ht="60" customHeight="1" x14ac:dyDescent="0.35">
      <c r="A343" s="9" t="s">
        <v>1638</v>
      </c>
      <c r="B343" s="2" t="s">
        <v>1639</v>
      </c>
      <c r="C343" s="1" t="s">
        <v>1640</v>
      </c>
      <c r="D343" s="3" t="s">
        <v>17</v>
      </c>
      <c r="E343" s="3" t="s">
        <v>18</v>
      </c>
      <c r="F343" s="3" t="s">
        <v>19</v>
      </c>
      <c r="G343" s="3" t="s">
        <v>20</v>
      </c>
      <c r="H343" s="4" t="s">
        <v>20</v>
      </c>
      <c r="I343" s="4" t="s">
        <v>1641</v>
      </c>
      <c r="J343" s="4" t="s">
        <v>1642</v>
      </c>
      <c r="K343" s="4" t="s">
        <v>1643</v>
      </c>
      <c r="L343" s="4" t="s">
        <v>741</v>
      </c>
      <c r="M343" s="3" t="str">
        <f t="shared" si="1"/>
        <v>Outstanding</v>
      </c>
      <c r="N343" s="11" t="s">
        <v>20</v>
      </c>
    </row>
    <row r="344" spans="1:14" ht="60" customHeight="1" x14ac:dyDescent="0.35">
      <c r="A344" s="9" t="s">
        <v>1638</v>
      </c>
      <c r="B344" s="2" t="s">
        <v>1644</v>
      </c>
      <c r="C344" s="1" t="s">
        <v>1645</v>
      </c>
      <c r="D344" s="3" t="s">
        <v>17</v>
      </c>
      <c r="E344" s="3" t="s">
        <v>18</v>
      </c>
      <c r="F344" s="3" t="s">
        <v>19</v>
      </c>
      <c r="G344" s="3" t="s">
        <v>20</v>
      </c>
      <c r="H344" s="4" t="s">
        <v>20</v>
      </c>
      <c r="I344" s="4" t="s">
        <v>1646</v>
      </c>
      <c r="J344" s="4" t="s">
        <v>1647</v>
      </c>
      <c r="K344" s="4" t="s">
        <v>1648</v>
      </c>
      <c r="L344" s="4" t="s">
        <v>741</v>
      </c>
      <c r="M344" s="3" t="str">
        <f t="shared" si="1"/>
        <v>Outstanding</v>
      </c>
      <c r="N344" s="11" t="s">
        <v>20</v>
      </c>
    </row>
    <row r="345" spans="1:14" ht="60" customHeight="1" x14ac:dyDescent="0.35">
      <c r="A345" s="9" t="s">
        <v>1638</v>
      </c>
      <c r="B345" s="2" t="s">
        <v>1649</v>
      </c>
      <c r="C345" s="1" t="s">
        <v>1650</v>
      </c>
      <c r="D345" s="3" t="s">
        <v>17</v>
      </c>
      <c r="E345" s="3" t="s">
        <v>18</v>
      </c>
      <c r="F345" s="3" t="s">
        <v>19</v>
      </c>
      <c r="G345" s="3" t="s">
        <v>20</v>
      </c>
      <c r="H345" s="4" t="s">
        <v>20</v>
      </c>
      <c r="I345" s="4" t="s">
        <v>1651</v>
      </c>
      <c r="J345" s="4" t="s">
        <v>1652</v>
      </c>
      <c r="K345" s="4" t="s">
        <v>1653</v>
      </c>
      <c r="L345" s="4" t="s">
        <v>741</v>
      </c>
      <c r="M345" s="3" t="str">
        <f t="shared" si="1"/>
        <v>Outstanding</v>
      </c>
      <c r="N345" s="11" t="s">
        <v>20</v>
      </c>
    </row>
    <row r="346" spans="1:14" ht="60" customHeight="1" x14ac:dyDescent="0.35">
      <c r="A346" s="9" t="s">
        <v>1638</v>
      </c>
      <c r="B346" s="2" t="s">
        <v>1654</v>
      </c>
      <c r="C346" s="1" t="s">
        <v>1655</v>
      </c>
      <c r="D346" s="3" t="s">
        <v>17</v>
      </c>
      <c r="E346" s="3" t="s">
        <v>18</v>
      </c>
      <c r="F346" s="3" t="s">
        <v>19</v>
      </c>
      <c r="G346" s="3" t="s">
        <v>20</v>
      </c>
      <c r="H346" s="4" t="s">
        <v>20</v>
      </c>
      <c r="I346" s="4" t="s">
        <v>1656</v>
      </c>
      <c r="J346" s="4" t="s">
        <v>1657</v>
      </c>
      <c r="K346" s="4" t="s">
        <v>1658</v>
      </c>
      <c r="L346" s="4" t="s">
        <v>741</v>
      </c>
      <c r="M346" s="3" t="str">
        <f t="shared" si="1"/>
        <v>Outstanding</v>
      </c>
      <c r="N346" s="11" t="s">
        <v>20</v>
      </c>
    </row>
    <row r="347" spans="1:14" ht="60" customHeight="1" x14ac:dyDescent="0.35">
      <c r="A347" s="9" t="s">
        <v>1659</v>
      </c>
      <c r="B347" s="2" t="s">
        <v>1660</v>
      </c>
      <c r="C347" s="1" t="s">
        <v>909</v>
      </c>
      <c r="D347" s="3" t="s">
        <v>17</v>
      </c>
      <c r="E347" s="3" t="s">
        <v>18</v>
      </c>
      <c r="F347" s="3" t="s">
        <v>19</v>
      </c>
      <c r="G347" s="3" t="s">
        <v>20</v>
      </c>
      <c r="H347" s="4" t="s">
        <v>20</v>
      </c>
      <c r="I347" s="4" t="s">
        <v>1661</v>
      </c>
      <c r="J347" s="4" t="s">
        <v>911</v>
      </c>
      <c r="K347" s="4" t="s">
        <v>912</v>
      </c>
      <c r="L347" s="4" t="s">
        <v>644</v>
      </c>
      <c r="M347" s="3" t="str">
        <f t="shared" si="1"/>
        <v>Outstanding</v>
      </c>
      <c r="N347" s="11" t="s">
        <v>20</v>
      </c>
    </row>
    <row r="348" spans="1:14" ht="60" customHeight="1" x14ac:dyDescent="0.35">
      <c r="A348" s="9" t="s">
        <v>1662</v>
      </c>
      <c r="B348" s="2" t="s">
        <v>1663</v>
      </c>
      <c r="C348" s="1" t="s">
        <v>1664</v>
      </c>
      <c r="D348" s="3" t="s">
        <v>17</v>
      </c>
      <c r="E348" s="3" t="s">
        <v>18</v>
      </c>
      <c r="F348" s="3" t="s">
        <v>19</v>
      </c>
      <c r="G348" s="3" t="s">
        <v>20</v>
      </c>
      <c r="H348" s="4" t="s">
        <v>20</v>
      </c>
      <c r="I348" s="4" t="s">
        <v>1665</v>
      </c>
      <c r="J348" s="4" t="s">
        <v>1666</v>
      </c>
      <c r="K348" s="4" t="s">
        <v>1667</v>
      </c>
      <c r="L348" s="4" t="s">
        <v>651</v>
      </c>
      <c r="M348" s="3" t="str">
        <f t="shared" si="1"/>
        <v>Outstanding</v>
      </c>
      <c r="N348" s="11" t="s">
        <v>20</v>
      </c>
    </row>
    <row r="349" spans="1:14" ht="60" customHeight="1" x14ac:dyDescent="0.35">
      <c r="A349" s="9" t="s">
        <v>1668</v>
      </c>
      <c r="B349" s="2" t="s">
        <v>1669</v>
      </c>
      <c r="C349" s="1" t="s">
        <v>1670</v>
      </c>
      <c r="D349" s="3" t="s">
        <v>17</v>
      </c>
      <c r="E349" s="3" t="s">
        <v>18</v>
      </c>
      <c r="F349" s="3" t="s">
        <v>19</v>
      </c>
      <c r="G349" s="3" t="s">
        <v>20</v>
      </c>
      <c r="H349" s="4" t="s">
        <v>20</v>
      </c>
      <c r="I349" s="4" t="s">
        <v>1671</v>
      </c>
      <c r="J349" s="4" t="s">
        <v>1672</v>
      </c>
      <c r="K349" s="4" t="s">
        <v>1673</v>
      </c>
      <c r="L349" s="4" t="s">
        <v>1674</v>
      </c>
      <c r="M349" s="3" t="str">
        <f t="shared" si="1"/>
        <v>Outstanding</v>
      </c>
      <c r="N349" s="11" t="s">
        <v>20</v>
      </c>
    </row>
    <row r="350" spans="1:14" ht="60" customHeight="1" x14ac:dyDescent="0.35">
      <c r="A350" s="9" t="s">
        <v>1675</v>
      </c>
      <c r="B350" s="2" t="s">
        <v>1676</v>
      </c>
      <c r="C350" s="1" t="s">
        <v>1677</v>
      </c>
      <c r="D350" s="3" t="s">
        <v>17</v>
      </c>
      <c r="E350" s="3" t="s">
        <v>18</v>
      </c>
      <c r="F350" s="3" t="s">
        <v>19</v>
      </c>
      <c r="G350" s="3" t="s">
        <v>20</v>
      </c>
      <c r="H350" s="4" t="s">
        <v>20</v>
      </c>
      <c r="I350" s="4" t="s">
        <v>1678</v>
      </c>
      <c r="J350" s="4" t="s">
        <v>1679</v>
      </c>
      <c r="K350" s="4" t="s">
        <v>1680</v>
      </c>
      <c r="L350" s="4" t="s">
        <v>853</v>
      </c>
      <c r="M350" s="3" t="str">
        <f t="shared" si="1"/>
        <v>Outstanding</v>
      </c>
      <c r="N350" s="11" t="s">
        <v>20</v>
      </c>
    </row>
    <row r="351" spans="1:14" ht="60" customHeight="1" x14ac:dyDescent="0.35">
      <c r="A351" s="9" t="s">
        <v>1675</v>
      </c>
      <c r="B351" s="2" t="s">
        <v>1681</v>
      </c>
      <c r="C351" s="1" t="s">
        <v>1682</v>
      </c>
      <c r="D351" s="3" t="s">
        <v>17</v>
      </c>
      <c r="E351" s="3" t="s">
        <v>18</v>
      </c>
      <c r="F351" s="3" t="s">
        <v>19</v>
      </c>
      <c r="G351" s="3" t="s">
        <v>20</v>
      </c>
      <c r="H351" s="4" t="s">
        <v>20</v>
      </c>
      <c r="I351" s="4" t="s">
        <v>1683</v>
      </c>
      <c r="J351" s="4" t="s">
        <v>1684</v>
      </c>
      <c r="K351" s="4" t="s">
        <v>1685</v>
      </c>
      <c r="L351" s="4" t="s">
        <v>853</v>
      </c>
      <c r="M351" s="3" t="str">
        <f t="shared" si="1"/>
        <v>Outstanding</v>
      </c>
      <c r="N351" s="11" t="s">
        <v>20</v>
      </c>
    </row>
    <row r="352" spans="1:14" ht="60" customHeight="1" x14ac:dyDescent="0.35">
      <c r="A352" s="9" t="s">
        <v>1686</v>
      </c>
      <c r="B352" s="2" t="s">
        <v>1687</v>
      </c>
      <c r="C352" s="1" t="s">
        <v>1688</v>
      </c>
      <c r="D352" s="3" t="s">
        <v>17</v>
      </c>
      <c r="E352" s="3" t="s">
        <v>18</v>
      </c>
      <c r="F352" s="3" t="s">
        <v>19</v>
      </c>
      <c r="G352" s="3" t="s">
        <v>20</v>
      </c>
      <c r="H352" s="4" t="s">
        <v>20</v>
      </c>
      <c r="I352" s="4" t="s">
        <v>1689</v>
      </c>
      <c r="J352" s="4" t="s">
        <v>1690</v>
      </c>
      <c r="K352" s="4" t="s">
        <v>1691</v>
      </c>
      <c r="L352" s="4" t="s">
        <v>776</v>
      </c>
      <c r="M352" s="3" t="str">
        <f t="shared" si="1"/>
        <v>Outstanding</v>
      </c>
      <c r="N352" s="11" t="s">
        <v>20</v>
      </c>
    </row>
    <row r="353" spans="1:14" ht="60" customHeight="1" x14ac:dyDescent="0.35">
      <c r="A353" s="9" t="s">
        <v>1686</v>
      </c>
      <c r="B353" s="2" t="s">
        <v>1692</v>
      </c>
      <c r="C353" s="1" t="s">
        <v>1693</v>
      </c>
      <c r="D353" s="3" t="s">
        <v>17</v>
      </c>
      <c r="E353" s="3" t="s">
        <v>18</v>
      </c>
      <c r="F353" s="3" t="s">
        <v>19</v>
      </c>
      <c r="G353" s="3" t="s">
        <v>20</v>
      </c>
      <c r="H353" s="4" t="s">
        <v>20</v>
      </c>
      <c r="I353" s="4" t="s">
        <v>1694</v>
      </c>
      <c r="J353" s="4" t="s">
        <v>1695</v>
      </c>
      <c r="K353" s="4" t="s">
        <v>1696</v>
      </c>
      <c r="L353" s="4" t="s">
        <v>776</v>
      </c>
      <c r="M353" s="3" t="str">
        <f t="shared" si="1"/>
        <v>Outstanding</v>
      </c>
      <c r="N353" s="11" t="s">
        <v>20</v>
      </c>
    </row>
    <row r="354" spans="1:14" ht="60" customHeight="1" x14ac:dyDescent="0.35">
      <c r="A354" s="9" t="s">
        <v>1697</v>
      </c>
      <c r="B354" s="2" t="s">
        <v>1698</v>
      </c>
      <c r="C354" s="1" t="s">
        <v>1699</v>
      </c>
      <c r="D354" s="3" t="s">
        <v>17</v>
      </c>
      <c r="E354" s="3" t="s">
        <v>18</v>
      </c>
      <c r="F354" s="3" t="s">
        <v>19</v>
      </c>
      <c r="G354" s="3" t="s">
        <v>20</v>
      </c>
      <c r="H354" s="4" t="s">
        <v>20</v>
      </c>
      <c r="I354" s="4" t="s">
        <v>1700</v>
      </c>
      <c r="J354" s="4" t="s">
        <v>1701</v>
      </c>
      <c r="K354" s="4" t="s">
        <v>1702</v>
      </c>
      <c r="L354" s="4" t="s">
        <v>1703</v>
      </c>
      <c r="M354" s="3" t="str">
        <f t="shared" si="1"/>
        <v>Outstanding</v>
      </c>
      <c r="N354" s="11" t="s">
        <v>20</v>
      </c>
    </row>
    <row r="355" spans="1:14" ht="60" customHeight="1" x14ac:dyDescent="0.35">
      <c r="A355" s="9" t="s">
        <v>1704</v>
      </c>
      <c r="B355" s="2" t="s">
        <v>1705</v>
      </c>
      <c r="C355" s="1" t="s">
        <v>1706</v>
      </c>
      <c r="D355" s="3" t="s">
        <v>17</v>
      </c>
      <c r="E355" s="3" t="s">
        <v>18</v>
      </c>
      <c r="F355" s="3" t="s">
        <v>19</v>
      </c>
      <c r="G355" s="3" t="s">
        <v>20</v>
      </c>
      <c r="H355" s="4" t="s">
        <v>20</v>
      </c>
      <c r="I355" s="4" t="s">
        <v>1707</v>
      </c>
      <c r="J355" s="4" t="s">
        <v>1708</v>
      </c>
      <c r="K355" s="4" t="s">
        <v>1709</v>
      </c>
      <c r="L355" s="4" t="s">
        <v>476</v>
      </c>
      <c r="M355" s="3" t="str">
        <f t="shared" si="1"/>
        <v>Outstanding</v>
      </c>
      <c r="N355" s="11" t="s">
        <v>20</v>
      </c>
    </row>
    <row r="356" spans="1:14" ht="60" customHeight="1" x14ac:dyDescent="0.35">
      <c r="A356" s="9" t="s">
        <v>1704</v>
      </c>
      <c r="B356" s="2" t="s">
        <v>1710</v>
      </c>
      <c r="C356" s="1" t="s">
        <v>1711</v>
      </c>
      <c r="D356" s="3" t="s">
        <v>17</v>
      </c>
      <c r="E356" s="3" t="s">
        <v>18</v>
      </c>
      <c r="F356" s="3" t="s">
        <v>19</v>
      </c>
      <c r="G356" s="3" t="s">
        <v>20</v>
      </c>
      <c r="H356" s="4" t="s">
        <v>20</v>
      </c>
      <c r="I356" s="4" t="s">
        <v>1712</v>
      </c>
      <c r="J356" s="4" t="s">
        <v>1713</v>
      </c>
      <c r="K356" s="4" t="s">
        <v>1714</v>
      </c>
      <c r="L356" s="4" t="s">
        <v>476</v>
      </c>
      <c r="M356" s="3" t="str">
        <f t="shared" si="1"/>
        <v>Outstanding</v>
      </c>
      <c r="N356" s="11" t="s">
        <v>20</v>
      </c>
    </row>
    <row r="357" spans="1:14" ht="60" customHeight="1" x14ac:dyDescent="0.35">
      <c r="A357" s="9" t="s">
        <v>1704</v>
      </c>
      <c r="B357" s="2" t="s">
        <v>1715</v>
      </c>
      <c r="C357" s="1" t="s">
        <v>1716</v>
      </c>
      <c r="D357" s="3" t="s">
        <v>17</v>
      </c>
      <c r="E357" s="3" t="s">
        <v>18</v>
      </c>
      <c r="F357" s="3" t="s">
        <v>19</v>
      </c>
      <c r="G357" s="3" t="s">
        <v>20</v>
      </c>
      <c r="H357" s="4" t="s">
        <v>20</v>
      </c>
      <c r="I357" s="4" t="s">
        <v>1717</v>
      </c>
      <c r="J357" s="4" t="s">
        <v>1718</v>
      </c>
      <c r="K357" s="4" t="s">
        <v>1719</v>
      </c>
      <c r="L357" s="4" t="s">
        <v>476</v>
      </c>
      <c r="M357" s="3" t="str">
        <f t="shared" si="1"/>
        <v>Outstanding</v>
      </c>
      <c r="N357" s="11" t="s">
        <v>20</v>
      </c>
    </row>
    <row r="358" spans="1:14" ht="60" customHeight="1" x14ac:dyDescent="0.35">
      <c r="A358" s="9" t="s">
        <v>1720</v>
      </c>
      <c r="B358" s="2" t="s">
        <v>1721</v>
      </c>
      <c r="C358" s="1" t="s">
        <v>1706</v>
      </c>
      <c r="D358" s="3" t="s">
        <v>17</v>
      </c>
      <c r="E358" s="3" t="s">
        <v>18</v>
      </c>
      <c r="F358" s="3" t="s">
        <v>19</v>
      </c>
      <c r="G358" s="3" t="s">
        <v>20</v>
      </c>
      <c r="H358" s="4" t="s">
        <v>20</v>
      </c>
      <c r="I358" s="4" t="s">
        <v>1722</v>
      </c>
      <c r="J358" s="4" t="s">
        <v>1723</v>
      </c>
      <c r="K358" s="4" t="s">
        <v>1724</v>
      </c>
      <c r="L358" s="4" t="s">
        <v>476</v>
      </c>
      <c r="M358" s="3" t="str">
        <f t="shared" si="1"/>
        <v>Outstanding</v>
      </c>
      <c r="N358" s="11" t="s">
        <v>20</v>
      </c>
    </row>
    <row r="359" spans="1:14" ht="60" customHeight="1" x14ac:dyDescent="0.35">
      <c r="A359" s="9" t="s">
        <v>1720</v>
      </c>
      <c r="B359" s="2" t="s">
        <v>1725</v>
      </c>
      <c r="C359" s="1" t="s">
        <v>1711</v>
      </c>
      <c r="D359" s="3" t="s">
        <v>17</v>
      </c>
      <c r="E359" s="3" t="s">
        <v>18</v>
      </c>
      <c r="F359" s="3" t="s">
        <v>19</v>
      </c>
      <c r="G359" s="3" t="s">
        <v>20</v>
      </c>
      <c r="H359" s="4" t="s">
        <v>20</v>
      </c>
      <c r="I359" s="4" t="s">
        <v>1726</v>
      </c>
      <c r="J359" s="4" t="s">
        <v>1727</v>
      </c>
      <c r="K359" s="4" t="s">
        <v>1728</v>
      </c>
      <c r="L359" s="4" t="s">
        <v>476</v>
      </c>
      <c r="M359" s="3" t="str">
        <f t="shared" si="1"/>
        <v>Outstanding</v>
      </c>
      <c r="N359" s="11" t="s">
        <v>20</v>
      </c>
    </row>
    <row r="360" spans="1:14" ht="60" customHeight="1" x14ac:dyDescent="0.35">
      <c r="A360" s="9" t="s">
        <v>1720</v>
      </c>
      <c r="B360" s="2" t="s">
        <v>1729</v>
      </c>
      <c r="C360" s="1" t="s">
        <v>1730</v>
      </c>
      <c r="D360" s="3" t="s">
        <v>17</v>
      </c>
      <c r="E360" s="3" t="s">
        <v>18</v>
      </c>
      <c r="F360" s="3" t="s">
        <v>19</v>
      </c>
      <c r="G360" s="3" t="s">
        <v>20</v>
      </c>
      <c r="H360" s="4" t="s">
        <v>20</v>
      </c>
      <c r="I360" s="4" t="s">
        <v>1731</v>
      </c>
      <c r="J360" s="4" t="s">
        <v>1732</v>
      </c>
      <c r="K360" s="4" t="s">
        <v>1733</v>
      </c>
      <c r="L360" s="4" t="s">
        <v>476</v>
      </c>
      <c r="M360" s="3" t="str">
        <f t="shared" si="1"/>
        <v>Outstanding</v>
      </c>
      <c r="N360" s="11" t="s">
        <v>20</v>
      </c>
    </row>
    <row r="361" spans="1:14" ht="60" customHeight="1" x14ac:dyDescent="0.35">
      <c r="A361" s="9" t="s">
        <v>1734</v>
      </c>
      <c r="B361" s="2" t="s">
        <v>1735</v>
      </c>
      <c r="C361" s="1" t="s">
        <v>1736</v>
      </c>
      <c r="D361" s="3" t="s">
        <v>17</v>
      </c>
      <c r="E361" s="3" t="s">
        <v>18</v>
      </c>
      <c r="F361" s="3" t="s">
        <v>19</v>
      </c>
      <c r="G361" s="3" t="s">
        <v>20</v>
      </c>
      <c r="H361" s="4" t="s">
        <v>20</v>
      </c>
      <c r="I361" s="4" t="s">
        <v>1737</v>
      </c>
      <c r="J361" s="4" t="s">
        <v>1738</v>
      </c>
      <c r="K361" s="4" t="s">
        <v>1739</v>
      </c>
      <c r="L361" s="4" t="s">
        <v>644</v>
      </c>
      <c r="M361" s="3" t="str">
        <f t="shared" si="1"/>
        <v>Outstanding</v>
      </c>
      <c r="N361" s="11" t="s">
        <v>20</v>
      </c>
    </row>
    <row r="362" spans="1:14" ht="60" customHeight="1" x14ac:dyDescent="0.35">
      <c r="A362" s="9" t="s">
        <v>879</v>
      </c>
      <c r="B362" s="2" t="s">
        <v>1740</v>
      </c>
      <c r="C362" s="1" t="s">
        <v>1741</v>
      </c>
      <c r="D362" s="3" t="s">
        <v>17</v>
      </c>
      <c r="E362" s="3" t="s">
        <v>18</v>
      </c>
      <c r="F362" s="3" t="s">
        <v>19</v>
      </c>
      <c r="G362" s="3" t="s">
        <v>20</v>
      </c>
      <c r="H362" s="4" t="s">
        <v>20</v>
      </c>
      <c r="I362" s="4" t="s">
        <v>1742</v>
      </c>
      <c r="J362" s="4" t="s">
        <v>1743</v>
      </c>
      <c r="K362" s="4" t="s">
        <v>1744</v>
      </c>
      <c r="L362" s="4" t="s">
        <v>651</v>
      </c>
      <c r="M362" s="3" t="str">
        <f t="shared" si="1"/>
        <v>Outstanding</v>
      </c>
      <c r="N362" s="11" t="s">
        <v>20</v>
      </c>
    </row>
    <row r="363" spans="1:14" ht="60" customHeight="1" x14ac:dyDescent="0.35">
      <c r="A363" s="9" t="s">
        <v>918</v>
      </c>
      <c r="B363" s="2" t="s">
        <v>1745</v>
      </c>
      <c r="C363" s="1" t="s">
        <v>1746</v>
      </c>
      <c r="D363" s="3" t="s">
        <v>17</v>
      </c>
      <c r="E363" s="3" t="s">
        <v>18</v>
      </c>
      <c r="F363" s="3" t="s">
        <v>19</v>
      </c>
      <c r="G363" s="3" t="s">
        <v>20</v>
      </c>
      <c r="H363" s="4" t="s">
        <v>20</v>
      </c>
      <c r="I363" s="4" t="s">
        <v>1747</v>
      </c>
      <c r="J363" s="4" t="s">
        <v>1748</v>
      </c>
      <c r="K363" s="4" t="s">
        <v>1749</v>
      </c>
      <c r="L363" s="4" t="s">
        <v>946</v>
      </c>
      <c r="M363" s="3" t="str">
        <f t="shared" si="1"/>
        <v>Outstanding</v>
      </c>
      <c r="N363" s="11" t="s">
        <v>20</v>
      </c>
    </row>
    <row r="364" spans="1:14" ht="60" customHeight="1" x14ac:dyDescent="0.35">
      <c r="A364" s="9" t="s">
        <v>1750</v>
      </c>
      <c r="B364" s="2" t="s">
        <v>1751</v>
      </c>
      <c r="C364" s="1" t="s">
        <v>1752</v>
      </c>
      <c r="D364" s="3" t="s">
        <v>17</v>
      </c>
      <c r="E364" s="3" t="s">
        <v>18</v>
      </c>
      <c r="F364" s="3" t="s">
        <v>19</v>
      </c>
      <c r="G364" s="3" t="s">
        <v>20</v>
      </c>
      <c r="H364" s="4" t="s">
        <v>20</v>
      </c>
      <c r="I364" s="4" t="s">
        <v>1753</v>
      </c>
      <c r="J364" s="4"/>
      <c r="K364" s="4"/>
      <c r="L364" s="4"/>
      <c r="M364" s="3" t="str">
        <f t="shared" si="1"/>
        <v>Outstanding</v>
      </c>
      <c r="N364" s="11" t="s">
        <v>20</v>
      </c>
    </row>
    <row r="365" spans="1:14" ht="60" customHeight="1" x14ac:dyDescent="0.35">
      <c r="A365" s="9" t="s">
        <v>1750</v>
      </c>
      <c r="B365" s="2" t="s">
        <v>1754</v>
      </c>
      <c r="C365" s="1" t="s">
        <v>1755</v>
      </c>
      <c r="D365" s="3" t="s">
        <v>17</v>
      </c>
      <c r="E365" s="3" t="s">
        <v>18</v>
      </c>
      <c r="F365" s="3" t="s">
        <v>19</v>
      </c>
      <c r="G365" s="3" t="s">
        <v>20</v>
      </c>
      <c r="H365" s="4" t="s">
        <v>20</v>
      </c>
      <c r="I365" s="4" t="s">
        <v>1756</v>
      </c>
      <c r="J365" s="4"/>
      <c r="K365" s="4"/>
      <c r="L365" s="4"/>
      <c r="M365" s="3" t="str">
        <f t="shared" si="1"/>
        <v>Outstanding</v>
      </c>
      <c r="N365" s="11" t="s">
        <v>20</v>
      </c>
    </row>
    <row r="366" spans="1:14" ht="60" customHeight="1" x14ac:dyDescent="0.35">
      <c r="A366" s="9" t="s">
        <v>1750</v>
      </c>
      <c r="B366" s="2" t="s">
        <v>1757</v>
      </c>
      <c r="C366" s="1" t="s">
        <v>1758</v>
      </c>
      <c r="D366" s="3" t="s">
        <v>17</v>
      </c>
      <c r="E366" s="3" t="s">
        <v>18</v>
      </c>
      <c r="F366" s="3" t="s">
        <v>19</v>
      </c>
      <c r="G366" s="3" t="s">
        <v>20</v>
      </c>
      <c r="H366" s="4" t="s">
        <v>20</v>
      </c>
      <c r="I366" s="4" t="s">
        <v>1759</v>
      </c>
      <c r="J366" s="4"/>
      <c r="K366" s="4"/>
      <c r="L366" s="4"/>
      <c r="M366" s="3" t="str">
        <f t="shared" si="1"/>
        <v>Outstanding</v>
      </c>
      <c r="N366" s="11" t="s">
        <v>20</v>
      </c>
    </row>
    <row r="367" spans="1:14" ht="60" customHeight="1" x14ac:dyDescent="0.35">
      <c r="A367" s="9" t="s">
        <v>1750</v>
      </c>
      <c r="B367" s="2" t="s">
        <v>1760</v>
      </c>
      <c r="C367" s="1" t="s">
        <v>1761</v>
      </c>
      <c r="D367" s="3" t="s">
        <v>17</v>
      </c>
      <c r="E367" s="3" t="s">
        <v>18</v>
      </c>
      <c r="F367" s="3" t="s">
        <v>19</v>
      </c>
      <c r="G367" s="3" t="s">
        <v>20</v>
      </c>
      <c r="H367" s="4" t="s">
        <v>20</v>
      </c>
      <c r="I367" s="4" t="s">
        <v>1762</v>
      </c>
      <c r="J367" s="4"/>
      <c r="K367" s="4"/>
      <c r="L367" s="4"/>
      <c r="M367" s="3" t="str">
        <f t="shared" si="1"/>
        <v>Outstanding</v>
      </c>
      <c r="N367" s="11" t="s">
        <v>20</v>
      </c>
    </row>
    <row r="368" spans="1:14" ht="60" customHeight="1" x14ac:dyDescent="0.35">
      <c r="A368" s="10" t="s">
        <v>1750</v>
      </c>
      <c r="B368" s="5" t="s">
        <v>1763</v>
      </c>
      <c r="C368" s="6" t="s">
        <v>1764</v>
      </c>
      <c r="D368" s="7" t="s">
        <v>17</v>
      </c>
      <c r="E368" s="7" t="s">
        <v>18</v>
      </c>
      <c r="F368" s="7" t="s">
        <v>19</v>
      </c>
      <c r="G368" s="7" t="s">
        <v>20</v>
      </c>
      <c r="H368" s="8" t="s">
        <v>20</v>
      </c>
      <c r="I368" s="8" t="s">
        <v>1765</v>
      </c>
      <c r="J368" s="8"/>
      <c r="K368" s="8"/>
      <c r="L368" s="8"/>
      <c r="M368" s="7" t="str">
        <f t="shared" si="1"/>
        <v>Outstanding</v>
      </c>
      <c r="N368" s="12" t="s">
        <v>20</v>
      </c>
    </row>
    <row r="372" spans="1:4" ht="32" customHeight="1" x14ac:dyDescent="0.35">
      <c r="A372" s="262" t="s">
        <v>1766</v>
      </c>
      <c r="B372" s="262"/>
      <c r="C372" s="262"/>
      <c r="D372" s="262"/>
    </row>
  </sheetData>
  <mergeCells count="1">
    <mergeCell ref="A372:D372"/>
  </mergeCells>
  <conditionalFormatting sqref="D2:D368">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368">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368">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368" xr:uid="{00000000-0002-0000-0200-000000000000}">
      <formula1>"Must,Should,Could,Won't,Unassigned"</formula1>
    </dataValidation>
    <dataValidation type="list" showErrorMessage="1" errorTitle="Invalid Value" error="Please select a value from the list: Low, Medium, High, Unassessed." sqref="E2:E368" xr:uid="{00000000-0002-0000-0200-000001000000}">
      <formula1>"Low,Medium,High,Unassessed"</formula1>
    </dataValidation>
    <dataValidation type="list" showErrorMessage="1" errorTitle="Invalid Value" error="Please select a value from the list: Phase1, Phase2, Phase3, Phase4, Phase5, Pending." sqref="F2:F36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68" xr:uid="{00000000-0002-0000-0200-000003000000}">
      <formula1>"Implemented,Testing,Failed,Compensated,Risk Accepted,N/A"</formula1>
    </dataValidation>
  </dataValidations>
  <hyperlinks>
    <hyperlink ref="A37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79" t="s">
        <v>1908</v>
      </c>
      <c r="C2" s="279" t="s">
        <v>1908</v>
      </c>
      <c r="D2" s="279" t="s">
        <v>1908</v>
      </c>
      <c r="E2" s="279" t="s">
        <v>1908</v>
      </c>
      <c r="F2" s="279" t="s">
        <v>1908</v>
      </c>
      <c r="G2" s="279" t="s">
        <v>1908</v>
      </c>
      <c r="H2" s="283" t="s">
        <v>1909</v>
      </c>
      <c r="I2" s="283" t="s">
        <v>1909</v>
      </c>
      <c r="J2" s="283" t="s">
        <v>1909</v>
      </c>
      <c r="K2" s="283" t="s">
        <v>1909</v>
      </c>
      <c r="L2" s="283" t="s">
        <v>1909</v>
      </c>
      <c r="M2" s="282" t="s">
        <v>1910</v>
      </c>
      <c r="N2" s="282" t="s">
        <v>1910</v>
      </c>
      <c r="O2" s="284" t="s">
        <v>1911</v>
      </c>
      <c r="P2" s="284" t="s">
        <v>1911</v>
      </c>
      <c r="Q2" s="280" t="s">
        <v>12</v>
      </c>
      <c r="R2" s="280" t="s">
        <v>12</v>
      </c>
      <c r="S2" s="280" t="s">
        <v>12</v>
      </c>
      <c r="T2" s="281" t="s">
        <v>1912</v>
      </c>
    </row>
    <row r="3" spans="2:20" ht="35" customHeight="1" x14ac:dyDescent="0.35">
      <c r="B3" s="67" t="s">
        <v>1913</v>
      </c>
      <c r="C3" s="67" t="s">
        <v>1914</v>
      </c>
      <c r="D3" s="67" t="s">
        <v>1915</v>
      </c>
      <c r="E3" s="67" t="s">
        <v>1916</v>
      </c>
      <c r="F3" s="67" t="s">
        <v>1917</v>
      </c>
      <c r="G3" s="67" t="s">
        <v>9</v>
      </c>
      <c r="H3" s="68" t="s">
        <v>1918</v>
      </c>
      <c r="I3" s="68" t="s">
        <v>1919</v>
      </c>
      <c r="J3" s="68" t="s">
        <v>1920</v>
      </c>
      <c r="K3" s="68" t="s">
        <v>1921</v>
      </c>
      <c r="L3" s="68" t="s">
        <v>1854</v>
      </c>
      <c r="M3" s="69" t="s">
        <v>1922</v>
      </c>
      <c r="N3" s="69" t="s">
        <v>1923</v>
      </c>
      <c r="O3" s="70" t="s">
        <v>1924</v>
      </c>
      <c r="P3" s="70" t="s">
        <v>1925</v>
      </c>
      <c r="Q3" s="71" t="s">
        <v>12</v>
      </c>
      <c r="R3" s="71" t="s">
        <v>1926</v>
      </c>
      <c r="S3" s="71" t="s">
        <v>1927</v>
      </c>
      <c r="T3" s="72" t="s">
        <v>1928</v>
      </c>
    </row>
    <row r="4" spans="2:20" ht="60" customHeight="1" x14ac:dyDescent="0.35">
      <c r="B4" s="73" t="s">
        <v>1929</v>
      </c>
      <c r="C4" s="73" t="s">
        <v>1930</v>
      </c>
      <c r="D4" s="73" t="s">
        <v>1931</v>
      </c>
      <c r="E4" s="73" t="s">
        <v>1932</v>
      </c>
      <c r="F4" s="73" t="s">
        <v>1933</v>
      </c>
      <c r="G4" s="73" t="s">
        <v>1934</v>
      </c>
      <c r="H4" s="73" t="s">
        <v>1935</v>
      </c>
      <c r="I4" s="73" t="s">
        <v>1936</v>
      </c>
      <c r="J4" s="73" t="s">
        <v>1937</v>
      </c>
      <c r="K4" s="73" t="s">
        <v>1938</v>
      </c>
      <c r="L4" s="73" t="s">
        <v>1939</v>
      </c>
      <c r="M4" s="73" t="s">
        <v>1940</v>
      </c>
      <c r="N4" s="73" t="s">
        <v>1941</v>
      </c>
      <c r="O4" s="73" t="s">
        <v>1942</v>
      </c>
      <c r="P4" s="73" t="s">
        <v>1943</v>
      </c>
      <c r="Q4" s="73" t="s">
        <v>1944</v>
      </c>
      <c r="R4" s="73" t="s">
        <v>1945</v>
      </c>
      <c r="S4" s="73" t="s">
        <v>1946</v>
      </c>
      <c r="T4" s="73" t="s">
        <v>1947</v>
      </c>
    </row>
    <row r="5" spans="2:20" ht="60" customHeight="1" x14ac:dyDescent="0.35">
      <c r="B5" s="35" t="s">
        <v>1948</v>
      </c>
      <c r="C5" s="74"/>
      <c r="D5" s="75"/>
      <c r="E5" s="75" t="s">
        <v>20</v>
      </c>
      <c r="F5" s="75" t="str">
        <f>IF(E5&lt;&gt;"", IFERROR(VLOOKUP(E5, Dashboard!$B29:$F34, 5, FALSE), ""), "")</f>
        <v/>
      </c>
      <c r="G5" s="76"/>
      <c r="H5" s="63"/>
      <c r="I5" s="63"/>
      <c r="J5" s="76"/>
      <c r="K5" s="76"/>
      <c r="L5" s="37"/>
      <c r="M5" s="37"/>
      <c r="N5" s="76"/>
      <c r="O5" s="76"/>
      <c r="P5" s="37"/>
      <c r="Q5" s="37" t="s">
        <v>20</v>
      </c>
      <c r="R5" s="76"/>
      <c r="S5" s="63"/>
      <c r="T5" s="76"/>
    </row>
    <row r="6" spans="2:20" ht="60" customHeight="1" x14ac:dyDescent="0.35">
      <c r="B6" s="35" t="s">
        <v>1949</v>
      </c>
      <c r="C6" s="74"/>
      <c r="D6" s="75"/>
      <c r="E6" s="75" t="s">
        <v>20</v>
      </c>
      <c r="F6" s="75" t="str">
        <f>IF(E6&lt;&gt;"", IFERROR(VLOOKUP(E6, Dashboard!$B29:$F34, 5, FALSE), ""), "")</f>
        <v/>
      </c>
      <c r="G6" s="76"/>
      <c r="H6" s="63"/>
      <c r="I6" s="63"/>
      <c r="J6" s="76"/>
      <c r="K6" s="76"/>
      <c r="L6" s="37"/>
      <c r="M6" s="37"/>
      <c r="N6" s="76"/>
      <c r="O6" s="76"/>
      <c r="P6" s="37"/>
      <c r="Q6" s="37" t="s">
        <v>20</v>
      </c>
      <c r="R6" s="76"/>
      <c r="S6" s="63"/>
      <c r="T6" s="76"/>
    </row>
    <row r="7" spans="2:20" ht="60" customHeight="1" x14ac:dyDescent="0.35">
      <c r="B7" s="35" t="s">
        <v>1950</v>
      </c>
      <c r="C7" s="74"/>
      <c r="D7" s="75"/>
      <c r="E7" s="75" t="s">
        <v>20</v>
      </c>
      <c r="F7" s="75" t="str">
        <f>IF(E7&lt;&gt;"", IFERROR(VLOOKUP(E7, Dashboard!$B29:$F34, 5, FALSE), ""), "")</f>
        <v/>
      </c>
      <c r="G7" s="76"/>
      <c r="H7" s="63"/>
      <c r="I7" s="63"/>
      <c r="J7" s="76"/>
      <c r="K7" s="76"/>
      <c r="L7" s="37"/>
      <c r="M7" s="37"/>
      <c r="N7" s="76"/>
      <c r="O7" s="76"/>
      <c r="P7" s="37"/>
      <c r="Q7" s="37" t="s">
        <v>20</v>
      </c>
      <c r="R7" s="76"/>
      <c r="S7" s="63"/>
      <c r="T7" s="76"/>
    </row>
    <row r="8" spans="2:20" ht="60" customHeight="1" x14ac:dyDescent="0.35">
      <c r="B8" s="35" t="s">
        <v>1951</v>
      </c>
      <c r="C8" s="74"/>
      <c r="D8" s="75"/>
      <c r="E8" s="75" t="s">
        <v>20</v>
      </c>
      <c r="F8" s="75" t="str">
        <f>IF(E8&lt;&gt;"", IFERROR(VLOOKUP(E8, Dashboard!$B29:$F34, 5, FALSE), ""), "")</f>
        <v/>
      </c>
      <c r="G8" s="76"/>
      <c r="H8" s="63"/>
      <c r="I8" s="63"/>
      <c r="J8" s="76"/>
      <c r="K8" s="76"/>
      <c r="L8" s="37"/>
      <c r="M8" s="37"/>
      <c r="N8" s="76"/>
      <c r="O8" s="76"/>
      <c r="P8" s="37"/>
      <c r="Q8" s="37" t="s">
        <v>20</v>
      </c>
      <c r="R8" s="76"/>
      <c r="S8" s="63"/>
      <c r="T8" s="76"/>
    </row>
    <row r="9" spans="2:20" ht="60" customHeight="1" x14ac:dyDescent="0.35">
      <c r="B9" s="35" t="s">
        <v>1952</v>
      </c>
      <c r="C9" s="74"/>
      <c r="D9" s="75"/>
      <c r="E9" s="75" t="s">
        <v>20</v>
      </c>
      <c r="F9" s="75" t="str">
        <f>IF(E9&lt;&gt;"", IFERROR(VLOOKUP(E9, Dashboard!$B29:$F34, 5, FALSE), ""), "")</f>
        <v/>
      </c>
      <c r="G9" s="76"/>
      <c r="H9" s="63"/>
      <c r="I9" s="63"/>
      <c r="J9" s="76"/>
      <c r="K9" s="76"/>
      <c r="L9" s="37"/>
      <c r="M9" s="37"/>
      <c r="N9" s="76"/>
      <c r="O9" s="76"/>
      <c r="P9" s="37"/>
      <c r="Q9" s="37" t="s">
        <v>20</v>
      </c>
      <c r="R9" s="76"/>
      <c r="S9" s="63"/>
      <c r="T9" s="76"/>
    </row>
    <row r="10" spans="2:20" ht="60" customHeight="1" x14ac:dyDescent="0.35">
      <c r="B10" s="35" t="s">
        <v>1953</v>
      </c>
      <c r="C10" s="74"/>
      <c r="D10" s="75"/>
      <c r="E10" s="75" t="s">
        <v>20</v>
      </c>
      <c r="F10" s="75" t="str">
        <f>IF(E10&lt;&gt;"", IFERROR(VLOOKUP(E10, Dashboard!$B29:$F34, 5, FALSE), ""), "")</f>
        <v/>
      </c>
      <c r="G10" s="76"/>
      <c r="H10" s="63"/>
      <c r="I10" s="63"/>
      <c r="J10" s="76"/>
      <c r="K10" s="76"/>
      <c r="L10" s="37"/>
      <c r="M10" s="37"/>
      <c r="N10" s="76"/>
      <c r="O10" s="76"/>
      <c r="P10" s="37"/>
      <c r="Q10" s="37" t="s">
        <v>20</v>
      </c>
      <c r="R10" s="76"/>
      <c r="S10" s="63"/>
      <c r="T10" s="76"/>
    </row>
    <row r="11" spans="2:20" ht="60" customHeight="1" x14ac:dyDescent="0.35">
      <c r="B11" s="35" t="s">
        <v>1954</v>
      </c>
      <c r="C11" s="74"/>
      <c r="D11" s="75"/>
      <c r="E11" s="75" t="s">
        <v>20</v>
      </c>
      <c r="F11" s="75" t="str">
        <f>IF(E11&lt;&gt;"", IFERROR(VLOOKUP(E11, Dashboard!$B29:$F34, 5, FALSE), ""), "")</f>
        <v/>
      </c>
      <c r="G11" s="76"/>
      <c r="H11" s="63"/>
      <c r="I11" s="63"/>
      <c r="J11" s="76"/>
      <c r="K11" s="76"/>
      <c r="L11" s="37"/>
      <c r="M11" s="37"/>
      <c r="N11" s="76"/>
      <c r="O11" s="76"/>
      <c r="P11" s="37"/>
      <c r="Q11" s="37" t="s">
        <v>20</v>
      </c>
      <c r="R11" s="76"/>
      <c r="S11" s="63"/>
      <c r="T11" s="76"/>
    </row>
    <row r="12" spans="2:20" ht="60" customHeight="1" x14ac:dyDescent="0.35">
      <c r="B12" s="35" t="s">
        <v>1955</v>
      </c>
      <c r="C12" s="74"/>
      <c r="D12" s="75"/>
      <c r="E12" s="75" t="s">
        <v>20</v>
      </c>
      <c r="F12" s="75" t="str">
        <f>IF(E12&lt;&gt;"", IFERROR(VLOOKUP(E12, Dashboard!$B29:$F34, 5, FALSE), ""), "")</f>
        <v/>
      </c>
      <c r="G12" s="76"/>
      <c r="H12" s="63"/>
      <c r="I12" s="63"/>
      <c r="J12" s="76"/>
      <c r="K12" s="76"/>
      <c r="L12" s="37"/>
      <c r="M12" s="37"/>
      <c r="N12" s="76"/>
      <c r="O12" s="76"/>
      <c r="P12" s="37"/>
      <c r="Q12" s="37" t="s">
        <v>20</v>
      </c>
      <c r="R12" s="76"/>
      <c r="S12" s="63"/>
      <c r="T12" s="76"/>
    </row>
    <row r="13" spans="2:20" ht="60" customHeight="1" x14ac:dyDescent="0.35">
      <c r="B13" s="35" t="s">
        <v>1956</v>
      </c>
      <c r="C13" s="74"/>
      <c r="D13" s="75"/>
      <c r="E13" s="75" t="s">
        <v>20</v>
      </c>
      <c r="F13" s="75" t="str">
        <f>IF(E13&lt;&gt;"", IFERROR(VLOOKUP(E13, Dashboard!$B29:$F34, 5, FALSE), ""), "")</f>
        <v/>
      </c>
      <c r="G13" s="76"/>
      <c r="H13" s="63"/>
      <c r="I13" s="63"/>
      <c r="J13" s="76"/>
      <c r="K13" s="76"/>
      <c r="L13" s="37"/>
      <c r="M13" s="37"/>
      <c r="N13" s="76"/>
      <c r="O13" s="76"/>
      <c r="P13" s="37"/>
      <c r="Q13" s="37" t="s">
        <v>20</v>
      </c>
      <c r="R13" s="76"/>
      <c r="S13" s="63"/>
      <c r="T13" s="76"/>
    </row>
    <row r="14" spans="2:20" ht="60" customHeight="1" x14ac:dyDescent="0.35">
      <c r="B14" s="35" t="s">
        <v>1957</v>
      </c>
      <c r="C14" s="74"/>
      <c r="D14" s="75"/>
      <c r="E14" s="75" t="s">
        <v>20</v>
      </c>
      <c r="F14" s="75" t="str">
        <f>IF(E14&lt;&gt;"", IFERROR(VLOOKUP(E14, Dashboard!$B29:$F34, 5, FALSE), ""), "")</f>
        <v/>
      </c>
      <c r="G14" s="76"/>
      <c r="H14" s="63"/>
      <c r="I14" s="63"/>
      <c r="J14" s="76"/>
      <c r="K14" s="76"/>
      <c r="L14" s="37"/>
      <c r="M14" s="37"/>
      <c r="N14" s="76"/>
      <c r="O14" s="76"/>
      <c r="P14" s="37"/>
      <c r="Q14" s="37" t="s">
        <v>20</v>
      </c>
      <c r="R14" s="76"/>
      <c r="S14" s="63"/>
      <c r="T14" s="76"/>
    </row>
    <row r="15" spans="2:20" ht="60" customHeight="1" x14ac:dyDescent="0.35">
      <c r="B15" s="35" t="s">
        <v>1958</v>
      </c>
      <c r="C15" s="74"/>
      <c r="D15" s="75"/>
      <c r="E15" s="75" t="s">
        <v>20</v>
      </c>
      <c r="F15" s="75" t="str">
        <f>IF(E15&lt;&gt;"", IFERROR(VLOOKUP(E15, Dashboard!$B29:$F34, 5, FALSE), ""), "")</f>
        <v/>
      </c>
      <c r="G15" s="76"/>
      <c r="H15" s="63"/>
      <c r="I15" s="63"/>
      <c r="J15" s="76"/>
      <c r="K15" s="76"/>
      <c r="L15" s="37"/>
      <c r="M15" s="37"/>
      <c r="N15" s="76"/>
      <c r="O15" s="76"/>
      <c r="P15" s="37"/>
      <c r="Q15" s="37" t="s">
        <v>20</v>
      </c>
      <c r="R15" s="76"/>
      <c r="S15" s="63"/>
      <c r="T15" s="76"/>
    </row>
    <row r="16" spans="2:20" ht="60" customHeight="1" x14ac:dyDescent="0.35">
      <c r="B16" s="35" t="s">
        <v>1959</v>
      </c>
      <c r="C16" s="74"/>
      <c r="D16" s="75"/>
      <c r="E16" s="75" t="s">
        <v>20</v>
      </c>
      <c r="F16" s="75" t="str">
        <f>IF(E16&lt;&gt;"", IFERROR(VLOOKUP(E16, Dashboard!$B29:$F34, 5, FALSE), ""), "")</f>
        <v/>
      </c>
      <c r="G16" s="76"/>
      <c r="H16" s="63"/>
      <c r="I16" s="63"/>
      <c r="J16" s="76"/>
      <c r="K16" s="76"/>
      <c r="L16" s="37"/>
      <c r="M16" s="37"/>
      <c r="N16" s="76"/>
      <c r="O16" s="76"/>
      <c r="P16" s="37"/>
      <c r="Q16" s="37" t="s">
        <v>20</v>
      </c>
      <c r="R16" s="76"/>
      <c r="S16" s="63"/>
      <c r="T16" s="76"/>
    </row>
    <row r="17" spans="2:20" ht="60" customHeight="1" x14ac:dyDescent="0.35">
      <c r="B17" s="35" t="s">
        <v>1960</v>
      </c>
      <c r="C17" s="74"/>
      <c r="D17" s="75"/>
      <c r="E17" s="75" t="s">
        <v>20</v>
      </c>
      <c r="F17" s="75" t="str">
        <f>IF(E17&lt;&gt;"", IFERROR(VLOOKUP(E17, Dashboard!$B29:$F34, 5, FALSE), ""), "")</f>
        <v/>
      </c>
      <c r="G17" s="76"/>
      <c r="H17" s="63"/>
      <c r="I17" s="63"/>
      <c r="J17" s="76"/>
      <c r="K17" s="76"/>
      <c r="L17" s="37"/>
      <c r="M17" s="37"/>
      <c r="N17" s="76"/>
      <c r="O17" s="76"/>
      <c r="P17" s="37"/>
      <c r="Q17" s="37" t="s">
        <v>20</v>
      </c>
      <c r="R17" s="76"/>
      <c r="S17" s="63"/>
      <c r="T17" s="76"/>
    </row>
    <row r="18" spans="2:20" ht="60" customHeight="1" x14ac:dyDescent="0.35">
      <c r="B18" s="35" t="s">
        <v>1961</v>
      </c>
      <c r="C18" s="74"/>
      <c r="D18" s="75"/>
      <c r="E18" s="75" t="s">
        <v>20</v>
      </c>
      <c r="F18" s="75" t="str">
        <f>IF(E18&lt;&gt;"", IFERROR(VLOOKUP(E18, Dashboard!$B29:$F34, 5, FALSE), ""), "")</f>
        <v/>
      </c>
      <c r="G18" s="76"/>
      <c r="H18" s="63"/>
      <c r="I18" s="63"/>
      <c r="J18" s="76"/>
      <c r="K18" s="76"/>
      <c r="L18" s="37"/>
      <c r="M18" s="37"/>
      <c r="N18" s="76"/>
      <c r="O18" s="76"/>
      <c r="P18" s="37"/>
      <c r="Q18" s="37" t="s">
        <v>20</v>
      </c>
      <c r="R18" s="76"/>
      <c r="S18" s="63"/>
      <c r="T18" s="76"/>
    </row>
    <row r="19" spans="2:20" ht="60" customHeight="1" x14ac:dyDescent="0.35">
      <c r="B19" s="35" t="s">
        <v>1962</v>
      </c>
      <c r="C19" s="74"/>
      <c r="D19" s="75"/>
      <c r="E19" s="75" t="s">
        <v>20</v>
      </c>
      <c r="F19" s="75" t="str">
        <f>IF(E19&lt;&gt;"", IFERROR(VLOOKUP(E19, Dashboard!$B29:$F34, 5, FALSE), ""), "")</f>
        <v/>
      </c>
      <c r="G19" s="76"/>
      <c r="H19" s="63"/>
      <c r="I19" s="63"/>
      <c r="J19" s="76"/>
      <c r="K19" s="76"/>
      <c r="L19" s="37"/>
      <c r="M19" s="37"/>
      <c r="N19" s="76"/>
      <c r="O19" s="76"/>
      <c r="P19" s="37"/>
      <c r="Q19" s="37" t="s">
        <v>20</v>
      </c>
      <c r="R19" s="76"/>
      <c r="S19" s="63"/>
      <c r="T19" s="76"/>
    </row>
    <row r="20" spans="2:20" ht="60" customHeight="1" x14ac:dyDescent="0.35">
      <c r="B20" s="35" t="s">
        <v>1963</v>
      </c>
      <c r="C20" s="74"/>
      <c r="D20" s="75"/>
      <c r="E20" s="75" t="s">
        <v>20</v>
      </c>
      <c r="F20" s="75" t="str">
        <f>IF(E20&lt;&gt;"", IFERROR(VLOOKUP(E20, Dashboard!$B29:$F34, 5, FALSE), ""), "")</f>
        <v/>
      </c>
      <c r="G20" s="76"/>
      <c r="H20" s="63"/>
      <c r="I20" s="63"/>
      <c r="J20" s="76"/>
      <c r="K20" s="76"/>
      <c r="L20" s="37"/>
      <c r="M20" s="37"/>
      <c r="N20" s="76"/>
      <c r="O20" s="76"/>
      <c r="P20" s="37"/>
      <c r="Q20" s="37" t="s">
        <v>20</v>
      </c>
      <c r="R20" s="76"/>
      <c r="S20" s="63"/>
      <c r="T20" s="76"/>
    </row>
    <row r="21" spans="2:20" ht="60" customHeight="1" x14ac:dyDescent="0.35">
      <c r="B21" s="35" t="s">
        <v>1964</v>
      </c>
      <c r="C21" s="74"/>
      <c r="D21" s="75"/>
      <c r="E21" s="75" t="s">
        <v>20</v>
      </c>
      <c r="F21" s="75" t="str">
        <f>IF(E21&lt;&gt;"", IFERROR(VLOOKUP(E21, Dashboard!$B29:$F34, 5, FALSE), ""), "")</f>
        <v/>
      </c>
      <c r="G21" s="76"/>
      <c r="H21" s="63"/>
      <c r="I21" s="63"/>
      <c r="J21" s="76"/>
      <c r="K21" s="76"/>
      <c r="L21" s="37"/>
      <c r="M21" s="37"/>
      <c r="N21" s="76"/>
      <c r="O21" s="76"/>
      <c r="P21" s="37"/>
      <c r="Q21" s="37" t="s">
        <v>20</v>
      </c>
      <c r="R21" s="76"/>
      <c r="S21" s="63"/>
      <c r="T21" s="76"/>
    </row>
    <row r="22" spans="2:20" ht="60" customHeight="1" x14ac:dyDescent="0.35">
      <c r="B22" s="35" t="s">
        <v>1965</v>
      </c>
      <c r="C22" s="74"/>
      <c r="D22" s="75"/>
      <c r="E22" s="75" t="s">
        <v>20</v>
      </c>
      <c r="F22" s="75" t="str">
        <f>IF(E22&lt;&gt;"", IFERROR(VLOOKUP(E22, Dashboard!$B29:$F34, 5, FALSE), ""), "")</f>
        <v/>
      </c>
      <c r="G22" s="76"/>
      <c r="H22" s="63"/>
      <c r="I22" s="63"/>
      <c r="J22" s="76"/>
      <c r="K22" s="76"/>
      <c r="L22" s="37"/>
      <c r="M22" s="37"/>
      <c r="N22" s="76"/>
      <c r="O22" s="76"/>
      <c r="P22" s="37"/>
      <c r="Q22" s="37" t="s">
        <v>20</v>
      </c>
      <c r="R22" s="76"/>
      <c r="S22" s="63"/>
      <c r="T22" s="76"/>
    </row>
    <row r="23" spans="2:20" ht="60" customHeight="1" x14ac:dyDescent="0.35">
      <c r="B23" s="35" t="s">
        <v>1966</v>
      </c>
      <c r="C23" s="74"/>
      <c r="D23" s="75"/>
      <c r="E23" s="75" t="s">
        <v>20</v>
      </c>
      <c r="F23" s="75" t="str">
        <f>IF(E23&lt;&gt;"", IFERROR(VLOOKUP(E23, Dashboard!$B29:$F34, 5, FALSE), ""), "")</f>
        <v/>
      </c>
      <c r="G23" s="76"/>
      <c r="H23" s="63"/>
      <c r="I23" s="63"/>
      <c r="J23" s="76"/>
      <c r="K23" s="76"/>
      <c r="L23" s="37"/>
      <c r="M23" s="37"/>
      <c r="N23" s="76"/>
      <c r="O23" s="76"/>
      <c r="P23" s="37"/>
      <c r="Q23" s="37" t="s">
        <v>20</v>
      </c>
      <c r="R23" s="76"/>
      <c r="S23" s="63"/>
      <c r="T23" s="76"/>
    </row>
    <row r="24" spans="2:20" ht="60" customHeight="1" x14ac:dyDescent="0.35">
      <c r="B24" s="35" t="s">
        <v>1967</v>
      </c>
      <c r="C24" s="74"/>
      <c r="D24" s="75"/>
      <c r="E24" s="75" t="s">
        <v>20</v>
      </c>
      <c r="F24" s="75" t="str">
        <f>IF(E24&lt;&gt;"", IFERROR(VLOOKUP(E24, Dashboard!$B29:$F34, 5, FALSE), ""), "")</f>
        <v/>
      </c>
      <c r="G24" s="76"/>
      <c r="H24" s="63"/>
      <c r="I24" s="63"/>
      <c r="J24" s="76"/>
      <c r="K24" s="76"/>
      <c r="L24" s="37"/>
      <c r="M24" s="37"/>
      <c r="N24" s="76"/>
      <c r="O24" s="76"/>
      <c r="P24" s="37"/>
      <c r="Q24" s="37" t="s">
        <v>20</v>
      </c>
      <c r="R24" s="76"/>
      <c r="S24" s="63"/>
      <c r="T24" s="76"/>
    </row>
    <row r="25" spans="2:20" ht="60" customHeight="1" x14ac:dyDescent="0.35">
      <c r="B25" s="35" t="s">
        <v>1968</v>
      </c>
      <c r="C25" s="74"/>
      <c r="D25" s="75"/>
      <c r="E25" s="75" t="s">
        <v>20</v>
      </c>
      <c r="F25" s="75" t="str">
        <f>IF(E25&lt;&gt;"", IFERROR(VLOOKUP(E25, Dashboard!$B29:$F34, 5, FALSE), ""), "")</f>
        <v/>
      </c>
      <c r="G25" s="76"/>
      <c r="H25" s="63"/>
      <c r="I25" s="63"/>
      <c r="J25" s="76"/>
      <c r="K25" s="76"/>
      <c r="L25" s="37"/>
      <c r="M25" s="37"/>
      <c r="N25" s="76"/>
      <c r="O25" s="76"/>
      <c r="P25" s="37"/>
      <c r="Q25" s="37" t="s">
        <v>20</v>
      </c>
      <c r="R25" s="76"/>
      <c r="S25" s="63"/>
      <c r="T25" s="76"/>
    </row>
    <row r="26" spans="2:20" ht="60" customHeight="1" x14ac:dyDescent="0.35">
      <c r="B26" s="35" t="s">
        <v>1969</v>
      </c>
      <c r="C26" s="74"/>
      <c r="D26" s="75"/>
      <c r="E26" s="75" t="s">
        <v>20</v>
      </c>
      <c r="F26" s="75" t="str">
        <f>IF(E26&lt;&gt;"", IFERROR(VLOOKUP(E26, Dashboard!$B29:$F34, 5, FALSE), ""), "")</f>
        <v/>
      </c>
      <c r="G26" s="76"/>
      <c r="H26" s="63"/>
      <c r="I26" s="63"/>
      <c r="J26" s="76"/>
      <c r="K26" s="76"/>
      <c r="L26" s="37"/>
      <c r="M26" s="37"/>
      <c r="N26" s="76"/>
      <c r="O26" s="76"/>
      <c r="P26" s="37"/>
      <c r="Q26" s="37" t="s">
        <v>20</v>
      </c>
      <c r="R26" s="76"/>
      <c r="S26" s="63"/>
      <c r="T26" s="76"/>
    </row>
    <row r="27" spans="2:20" ht="60" customHeight="1" x14ac:dyDescent="0.35">
      <c r="B27" s="35" t="s">
        <v>1970</v>
      </c>
      <c r="C27" s="74"/>
      <c r="D27" s="75"/>
      <c r="E27" s="75" t="s">
        <v>20</v>
      </c>
      <c r="F27" s="75" t="str">
        <f>IF(E27&lt;&gt;"", IFERROR(VLOOKUP(E27, Dashboard!$B29:$F34, 5, FALSE), ""), "")</f>
        <v/>
      </c>
      <c r="G27" s="76"/>
      <c r="H27" s="63"/>
      <c r="I27" s="63"/>
      <c r="J27" s="76"/>
      <c r="K27" s="76"/>
      <c r="L27" s="37"/>
      <c r="M27" s="37"/>
      <c r="N27" s="76"/>
      <c r="O27" s="76"/>
      <c r="P27" s="37"/>
      <c r="Q27" s="37" t="s">
        <v>20</v>
      </c>
      <c r="R27" s="76"/>
      <c r="S27" s="63"/>
      <c r="T27" s="76"/>
    </row>
    <row r="28" spans="2:20" ht="60" customHeight="1" x14ac:dyDescent="0.35">
      <c r="B28" s="35" t="s">
        <v>1971</v>
      </c>
      <c r="C28" s="74"/>
      <c r="D28" s="75"/>
      <c r="E28" s="75" t="s">
        <v>20</v>
      </c>
      <c r="F28" s="75" t="str">
        <f>IF(E28&lt;&gt;"", IFERROR(VLOOKUP(E28, Dashboard!$B29:$F34, 5, FALSE), ""), "")</f>
        <v/>
      </c>
      <c r="G28" s="76"/>
      <c r="H28" s="63"/>
      <c r="I28" s="63"/>
      <c r="J28" s="76"/>
      <c r="K28" s="76"/>
      <c r="L28" s="37"/>
      <c r="M28" s="37"/>
      <c r="N28" s="76"/>
      <c r="O28" s="76"/>
      <c r="P28" s="37"/>
      <c r="Q28" s="37" t="s">
        <v>20</v>
      </c>
      <c r="R28" s="76"/>
      <c r="S28" s="63"/>
      <c r="T28" s="76"/>
    </row>
    <row r="29" spans="2:20" ht="60" customHeight="1" x14ac:dyDescent="0.35">
      <c r="B29" s="35" t="s">
        <v>1972</v>
      </c>
      <c r="C29" s="74"/>
      <c r="D29" s="75"/>
      <c r="E29" s="75" t="s">
        <v>20</v>
      </c>
      <c r="F29" s="75" t="str">
        <f>IF(E29&lt;&gt;"", IFERROR(VLOOKUP(E29, Dashboard!$B29:$F34, 5, FALSE), ""), "")</f>
        <v/>
      </c>
      <c r="G29" s="76"/>
      <c r="H29" s="63"/>
      <c r="I29" s="63"/>
      <c r="J29" s="76"/>
      <c r="K29" s="76"/>
      <c r="L29" s="37"/>
      <c r="M29" s="37"/>
      <c r="N29" s="76"/>
      <c r="O29" s="76"/>
      <c r="P29" s="37"/>
      <c r="Q29" s="37" t="s">
        <v>20</v>
      </c>
      <c r="R29" s="76"/>
      <c r="S29" s="63"/>
      <c r="T29" s="76"/>
    </row>
    <row r="30" spans="2:20" ht="60" customHeight="1" x14ac:dyDescent="0.35">
      <c r="B30" s="35" t="s">
        <v>1973</v>
      </c>
      <c r="C30" s="74"/>
      <c r="D30" s="75"/>
      <c r="E30" s="75" t="s">
        <v>20</v>
      </c>
      <c r="F30" s="75" t="str">
        <f>IF(E30&lt;&gt;"", IFERROR(VLOOKUP(E30, Dashboard!$B29:$F34, 5, FALSE), ""), "")</f>
        <v/>
      </c>
      <c r="G30" s="76"/>
      <c r="H30" s="63"/>
      <c r="I30" s="63"/>
      <c r="J30" s="76"/>
      <c r="K30" s="76"/>
      <c r="L30" s="37"/>
      <c r="M30" s="37"/>
      <c r="N30" s="76"/>
      <c r="O30" s="76"/>
      <c r="P30" s="37"/>
      <c r="Q30" s="37" t="s">
        <v>20</v>
      </c>
      <c r="R30" s="76"/>
      <c r="S30" s="63"/>
      <c r="T30" s="76"/>
    </row>
    <row r="31" spans="2:20" ht="60" customHeight="1" x14ac:dyDescent="0.35">
      <c r="B31" s="35" t="s">
        <v>1974</v>
      </c>
      <c r="C31" s="74"/>
      <c r="D31" s="75"/>
      <c r="E31" s="75" t="s">
        <v>20</v>
      </c>
      <c r="F31" s="75" t="str">
        <f>IF(E31&lt;&gt;"", IFERROR(VLOOKUP(E31, Dashboard!$B29:$F34, 5, FALSE), ""), "")</f>
        <v/>
      </c>
      <c r="G31" s="76"/>
      <c r="H31" s="63"/>
      <c r="I31" s="63"/>
      <c r="J31" s="76"/>
      <c r="K31" s="76"/>
      <c r="L31" s="37"/>
      <c r="M31" s="37"/>
      <c r="N31" s="76"/>
      <c r="O31" s="76"/>
      <c r="P31" s="37"/>
      <c r="Q31" s="37" t="s">
        <v>20</v>
      </c>
      <c r="R31" s="76"/>
      <c r="S31" s="63"/>
      <c r="T31" s="76"/>
    </row>
    <row r="32" spans="2:20" ht="60" customHeight="1" x14ac:dyDescent="0.35">
      <c r="B32" s="35" t="s">
        <v>1975</v>
      </c>
      <c r="C32" s="74"/>
      <c r="D32" s="75"/>
      <c r="E32" s="75" t="s">
        <v>20</v>
      </c>
      <c r="F32" s="75" t="str">
        <f>IF(E32&lt;&gt;"", IFERROR(VLOOKUP(E32, Dashboard!$B29:$F34, 5, FALSE), ""), "")</f>
        <v/>
      </c>
      <c r="G32" s="76"/>
      <c r="H32" s="63"/>
      <c r="I32" s="63"/>
      <c r="J32" s="76"/>
      <c r="K32" s="76"/>
      <c r="L32" s="37"/>
      <c r="M32" s="37"/>
      <c r="N32" s="76"/>
      <c r="O32" s="76"/>
      <c r="P32" s="37"/>
      <c r="Q32" s="37" t="s">
        <v>20</v>
      </c>
      <c r="R32" s="76"/>
      <c r="S32" s="63"/>
      <c r="T32" s="76"/>
    </row>
    <row r="33" spans="2:20" ht="60" customHeight="1" x14ac:dyDescent="0.35">
      <c r="B33" s="35" t="s">
        <v>1976</v>
      </c>
      <c r="C33" s="74"/>
      <c r="D33" s="75"/>
      <c r="E33" s="75" t="s">
        <v>20</v>
      </c>
      <c r="F33" s="75" t="str">
        <f>IF(E33&lt;&gt;"", IFERROR(VLOOKUP(E33, Dashboard!$B29:$F34, 5, FALSE), ""), "")</f>
        <v/>
      </c>
      <c r="G33" s="76"/>
      <c r="H33" s="63"/>
      <c r="I33" s="63"/>
      <c r="J33" s="76"/>
      <c r="K33" s="76"/>
      <c r="L33" s="37"/>
      <c r="M33" s="37"/>
      <c r="N33" s="76"/>
      <c r="O33" s="76"/>
      <c r="P33" s="37"/>
      <c r="Q33" s="37" t="s">
        <v>20</v>
      </c>
      <c r="R33" s="76"/>
      <c r="S33" s="63"/>
      <c r="T33" s="76"/>
    </row>
    <row r="34" spans="2:20" ht="60" customHeight="1" x14ac:dyDescent="0.35">
      <c r="B34" s="35" t="s">
        <v>1977</v>
      </c>
      <c r="C34" s="74"/>
      <c r="D34" s="75"/>
      <c r="E34" s="75" t="s">
        <v>20</v>
      </c>
      <c r="F34" s="75" t="str">
        <f>IF(E34&lt;&gt;"", IFERROR(VLOOKUP(E34, Dashboard!$B29:$F34, 5, FALSE), ""), "")</f>
        <v/>
      </c>
      <c r="G34" s="76"/>
      <c r="H34" s="63"/>
      <c r="I34" s="63"/>
      <c r="J34" s="76"/>
      <c r="K34" s="76"/>
      <c r="L34" s="37"/>
      <c r="M34" s="37"/>
      <c r="N34" s="76"/>
      <c r="O34" s="76"/>
      <c r="P34" s="37"/>
      <c r="Q34" s="37" t="s">
        <v>20</v>
      </c>
      <c r="R34" s="76"/>
      <c r="S34" s="63"/>
      <c r="T34" s="76"/>
    </row>
    <row r="35" spans="2:20" ht="60" customHeight="1" x14ac:dyDescent="0.35">
      <c r="B35" s="35" t="s">
        <v>1978</v>
      </c>
      <c r="C35" s="74"/>
      <c r="D35" s="75"/>
      <c r="E35" s="75" t="s">
        <v>20</v>
      </c>
      <c r="F35" s="75" t="str">
        <f>IF(E35&lt;&gt;"", IFERROR(VLOOKUP(E35, Dashboard!$B29:$F34, 5, FALSE), ""), "")</f>
        <v/>
      </c>
      <c r="G35" s="76"/>
      <c r="H35" s="63"/>
      <c r="I35" s="63"/>
      <c r="J35" s="76"/>
      <c r="K35" s="76"/>
      <c r="L35" s="37"/>
      <c r="M35" s="37"/>
      <c r="N35" s="76"/>
      <c r="O35" s="76"/>
      <c r="P35" s="37"/>
      <c r="Q35" s="37" t="s">
        <v>20</v>
      </c>
      <c r="R35" s="76"/>
      <c r="S35" s="63"/>
      <c r="T35" s="76"/>
    </row>
    <row r="36" spans="2:20" ht="60" customHeight="1" x14ac:dyDescent="0.35">
      <c r="B36" s="35" t="s">
        <v>1979</v>
      </c>
      <c r="C36" s="74"/>
      <c r="D36" s="75"/>
      <c r="E36" s="75" t="s">
        <v>20</v>
      </c>
      <c r="F36" s="75" t="str">
        <f>IF(E36&lt;&gt;"", IFERROR(VLOOKUP(E36, Dashboard!$B29:$F34, 5, FALSE), ""), "")</f>
        <v/>
      </c>
      <c r="G36" s="76"/>
      <c r="H36" s="63"/>
      <c r="I36" s="63"/>
      <c r="J36" s="76"/>
      <c r="K36" s="76"/>
      <c r="L36" s="37"/>
      <c r="M36" s="37"/>
      <c r="N36" s="76"/>
      <c r="O36" s="76"/>
      <c r="P36" s="37"/>
      <c r="Q36" s="37" t="s">
        <v>20</v>
      </c>
      <c r="R36" s="76"/>
      <c r="S36" s="63"/>
      <c r="T36" s="76"/>
    </row>
    <row r="37" spans="2:20" ht="60" customHeight="1" x14ac:dyDescent="0.35">
      <c r="B37" s="35" t="s">
        <v>1980</v>
      </c>
      <c r="C37" s="74"/>
      <c r="D37" s="75"/>
      <c r="E37" s="75" t="s">
        <v>20</v>
      </c>
      <c r="F37" s="75" t="str">
        <f>IF(E37&lt;&gt;"", IFERROR(VLOOKUP(E37, Dashboard!$B29:$F34, 5, FALSE), ""), "")</f>
        <v/>
      </c>
      <c r="G37" s="76"/>
      <c r="H37" s="63"/>
      <c r="I37" s="63"/>
      <c r="J37" s="76"/>
      <c r="K37" s="76"/>
      <c r="L37" s="37"/>
      <c r="M37" s="37"/>
      <c r="N37" s="76"/>
      <c r="O37" s="76"/>
      <c r="P37" s="37"/>
      <c r="Q37" s="37" t="s">
        <v>20</v>
      </c>
      <c r="R37" s="76"/>
      <c r="S37" s="63"/>
      <c r="T37" s="76"/>
    </row>
    <row r="38" spans="2:20" ht="60" customHeight="1" x14ac:dyDescent="0.35">
      <c r="B38" s="35" t="s">
        <v>1981</v>
      </c>
      <c r="C38" s="74"/>
      <c r="D38" s="75"/>
      <c r="E38" s="75" t="s">
        <v>20</v>
      </c>
      <c r="F38" s="75" t="str">
        <f>IF(E38&lt;&gt;"", IFERROR(VLOOKUP(E38, Dashboard!$B29:$F34, 5, FALSE), ""), "")</f>
        <v/>
      </c>
      <c r="G38" s="76"/>
      <c r="H38" s="63"/>
      <c r="I38" s="63"/>
      <c r="J38" s="76"/>
      <c r="K38" s="76"/>
      <c r="L38" s="37"/>
      <c r="M38" s="37"/>
      <c r="N38" s="76"/>
      <c r="O38" s="76"/>
      <c r="P38" s="37"/>
      <c r="Q38" s="37" t="s">
        <v>20</v>
      </c>
      <c r="R38" s="76"/>
      <c r="S38" s="63"/>
      <c r="T38" s="76"/>
    </row>
    <row r="39" spans="2:20" ht="60" customHeight="1" x14ac:dyDescent="0.35">
      <c r="B39" s="35" t="s">
        <v>1982</v>
      </c>
      <c r="C39" s="74"/>
      <c r="D39" s="75"/>
      <c r="E39" s="75" t="s">
        <v>20</v>
      </c>
      <c r="F39" s="75" t="str">
        <f>IF(E39&lt;&gt;"", IFERROR(VLOOKUP(E39, Dashboard!$B29:$F34, 5, FALSE), ""), "")</f>
        <v/>
      </c>
      <c r="G39" s="76"/>
      <c r="H39" s="63"/>
      <c r="I39" s="63"/>
      <c r="J39" s="76"/>
      <c r="K39" s="76"/>
      <c r="L39" s="37"/>
      <c r="M39" s="37"/>
      <c r="N39" s="76"/>
      <c r="O39" s="76"/>
      <c r="P39" s="37"/>
      <c r="Q39" s="37" t="s">
        <v>20</v>
      </c>
      <c r="R39" s="76"/>
      <c r="S39" s="63"/>
      <c r="T39" s="76"/>
    </row>
    <row r="40" spans="2:20" ht="60" customHeight="1" x14ac:dyDescent="0.35">
      <c r="B40" s="35" t="s">
        <v>1983</v>
      </c>
      <c r="C40" s="74"/>
      <c r="D40" s="75"/>
      <c r="E40" s="75" t="s">
        <v>20</v>
      </c>
      <c r="F40" s="75" t="str">
        <f>IF(E40&lt;&gt;"", IFERROR(VLOOKUP(E40, Dashboard!$B29:$F34, 5, FALSE), ""), "")</f>
        <v/>
      </c>
      <c r="G40" s="76"/>
      <c r="H40" s="63"/>
      <c r="I40" s="63"/>
      <c r="J40" s="76"/>
      <c r="K40" s="76"/>
      <c r="L40" s="37"/>
      <c r="M40" s="37"/>
      <c r="N40" s="76"/>
      <c r="O40" s="76"/>
      <c r="P40" s="37"/>
      <c r="Q40" s="37" t="s">
        <v>20</v>
      </c>
      <c r="R40" s="76"/>
      <c r="S40" s="63"/>
      <c r="T40" s="76"/>
    </row>
    <row r="41" spans="2:20" ht="60" customHeight="1" x14ac:dyDescent="0.35">
      <c r="B41" s="35" t="s">
        <v>1984</v>
      </c>
      <c r="C41" s="74"/>
      <c r="D41" s="75"/>
      <c r="E41" s="75" t="s">
        <v>20</v>
      </c>
      <c r="F41" s="75" t="str">
        <f>IF(E41&lt;&gt;"", IFERROR(VLOOKUP(E41, Dashboard!$B29:$F34, 5, FALSE), ""), "")</f>
        <v/>
      </c>
      <c r="G41" s="76"/>
      <c r="H41" s="63"/>
      <c r="I41" s="63"/>
      <c r="J41" s="76"/>
      <c r="K41" s="76"/>
      <c r="L41" s="37"/>
      <c r="M41" s="37"/>
      <c r="N41" s="76"/>
      <c r="O41" s="76"/>
      <c r="P41" s="37"/>
      <c r="Q41" s="37" t="s">
        <v>20</v>
      </c>
      <c r="R41" s="76"/>
      <c r="S41" s="63"/>
      <c r="T41" s="76"/>
    </row>
    <row r="42" spans="2:20" ht="60" customHeight="1" x14ac:dyDescent="0.35">
      <c r="B42" s="35" t="s">
        <v>1985</v>
      </c>
      <c r="C42" s="74"/>
      <c r="D42" s="75"/>
      <c r="E42" s="75" t="s">
        <v>20</v>
      </c>
      <c r="F42" s="75" t="str">
        <f>IF(E42&lt;&gt;"", IFERROR(VLOOKUP(E42, Dashboard!$B29:$F34, 5, FALSE), ""), "")</f>
        <v/>
      </c>
      <c r="G42" s="76"/>
      <c r="H42" s="63"/>
      <c r="I42" s="63"/>
      <c r="J42" s="76"/>
      <c r="K42" s="76"/>
      <c r="L42" s="37"/>
      <c r="M42" s="37"/>
      <c r="N42" s="76"/>
      <c r="O42" s="76"/>
      <c r="P42" s="37"/>
      <c r="Q42" s="37" t="s">
        <v>20</v>
      </c>
      <c r="R42" s="76"/>
      <c r="S42" s="63"/>
      <c r="T42" s="76"/>
    </row>
    <row r="43" spans="2:20" ht="60" customHeight="1" x14ac:dyDescent="0.35">
      <c r="B43" s="35" t="s">
        <v>1986</v>
      </c>
      <c r="C43" s="74"/>
      <c r="D43" s="75"/>
      <c r="E43" s="75" t="s">
        <v>20</v>
      </c>
      <c r="F43" s="75" t="str">
        <f>IF(E43&lt;&gt;"", IFERROR(VLOOKUP(E43, Dashboard!$B29:$F34, 5, FALSE), ""), "")</f>
        <v/>
      </c>
      <c r="G43" s="76"/>
      <c r="H43" s="63"/>
      <c r="I43" s="63"/>
      <c r="J43" s="76"/>
      <c r="K43" s="76"/>
      <c r="L43" s="37"/>
      <c r="M43" s="37"/>
      <c r="N43" s="76"/>
      <c r="O43" s="76"/>
      <c r="P43" s="37"/>
      <c r="Q43" s="37" t="s">
        <v>20</v>
      </c>
      <c r="R43" s="76"/>
      <c r="S43" s="63"/>
      <c r="T43" s="76"/>
    </row>
    <row r="44" spans="2:20" ht="60" customHeight="1" x14ac:dyDescent="0.35">
      <c r="B44" s="35" t="s">
        <v>1987</v>
      </c>
      <c r="C44" s="74"/>
      <c r="D44" s="75"/>
      <c r="E44" s="75" t="s">
        <v>20</v>
      </c>
      <c r="F44" s="75" t="str">
        <f>IF(E44&lt;&gt;"", IFERROR(VLOOKUP(E44, Dashboard!$B29:$F34, 5, FALSE), ""), "")</f>
        <v/>
      </c>
      <c r="G44" s="76"/>
      <c r="H44" s="63"/>
      <c r="I44" s="63"/>
      <c r="J44" s="76"/>
      <c r="K44" s="76"/>
      <c r="L44" s="37"/>
      <c r="M44" s="37"/>
      <c r="N44" s="76"/>
      <c r="O44" s="76"/>
      <c r="P44" s="37"/>
      <c r="Q44" s="37" t="s">
        <v>20</v>
      </c>
      <c r="R44" s="76"/>
      <c r="S44" s="63"/>
      <c r="T44" s="76"/>
    </row>
    <row r="45" spans="2:20" ht="60" customHeight="1" x14ac:dyDescent="0.35">
      <c r="B45" s="35" t="s">
        <v>1988</v>
      </c>
      <c r="C45" s="74"/>
      <c r="D45" s="75"/>
      <c r="E45" s="75" t="s">
        <v>20</v>
      </c>
      <c r="F45" s="75" t="str">
        <f>IF(E45&lt;&gt;"", IFERROR(VLOOKUP(E45, Dashboard!$B29:$F34, 5, FALSE), ""), "")</f>
        <v/>
      </c>
      <c r="G45" s="76"/>
      <c r="H45" s="63"/>
      <c r="I45" s="63"/>
      <c r="J45" s="76"/>
      <c r="K45" s="76"/>
      <c r="L45" s="37"/>
      <c r="M45" s="37"/>
      <c r="N45" s="76"/>
      <c r="O45" s="76"/>
      <c r="P45" s="37"/>
      <c r="Q45" s="37" t="s">
        <v>20</v>
      </c>
      <c r="R45" s="76"/>
      <c r="S45" s="63"/>
      <c r="T45" s="76"/>
    </row>
    <row r="46" spans="2:20" ht="60" customHeight="1" x14ac:dyDescent="0.35">
      <c r="B46" s="35" t="s">
        <v>1989</v>
      </c>
      <c r="C46" s="74"/>
      <c r="D46" s="75"/>
      <c r="E46" s="75" t="s">
        <v>20</v>
      </c>
      <c r="F46" s="75" t="str">
        <f>IF(E46&lt;&gt;"", IFERROR(VLOOKUP(E46, Dashboard!$B29:$F34, 5, FALSE), ""), "")</f>
        <v/>
      </c>
      <c r="G46" s="76"/>
      <c r="H46" s="63"/>
      <c r="I46" s="63"/>
      <c r="J46" s="76"/>
      <c r="K46" s="76"/>
      <c r="L46" s="37"/>
      <c r="M46" s="37"/>
      <c r="N46" s="76"/>
      <c r="O46" s="76"/>
      <c r="P46" s="37"/>
      <c r="Q46" s="37" t="s">
        <v>20</v>
      </c>
      <c r="R46" s="76"/>
      <c r="S46" s="63"/>
      <c r="T46" s="76"/>
    </row>
    <row r="47" spans="2:20" ht="60" customHeight="1" x14ac:dyDescent="0.35">
      <c r="B47" s="35" t="s">
        <v>1990</v>
      </c>
      <c r="C47" s="74"/>
      <c r="D47" s="75"/>
      <c r="E47" s="75" t="s">
        <v>20</v>
      </c>
      <c r="F47" s="75" t="str">
        <f>IF(E47&lt;&gt;"", IFERROR(VLOOKUP(E47, Dashboard!$B29:$F34, 5, FALSE), ""), "")</f>
        <v/>
      </c>
      <c r="G47" s="76"/>
      <c r="H47" s="63"/>
      <c r="I47" s="63"/>
      <c r="J47" s="76"/>
      <c r="K47" s="76"/>
      <c r="L47" s="37"/>
      <c r="M47" s="37"/>
      <c r="N47" s="76"/>
      <c r="O47" s="76"/>
      <c r="P47" s="37"/>
      <c r="Q47" s="37" t="s">
        <v>20</v>
      </c>
      <c r="R47" s="76"/>
      <c r="S47" s="63"/>
      <c r="T47" s="76"/>
    </row>
    <row r="48" spans="2:20" ht="60" customHeight="1" x14ac:dyDescent="0.35">
      <c r="B48" s="35" t="s">
        <v>1991</v>
      </c>
      <c r="C48" s="74"/>
      <c r="D48" s="75"/>
      <c r="E48" s="75" t="s">
        <v>20</v>
      </c>
      <c r="F48" s="75" t="str">
        <f>IF(E48&lt;&gt;"", IFERROR(VLOOKUP(E48, Dashboard!$B29:$F34, 5, FALSE), ""), "")</f>
        <v/>
      </c>
      <c r="G48" s="76"/>
      <c r="H48" s="63"/>
      <c r="I48" s="63"/>
      <c r="J48" s="76"/>
      <c r="K48" s="76"/>
      <c r="L48" s="37"/>
      <c r="M48" s="37"/>
      <c r="N48" s="76"/>
      <c r="O48" s="76"/>
      <c r="P48" s="37"/>
      <c r="Q48" s="37" t="s">
        <v>20</v>
      </c>
      <c r="R48" s="76"/>
      <c r="S48" s="63"/>
      <c r="T48" s="76"/>
    </row>
    <row r="49" spans="2:20" ht="60" customHeight="1" x14ac:dyDescent="0.35">
      <c r="B49" s="35" t="s">
        <v>1992</v>
      </c>
      <c r="C49" s="74"/>
      <c r="D49" s="75"/>
      <c r="E49" s="75" t="s">
        <v>20</v>
      </c>
      <c r="F49" s="75" t="str">
        <f>IF(E49&lt;&gt;"", IFERROR(VLOOKUP(E49, Dashboard!$B29:$F34, 5, FALSE), ""), "")</f>
        <v/>
      </c>
      <c r="G49" s="76"/>
      <c r="H49" s="63"/>
      <c r="I49" s="63"/>
      <c r="J49" s="76"/>
      <c r="K49" s="76"/>
      <c r="L49" s="37"/>
      <c r="M49" s="37"/>
      <c r="N49" s="76"/>
      <c r="O49" s="76"/>
      <c r="P49" s="37"/>
      <c r="Q49" s="37" t="s">
        <v>20</v>
      </c>
      <c r="R49" s="76"/>
      <c r="S49" s="63"/>
      <c r="T49" s="76"/>
    </row>
    <row r="50" spans="2:20" ht="60" customHeight="1" x14ac:dyDescent="0.35">
      <c r="B50" s="35" t="s">
        <v>1993</v>
      </c>
      <c r="C50" s="74"/>
      <c r="D50" s="75"/>
      <c r="E50" s="75" t="s">
        <v>20</v>
      </c>
      <c r="F50" s="75" t="str">
        <f>IF(E50&lt;&gt;"", IFERROR(VLOOKUP(E50, Dashboard!$B29:$F34, 5, FALSE), ""), "")</f>
        <v/>
      </c>
      <c r="G50" s="76"/>
      <c r="H50" s="63"/>
      <c r="I50" s="63"/>
      <c r="J50" s="76"/>
      <c r="K50" s="76"/>
      <c r="L50" s="37"/>
      <c r="M50" s="37"/>
      <c r="N50" s="76"/>
      <c r="O50" s="76"/>
      <c r="P50" s="37"/>
      <c r="Q50" s="37" t="s">
        <v>20</v>
      </c>
      <c r="R50" s="76"/>
      <c r="S50" s="63"/>
      <c r="T50" s="76"/>
    </row>
    <row r="51" spans="2:20" ht="60" customHeight="1" x14ac:dyDescent="0.35">
      <c r="B51" s="35" t="s">
        <v>1994</v>
      </c>
      <c r="C51" s="74"/>
      <c r="D51" s="75"/>
      <c r="E51" s="75" t="s">
        <v>20</v>
      </c>
      <c r="F51" s="75" t="str">
        <f>IF(E51&lt;&gt;"", IFERROR(VLOOKUP(E51, Dashboard!$B29:$F34, 5, FALSE), ""), "")</f>
        <v/>
      </c>
      <c r="G51" s="76"/>
      <c r="H51" s="63"/>
      <c r="I51" s="63"/>
      <c r="J51" s="76"/>
      <c r="K51" s="76"/>
      <c r="L51" s="37"/>
      <c r="M51" s="37"/>
      <c r="N51" s="76"/>
      <c r="O51" s="76"/>
      <c r="P51" s="37"/>
      <c r="Q51" s="37" t="s">
        <v>20</v>
      </c>
      <c r="R51" s="76"/>
      <c r="S51" s="63"/>
      <c r="T51" s="76"/>
    </row>
    <row r="52" spans="2:20" ht="60" customHeight="1" x14ac:dyDescent="0.35">
      <c r="B52" s="35" t="s">
        <v>1995</v>
      </c>
      <c r="C52" s="74"/>
      <c r="D52" s="75"/>
      <c r="E52" s="75" t="s">
        <v>20</v>
      </c>
      <c r="F52" s="75" t="str">
        <f>IF(E52&lt;&gt;"", IFERROR(VLOOKUP(E52, Dashboard!$B29:$F34, 5, FALSE), ""), "")</f>
        <v/>
      </c>
      <c r="G52" s="76"/>
      <c r="H52" s="63"/>
      <c r="I52" s="63"/>
      <c r="J52" s="76"/>
      <c r="K52" s="76"/>
      <c r="L52" s="37"/>
      <c r="M52" s="37"/>
      <c r="N52" s="76"/>
      <c r="O52" s="76"/>
      <c r="P52" s="37"/>
      <c r="Q52" s="37" t="s">
        <v>20</v>
      </c>
      <c r="R52" s="76"/>
      <c r="S52" s="63"/>
      <c r="T52" s="76"/>
    </row>
    <row r="53" spans="2:20" ht="60" customHeight="1" x14ac:dyDescent="0.35">
      <c r="B53" s="35" t="s">
        <v>1996</v>
      </c>
      <c r="C53" s="74"/>
      <c r="D53" s="75"/>
      <c r="E53" s="75" t="s">
        <v>20</v>
      </c>
      <c r="F53" s="75" t="str">
        <f>IF(E53&lt;&gt;"", IFERROR(VLOOKUP(E53, Dashboard!$B29:$F34, 5, FALSE), ""), "")</f>
        <v/>
      </c>
      <c r="G53" s="76"/>
      <c r="H53" s="63"/>
      <c r="I53" s="63"/>
      <c r="J53" s="76"/>
      <c r="K53" s="76"/>
      <c r="L53" s="37"/>
      <c r="M53" s="37"/>
      <c r="N53" s="76"/>
      <c r="O53" s="76"/>
      <c r="P53" s="37"/>
      <c r="Q53" s="37" t="s">
        <v>20</v>
      </c>
      <c r="R53" s="76"/>
      <c r="S53" s="63"/>
      <c r="T53" s="76"/>
    </row>
    <row r="54" spans="2:20" ht="60" customHeight="1" x14ac:dyDescent="0.35">
      <c r="B54" s="35" t="s">
        <v>1997</v>
      </c>
      <c r="C54" s="74"/>
      <c r="D54" s="75"/>
      <c r="E54" s="75" t="s">
        <v>20</v>
      </c>
      <c r="F54" s="75" t="str">
        <f>IF(E54&lt;&gt;"", IFERROR(VLOOKUP(E54, Dashboard!$B29:$F34, 5, FALSE), ""), "")</f>
        <v/>
      </c>
      <c r="G54" s="76"/>
      <c r="H54" s="63"/>
      <c r="I54" s="63"/>
      <c r="J54" s="76"/>
      <c r="K54" s="76"/>
      <c r="L54" s="37"/>
      <c r="M54" s="37"/>
      <c r="N54" s="76"/>
      <c r="O54" s="76"/>
      <c r="P54" s="37"/>
      <c r="Q54" s="37" t="s">
        <v>20</v>
      </c>
      <c r="R54" s="76"/>
      <c r="S54" s="63"/>
      <c r="T54" s="76"/>
    </row>
    <row r="55" spans="2:20" x14ac:dyDescent="0.35">
      <c r="B55" s="35"/>
      <c r="C55" s="74"/>
      <c r="D55" s="75"/>
      <c r="E55" s="75"/>
      <c r="F55" s="75"/>
      <c r="G55" s="76"/>
      <c r="H55" s="63"/>
      <c r="I55" s="63"/>
      <c r="J55" s="76"/>
      <c r="K55" s="76"/>
      <c r="L55" s="37"/>
      <c r="M55" s="37"/>
      <c r="N55" s="76"/>
      <c r="O55" s="76"/>
      <c r="P55" s="37"/>
      <c r="Q55" s="37"/>
      <c r="R55" s="76"/>
      <c r="S55" s="63"/>
      <c r="T55" s="76"/>
    </row>
    <row r="56" spans="2:20" x14ac:dyDescent="0.35">
      <c r="B56" s="35"/>
      <c r="C56" s="74"/>
      <c r="D56" s="75"/>
      <c r="E56" s="75"/>
      <c r="F56" s="75"/>
      <c r="G56" s="76"/>
      <c r="H56" s="63"/>
      <c r="I56" s="63"/>
      <c r="J56" s="76"/>
      <c r="K56" s="76"/>
      <c r="L56" s="37"/>
      <c r="M56" s="37"/>
      <c r="N56" s="76"/>
      <c r="O56" s="76"/>
      <c r="P56" s="37"/>
      <c r="Q56" s="37"/>
      <c r="R56" s="76"/>
      <c r="S56" s="63"/>
      <c r="T56" s="76"/>
    </row>
    <row r="57" spans="2:20" x14ac:dyDescent="0.35">
      <c r="B57" s="35"/>
      <c r="C57" s="74"/>
      <c r="D57" s="75"/>
      <c r="E57" s="75"/>
      <c r="F57" s="75"/>
      <c r="G57" s="76"/>
      <c r="H57" s="63"/>
      <c r="I57" s="63"/>
      <c r="J57" s="76"/>
      <c r="K57" s="76"/>
      <c r="L57" s="37"/>
      <c r="M57" s="37"/>
      <c r="N57" s="76"/>
      <c r="O57" s="76"/>
      <c r="P57" s="37"/>
      <c r="Q57" s="37"/>
      <c r="R57" s="76"/>
      <c r="S57" s="63"/>
      <c r="T57" s="76"/>
    </row>
    <row r="58" spans="2:20" ht="32" customHeight="1" x14ac:dyDescent="0.35">
      <c r="B58" s="262" t="s">
        <v>1766</v>
      </c>
      <c r="C58" s="262"/>
      <c r="D58" s="262"/>
      <c r="E58" s="262"/>
      <c r="F58" s="262"/>
      <c r="G58" s="262"/>
      <c r="H58" s="63"/>
      <c r="I58" s="63"/>
      <c r="J58" s="76"/>
      <c r="K58" s="76"/>
      <c r="L58" s="37"/>
      <c r="M58" s="37"/>
      <c r="N58" s="76"/>
      <c r="O58" s="76"/>
      <c r="P58" s="37"/>
      <c r="Q58" s="37"/>
      <c r="R58" s="76"/>
      <c r="S58" s="63"/>
      <c r="T58" s="76"/>
    </row>
    <row r="59" spans="2:20" x14ac:dyDescent="0.35">
      <c r="B59" s="35"/>
      <c r="C59" s="74"/>
      <c r="D59" s="75"/>
      <c r="E59" s="75"/>
      <c r="F59" s="75"/>
      <c r="G59" s="76"/>
      <c r="H59" s="63"/>
      <c r="I59" s="63"/>
      <c r="J59" s="76"/>
      <c r="K59" s="76"/>
      <c r="L59" s="37"/>
      <c r="M59" s="37"/>
      <c r="N59" s="76"/>
      <c r="O59" s="76"/>
      <c r="P59" s="37"/>
      <c r="Q59" s="37"/>
      <c r="R59" s="76"/>
      <c r="S59" s="63"/>
      <c r="T59" s="76"/>
    </row>
    <row r="60" spans="2:20" x14ac:dyDescent="0.35">
      <c r="B60" s="35"/>
      <c r="C60" s="74"/>
      <c r="D60" s="75"/>
      <c r="E60" s="75"/>
      <c r="F60" s="75"/>
      <c r="G60" s="76"/>
      <c r="H60" s="63"/>
      <c r="I60" s="63"/>
      <c r="J60" s="76"/>
      <c r="K60" s="76"/>
      <c r="L60" s="37"/>
      <c r="M60" s="37"/>
      <c r="N60" s="76"/>
      <c r="O60" s="76"/>
      <c r="P60" s="37"/>
      <c r="Q60" s="37"/>
      <c r="R60" s="76"/>
      <c r="S60" s="63"/>
      <c r="T60" s="76"/>
    </row>
    <row r="61" spans="2:20" x14ac:dyDescent="0.35">
      <c r="B61" s="35"/>
      <c r="C61" s="74"/>
      <c r="D61" s="75"/>
      <c r="E61" s="75"/>
      <c r="F61" s="75"/>
      <c r="G61" s="76"/>
      <c r="H61" s="63"/>
      <c r="I61" s="63"/>
      <c r="J61" s="76"/>
      <c r="K61" s="76"/>
      <c r="L61" s="37"/>
      <c r="M61" s="37"/>
      <c r="N61" s="76"/>
      <c r="O61" s="76"/>
      <c r="P61" s="37"/>
      <c r="Q61" s="37"/>
      <c r="R61" s="76"/>
      <c r="S61" s="63"/>
      <c r="T61" s="76"/>
    </row>
    <row r="62" spans="2:20" x14ac:dyDescent="0.35">
      <c r="B62" s="35"/>
      <c r="C62" s="74"/>
      <c r="D62" s="75"/>
      <c r="E62" s="75"/>
      <c r="F62" s="75"/>
      <c r="G62" s="76"/>
      <c r="H62" s="63"/>
      <c r="I62" s="63"/>
      <c r="J62" s="76"/>
      <c r="K62" s="76"/>
      <c r="L62" s="37"/>
      <c r="M62" s="37"/>
      <c r="N62" s="76"/>
      <c r="O62" s="76"/>
      <c r="P62" s="37"/>
      <c r="Q62" s="37"/>
      <c r="R62" s="76"/>
      <c r="S62" s="63"/>
      <c r="T62" s="76"/>
    </row>
    <row r="63" spans="2:20" x14ac:dyDescent="0.35">
      <c r="B63" s="35"/>
      <c r="C63" s="74"/>
      <c r="D63" s="75"/>
      <c r="E63" s="75"/>
      <c r="F63" s="75"/>
      <c r="G63" s="76"/>
      <c r="H63" s="63"/>
      <c r="I63" s="63"/>
      <c r="J63" s="76"/>
      <c r="K63" s="76"/>
      <c r="L63" s="37"/>
      <c r="M63" s="37"/>
      <c r="N63" s="76"/>
      <c r="O63" s="76"/>
      <c r="P63" s="37"/>
      <c r="Q63" s="37"/>
      <c r="R63" s="76"/>
      <c r="S63" s="63"/>
      <c r="T63" s="76"/>
    </row>
    <row r="64" spans="2:20" x14ac:dyDescent="0.35">
      <c r="B64" s="35"/>
      <c r="C64" s="74"/>
      <c r="D64" s="75"/>
      <c r="E64" s="75"/>
      <c r="F64" s="75"/>
      <c r="G64" s="76"/>
      <c r="H64" s="63"/>
      <c r="I64" s="63"/>
      <c r="J64" s="76"/>
      <c r="K64" s="76"/>
      <c r="L64" s="37"/>
      <c r="M64" s="37"/>
      <c r="N64" s="76"/>
      <c r="O64" s="76"/>
      <c r="P64" s="37"/>
      <c r="Q64" s="37"/>
      <c r="R64" s="76"/>
      <c r="S64" s="63"/>
      <c r="T64" s="76"/>
    </row>
    <row r="65" spans="2:20" x14ac:dyDescent="0.35">
      <c r="B65" s="35"/>
      <c r="C65" s="74"/>
      <c r="D65" s="75"/>
      <c r="E65" s="75"/>
      <c r="F65" s="75"/>
      <c r="G65" s="76"/>
      <c r="H65" s="63"/>
      <c r="I65" s="63"/>
      <c r="J65" s="76"/>
      <c r="K65" s="76"/>
      <c r="L65" s="37"/>
      <c r="M65" s="37"/>
      <c r="N65" s="76"/>
      <c r="O65" s="76"/>
      <c r="P65" s="37"/>
      <c r="Q65" s="37"/>
      <c r="R65" s="76"/>
      <c r="S65" s="63"/>
      <c r="T65" s="76"/>
    </row>
    <row r="66" spans="2:20" x14ac:dyDescent="0.35">
      <c r="B66" s="35"/>
      <c r="C66" s="74"/>
      <c r="D66" s="75"/>
      <c r="E66" s="75"/>
      <c r="F66" s="75"/>
      <c r="G66" s="76"/>
      <c r="H66" s="63"/>
      <c r="I66" s="63"/>
      <c r="J66" s="76"/>
      <c r="K66" s="76"/>
      <c r="L66" s="37"/>
      <c r="M66" s="37"/>
      <c r="N66" s="76"/>
      <c r="O66" s="76"/>
      <c r="P66" s="37"/>
      <c r="Q66" s="37"/>
      <c r="R66" s="76"/>
      <c r="S66" s="63"/>
      <c r="T66" s="76"/>
    </row>
    <row r="67" spans="2:20" x14ac:dyDescent="0.35">
      <c r="B67" s="35"/>
      <c r="C67" s="74"/>
      <c r="D67" s="75"/>
      <c r="E67" s="75"/>
      <c r="F67" s="75"/>
      <c r="G67" s="76"/>
      <c r="H67" s="63"/>
      <c r="I67" s="63"/>
      <c r="J67" s="76"/>
      <c r="K67" s="76"/>
      <c r="L67" s="37"/>
      <c r="M67" s="37"/>
      <c r="N67" s="76"/>
      <c r="O67" s="76"/>
      <c r="P67" s="37"/>
      <c r="Q67" s="37"/>
      <c r="R67" s="76"/>
      <c r="S67" s="63"/>
      <c r="T67" s="76"/>
    </row>
    <row r="68" spans="2:20" x14ac:dyDescent="0.35">
      <c r="B68" s="35"/>
      <c r="C68" s="74"/>
      <c r="D68" s="75"/>
      <c r="E68" s="75"/>
      <c r="F68" s="75"/>
      <c r="G68" s="76"/>
      <c r="H68" s="63"/>
      <c r="I68" s="63"/>
      <c r="J68" s="76"/>
      <c r="K68" s="76"/>
      <c r="L68" s="37"/>
      <c r="M68" s="37"/>
      <c r="N68" s="76"/>
      <c r="O68" s="76"/>
      <c r="P68" s="37"/>
      <c r="Q68" s="37"/>
      <c r="R68" s="76"/>
      <c r="S68" s="63"/>
      <c r="T68" s="76"/>
    </row>
    <row r="69" spans="2:20" x14ac:dyDescent="0.35">
      <c r="B69" s="35"/>
      <c r="C69" s="74"/>
      <c r="D69" s="75"/>
      <c r="E69" s="75"/>
      <c r="F69" s="75"/>
      <c r="G69" s="76"/>
      <c r="H69" s="63"/>
      <c r="I69" s="63"/>
      <c r="J69" s="76"/>
      <c r="K69" s="76"/>
      <c r="L69" s="37"/>
      <c r="M69" s="37"/>
      <c r="N69" s="76"/>
      <c r="O69" s="76"/>
      <c r="P69" s="37"/>
      <c r="Q69" s="37"/>
      <c r="R69" s="76"/>
      <c r="S69" s="63"/>
      <c r="T69" s="76"/>
    </row>
    <row r="70" spans="2:20" x14ac:dyDescent="0.35">
      <c r="B70" s="35"/>
      <c r="C70" s="74"/>
      <c r="D70" s="75"/>
      <c r="E70" s="75"/>
      <c r="F70" s="75"/>
      <c r="G70" s="76"/>
      <c r="H70" s="63"/>
      <c r="I70" s="63"/>
      <c r="J70" s="76"/>
      <c r="K70" s="76"/>
      <c r="L70" s="37"/>
      <c r="M70" s="37"/>
      <c r="N70" s="76"/>
      <c r="O70" s="76"/>
      <c r="P70" s="37"/>
      <c r="Q70" s="37"/>
      <c r="R70" s="76"/>
      <c r="S70" s="63"/>
      <c r="T70" s="76"/>
    </row>
    <row r="71" spans="2:20" x14ac:dyDescent="0.35">
      <c r="B71" s="35"/>
      <c r="C71" s="74"/>
      <c r="D71" s="75"/>
      <c r="E71" s="75"/>
      <c r="F71" s="75"/>
      <c r="G71" s="76"/>
      <c r="H71" s="63"/>
      <c r="I71" s="63"/>
      <c r="J71" s="76"/>
      <c r="K71" s="76"/>
      <c r="L71" s="37"/>
      <c r="M71" s="37"/>
      <c r="N71" s="76"/>
      <c r="O71" s="76"/>
      <c r="P71" s="37"/>
      <c r="Q71" s="37"/>
      <c r="R71" s="76"/>
      <c r="S71" s="63"/>
      <c r="T71" s="76"/>
    </row>
    <row r="72" spans="2:20" x14ac:dyDescent="0.35">
      <c r="B72" s="35"/>
      <c r="C72" s="74"/>
      <c r="D72" s="75"/>
      <c r="E72" s="75"/>
      <c r="F72" s="75"/>
      <c r="G72" s="76"/>
      <c r="H72" s="63"/>
      <c r="I72" s="63"/>
      <c r="J72" s="76"/>
      <c r="K72" s="76"/>
      <c r="L72" s="37"/>
      <c r="M72" s="37"/>
      <c r="N72" s="76"/>
      <c r="O72" s="76"/>
      <c r="P72" s="37"/>
      <c r="Q72" s="37"/>
      <c r="R72" s="76"/>
      <c r="S72" s="63"/>
      <c r="T72" s="76"/>
    </row>
    <row r="73" spans="2:20" x14ac:dyDescent="0.35">
      <c r="B73" s="35"/>
      <c r="C73" s="74"/>
      <c r="D73" s="75"/>
      <c r="E73" s="75"/>
      <c r="F73" s="75"/>
      <c r="G73" s="76"/>
      <c r="H73" s="63"/>
      <c r="I73" s="63"/>
      <c r="J73" s="76"/>
      <c r="K73" s="76"/>
      <c r="L73" s="37"/>
      <c r="M73" s="37"/>
      <c r="N73" s="76"/>
      <c r="O73" s="76"/>
      <c r="P73" s="37"/>
      <c r="Q73" s="37"/>
      <c r="R73" s="76"/>
      <c r="S73" s="63"/>
      <c r="T73" s="76"/>
    </row>
    <row r="74" spans="2:20" x14ac:dyDescent="0.35">
      <c r="B74" s="35"/>
      <c r="C74" s="74"/>
      <c r="D74" s="75"/>
      <c r="E74" s="75"/>
      <c r="F74" s="75"/>
      <c r="G74" s="76"/>
      <c r="H74" s="63"/>
      <c r="I74" s="63"/>
      <c r="J74" s="76"/>
      <c r="K74" s="76"/>
      <c r="L74" s="37"/>
      <c r="M74" s="37"/>
      <c r="N74" s="76"/>
      <c r="O74" s="76"/>
      <c r="P74" s="37"/>
      <c r="Q74" s="37"/>
      <c r="R74" s="76"/>
      <c r="S74" s="63"/>
      <c r="T74" s="76"/>
    </row>
    <row r="75" spans="2:20" x14ac:dyDescent="0.35">
      <c r="B75" s="35"/>
      <c r="C75" s="74"/>
      <c r="D75" s="75"/>
      <c r="E75" s="75"/>
      <c r="F75" s="75"/>
      <c r="G75" s="76"/>
      <c r="H75" s="63"/>
      <c r="I75" s="63"/>
      <c r="J75" s="76"/>
      <c r="K75" s="76"/>
      <c r="L75" s="37"/>
      <c r="M75" s="37"/>
      <c r="N75" s="76"/>
      <c r="O75" s="76"/>
      <c r="P75" s="37"/>
      <c r="Q75" s="37"/>
      <c r="R75" s="76"/>
      <c r="S75" s="63"/>
      <c r="T75" s="76"/>
    </row>
    <row r="76" spans="2:20" x14ac:dyDescent="0.35">
      <c r="B76" s="35"/>
      <c r="C76" s="74"/>
      <c r="D76" s="75"/>
      <c r="E76" s="75"/>
      <c r="F76" s="75"/>
      <c r="G76" s="76"/>
      <c r="H76" s="63"/>
      <c r="I76" s="63"/>
      <c r="J76" s="76"/>
      <c r="K76" s="76"/>
      <c r="L76" s="37"/>
      <c r="M76" s="37"/>
      <c r="N76" s="76"/>
      <c r="O76" s="76"/>
      <c r="P76" s="37"/>
      <c r="Q76" s="37"/>
      <c r="R76" s="76"/>
      <c r="S76" s="63"/>
      <c r="T76" s="76"/>
    </row>
    <row r="77" spans="2:20" x14ac:dyDescent="0.35">
      <c r="B77" s="35"/>
      <c r="C77" s="74"/>
      <c r="D77" s="75"/>
      <c r="E77" s="75"/>
      <c r="F77" s="75"/>
      <c r="G77" s="76"/>
      <c r="H77" s="63"/>
      <c r="I77" s="63"/>
      <c r="J77" s="76"/>
      <c r="K77" s="76"/>
      <c r="L77" s="37"/>
      <c r="M77" s="37"/>
      <c r="N77" s="76"/>
      <c r="O77" s="76"/>
      <c r="P77" s="37"/>
      <c r="Q77" s="37"/>
      <c r="R77" s="76"/>
      <c r="S77" s="63"/>
      <c r="T77" s="76"/>
    </row>
    <row r="78" spans="2:20" x14ac:dyDescent="0.35">
      <c r="B78" s="35"/>
      <c r="C78" s="74"/>
      <c r="D78" s="75"/>
      <c r="E78" s="75"/>
      <c r="F78" s="75"/>
      <c r="G78" s="76"/>
      <c r="H78" s="63"/>
      <c r="I78" s="63"/>
      <c r="J78" s="76"/>
      <c r="K78" s="76"/>
      <c r="L78" s="37"/>
      <c r="M78" s="37"/>
      <c r="N78" s="76"/>
      <c r="O78" s="76"/>
      <c r="P78" s="37"/>
      <c r="Q78" s="37"/>
      <c r="R78" s="76"/>
      <c r="S78" s="63"/>
      <c r="T78" s="76"/>
    </row>
    <row r="79" spans="2:20" x14ac:dyDescent="0.35">
      <c r="B79" s="35"/>
      <c r="C79" s="74"/>
      <c r="D79" s="75"/>
      <c r="E79" s="75"/>
      <c r="F79" s="75"/>
      <c r="G79" s="76"/>
      <c r="H79" s="63"/>
      <c r="I79" s="63"/>
      <c r="J79" s="76"/>
      <c r="K79" s="76"/>
      <c r="L79" s="37"/>
      <c r="M79" s="37"/>
      <c r="N79" s="76"/>
      <c r="O79" s="76"/>
      <c r="P79" s="37"/>
      <c r="Q79" s="37"/>
      <c r="R79" s="76"/>
      <c r="S79" s="63"/>
      <c r="T79" s="76"/>
    </row>
    <row r="80" spans="2:20" x14ac:dyDescent="0.35">
      <c r="B80" s="35"/>
      <c r="C80" s="74"/>
      <c r="D80" s="75"/>
      <c r="E80" s="75"/>
      <c r="F80" s="75"/>
      <c r="G80" s="76"/>
      <c r="H80" s="63"/>
      <c r="I80" s="63"/>
      <c r="J80" s="76"/>
      <c r="K80" s="76"/>
      <c r="L80" s="37"/>
      <c r="M80" s="37"/>
      <c r="N80" s="76"/>
      <c r="O80" s="76"/>
      <c r="P80" s="37"/>
      <c r="Q80" s="37"/>
      <c r="R80" s="76"/>
      <c r="S80" s="63"/>
      <c r="T80" s="76"/>
    </row>
    <row r="81" spans="2:20" x14ac:dyDescent="0.35">
      <c r="B81" s="35"/>
      <c r="C81" s="74"/>
      <c r="D81" s="75"/>
      <c r="E81" s="75"/>
      <c r="F81" s="75"/>
      <c r="G81" s="76"/>
      <c r="H81" s="63"/>
      <c r="I81" s="63"/>
      <c r="J81" s="76"/>
      <c r="K81" s="76"/>
      <c r="L81" s="37"/>
      <c r="M81" s="37"/>
      <c r="N81" s="76"/>
      <c r="O81" s="76"/>
      <c r="P81" s="37"/>
      <c r="Q81" s="37"/>
      <c r="R81" s="76"/>
      <c r="S81" s="63"/>
      <c r="T81" s="76"/>
    </row>
    <row r="82" spans="2:20" x14ac:dyDescent="0.35">
      <c r="B82" s="35"/>
      <c r="C82" s="74"/>
      <c r="D82" s="75"/>
      <c r="E82" s="75"/>
      <c r="F82" s="75"/>
      <c r="G82" s="76"/>
      <c r="H82" s="63"/>
      <c r="I82" s="63"/>
      <c r="J82" s="76"/>
      <c r="K82" s="76"/>
      <c r="L82" s="37"/>
      <c r="M82" s="37"/>
      <c r="N82" s="76"/>
      <c r="O82" s="76"/>
      <c r="P82" s="37"/>
      <c r="Q82" s="37"/>
      <c r="R82" s="76"/>
      <c r="S82" s="63"/>
      <c r="T82" s="76"/>
    </row>
    <row r="83" spans="2:20" x14ac:dyDescent="0.35">
      <c r="B83" s="35"/>
      <c r="C83" s="74"/>
      <c r="D83" s="75"/>
      <c r="E83" s="75"/>
      <c r="F83" s="75"/>
      <c r="G83" s="76"/>
      <c r="H83" s="63"/>
      <c r="I83" s="63"/>
      <c r="J83" s="76"/>
      <c r="K83" s="76"/>
      <c r="L83" s="37"/>
      <c r="M83" s="37"/>
      <c r="N83" s="76"/>
      <c r="O83" s="76"/>
      <c r="P83" s="37"/>
      <c r="Q83" s="37"/>
      <c r="R83" s="76"/>
      <c r="S83" s="63"/>
      <c r="T83" s="76"/>
    </row>
    <row r="84" spans="2:20" x14ac:dyDescent="0.35">
      <c r="B84" s="35"/>
      <c r="C84" s="74"/>
      <c r="D84" s="75"/>
      <c r="E84" s="75"/>
      <c r="F84" s="75"/>
      <c r="G84" s="76"/>
      <c r="H84" s="63"/>
      <c r="I84" s="63"/>
      <c r="J84" s="76"/>
      <c r="K84" s="76"/>
      <c r="L84" s="37"/>
      <c r="M84" s="37"/>
      <c r="N84" s="76"/>
      <c r="O84" s="76"/>
      <c r="P84" s="37"/>
      <c r="Q84" s="37"/>
      <c r="R84" s="76"/>
      <c r="S84" s="63"/>
      <c r="T84" s="76"/>
    </row>
    <row r="85" spans="2:20" x14ac:dyDescent="0.35">
      <c r="B85" s="35"/>
      <c r="C85" s="74"/>
      <c r="D85" s="75"/>
      <c r="E85" s="75"/>
      <c r="F85" s="75"/>
      <c r="G85" s="76"/>
      <c r="H85" s="63"/>
      <c r="I85" s="63"/>
      <c r="J85" s="76"/>
      <c r="K85" s="76"/>
      <c r="L85" s="37"/>
      <c r="M85" s="37"/>
      <c r="N85" s="76"/>
      <c r="O85" s="76"/>
      <c r="P85" s="37"/>
      <c r="Q85" s="37"/>
      <c r="R85" s="76"/>
      <c r="S85" s="63"/>
      <c r="T85" s="76"/>
    </row>
    <row r="86" spans="2:20" x14ac:dyDescent="0.35">
      <c r="B86" s="35"/>
      <c r="C86" s="74"/>
      <c r="D86" s="75"/>
      <c r="E86" s="75"/>
      <c r="F86" s="75"/>
      <c r="G86" s="76"/>
      <c r="H86" s="63"/>
      <c r="I86" s="63"/>
      <c r="J86" s="76"/>
      <c r="K86" s="76"/>
      <c r="L86" s="37"/>
      <c r="M86" s="37"/>
      <c r="N86" s="76"/>
      <c r="O86" s="76"/>
      <c r="P86" s="37"/>
      <c r="Q86" s="37"/>
      <c r="R86" s="76"/>
      <c r="S86" s="63"/>
      <c r="T86" s="76"/>
    </row>
    <row r="87" spans="2:20" x14ac:dyDescent="0.35">
      <c r="B87" s="35"/>
      <c r="C87" s="74"/>
      <c r="D87" s="75"/>
      <c r="E87" s="75"/>
      <c r="F87" s="75"/>
      <c r="G87" s="76"/>
      <c r="H87" s="63"/>
      <c r="I87" s="63"/>
      <c r="J87" s="76"/>
      <c r="K87" s="76"/>
      <c r="L87" s="37"/>
      <c r="M87" s="37"/>
      <c r="N87" s="76"/>
      <c r="O87" s="76"/>
      <c r="P87" s="37"/>
      <c r="Q87" s="37"/>
      <c r="R87" s="76"/>
      <c r="S87" s="63"/>
      <c r="T87" s="76"/>
    </row>
    <row r="88" spans="2:20" x14ac:dyDescent="0.35">
      <c r="B88" s="35"/>
      <c r="C88" s="74"/>
      <c r="D88" s="75"/>
      <c r="E88" s="75"/>
      <c r="F88" s="75"/>
      <c r="G88" s="76"/>
      <c r="H88" s="63"/>
      <c r="I88" s="63"/>
      <c r="J88" s="76"/>
      <c r="K88" s="76"/>
      <c r="L88" s="37"/>
      <c r="M88" s="37"/>
      <c r="N88" s="76"/>
      <c r="O88" s="76"/>
      <c r="P88" s="37"/>
      <c r="Q88" s="37"/>
      <c r="R88" s="76"/>
      <c r="S88" s="63"/>
      <c r="T88" s="76"/>
    </row>
    <row r="89" spans="2:20" x14ac:dyDescent="0.35">
      <c r="B89" s="35"/>
      <c r="C89" s="74"/>
      <c r="D89" s="75"/>
      <c r="E89" s="75"/>
      <c r="F89" s="75"/>
      <c r="G89" s="76"/>
      <c r="H89" s="63"/>
      <c r="I89" s="63"/>
      <c r="J89" s="76"/>
      <c r="K89" s="76"/>
      <c r="L89" s="37"/>
      <c r="M89" s="37"/>
      <c r="N89" s="76"/>
      <c r="O89" s="76"/>
      <c r="P89" s="37"/>
      <c r="Q89" s="37"/>
      <c r="R89" s="76"/>
      <c r="S89" s="63"/>
      <c r="T89" s="76"/>
    </row>
    <row r="90" spans="2:20" x14ac:dyDescent="0.35">
      <c r="B90" s="35"/>
      <c r="C90" s="74"/>
      <c r="D90" s="75"/>
      <c r="E90" s="75"/>
      <c r="F90" s="75"/>
      <c r="G90" s="76"/>
      <c r="H90" s="63"/>
      <c r="I90" s="63"/>
      <c r="J90" s="76"/>
      <c r="K90" s="76"/>
      <c r="L90" s="37"/>
      <c r="M90" s="37"/>
      <c r="N90" s="76"/>
      <c r="O90" s="76"/>
      <c r="P90" s="37"/>
      <c r="Q90" s="37"/>
      <c r="R90" s="76"/>
      <c r="S90" s="63"/>
      <c r="T90" s="76"/>
    </row>
    <row r="91" spans="2:20" x14ac:dyDescent="0.35">
      <c r="B91" s="35"/>
      <c r="C91" s="74"/>
      <c r="D91" s="75"/>
      <c r="E91" s="75"/>
      <c r="F91" s="75"/>
      <c r="G91" s="76"/>
      <c r="H91" s="63"/>
      <c r="I91" s="63"/>
      <c r="J91" s="76"/>
      <c r="K91" s="76"/>
      <c r="L91" s="37"/>
      <c r="M91" s="37"/>
      <c r="N91" s="76"/>
      <c r="O91" s="76"/>
      <c r="P91" s="37"/>
      <c r="Q91" s="37"/>
      <c r="R91" s="76"/>
      <c r="S91" s="63"/>
      <c r="T91" s="76"/>
    </row>
    <row r="92" spans="2:20" x14ac:dyDescent="0.35">
      <c r="B92" s="35"/>
      <c r="C92" s="74"/>
      <c r="D92" s="75"/>
      <c r="E92" s="75"/>
      <c r="F92" s="75"/>
      <c r="G92" s="76"/>
      <c r="H92" s="63"/>
      <c r="I92" s="63"/>
      <c r="J92" s="76"/>
      <c r="K92" s="76"/>
      <c r="L92" s="37"/>
      <c r="M92" s="37"/>
      <c r="N92" s="76"/>
      <c r="O92" s="76"/>
      <c r="P92" s="37"/>
      <c r="Q92" s="37"/>
      <c r="R92" s="76"/>
      <c r="S92" s="63"/>
      <c r="T92" s="76"/>
    </row>
    <row r="93" spans="2:20" x14ac:dyDescent="0.35">
      <c r="B93" s="35"/>
      <c r="C93" s="74"/>
      <c r="D93" s="75"/>
      <c r="E93" s="75"/>
      <c r="F93" s="75"/>
      <c r="G93" s="76"/>
      <c r="H93" s="63"/>
      <c r="I93" s="63"/>
      <c r="J93" s="76"/>
      <c r="K93" s="76"/>
      <c r="L93" s="37"/>
      <c r="M93" s="37"/>
      <c r="N93" s="76"/>
      <c r="O93" s="76"/>
      <c r="P93" s="37"/>
      <c r="Q93" s="37"/>
      <c r="R93" s="76"/>
      <c r="S93" s="63"/>
      <c r="T93" s="76"/>
    </row>
    <row r="94" spans="2:20" x14ac:dyDescent="0.35">
      <c r="B94" s="35"/>
      <c r="C94" s="74"/>
      <c r="D94" s="75"/>
      <c r="E94" s="75"/>
      <c r="F94" s="75"/>
      <c r="G94" s="76"/>
      <c r="H94" s="63"/>
      <c r="I94" s="63"/>
      <c r="J94" s="76"/>
      <c r="K94" s="76"/>
      <c r="L94" s="37"/>
      <c r="M94" s="37"/>
      <c r="N94" s="76"/>
      <c r="O94" s="76"/>
      <c r="P94" s="37"/>
      <c r="Q94" s="37"/>
      <c r="R94" s="76"/>
      <c r="S94" s="63"/>
      <c r="T94" s="76"/>
    </row>
    <row r="95" spans="2:20" x14ac:dyDescent="0.35">
      <c r="B95" s="35"/>
      <c r="C95" s="74"/>
      <c r="D95" s="75"/>
      <c r="E95" s="75"/>
      <c r="F95" s="75"/>
      <c r="G95" s="76"/>
      <c r="H95" s="63"/>
      <c r="I95" s="63"/>
      <c r="J95" s="76"/>
      <c r="K95" s="76"/>
      <c r="L95" s="37"/>
      <c r="M95" s="37"/>
      <c r="N95" s="76"/>
      <c r="O95" s="76"/>
      <c r="P95" s="37"/>
      <c r="Q95" s="37"/>
      <c r="R95" s="76"/>
      <c r="S95" s="63"/>
      <c r="T95" s="76"/>
    </row>
    <row r="96" spans="2:20" x14ac:dyDescent="0.35">
      <c r="B96" s="35"/>
      <c r="C96" s="74"/>
      <c r="D96" s="75"/>
      <c r="E96" s="75"/>
      <c r="F96" s="75"/>
      <c r="G96" s="76"/>
      <c r="H96" s="63"/>
      <c r="I96" s="63"/>
      <c r="J96" s="76"/>
      <c r="K96" s="76"/>
      <c r="L96" s="37"/>
      <c r="M96" s="37"/>
      <c r="N96" s="76"/>
      <c r="O96" s="76"/>
      <c r="P96" s="37"/>
      <c r="Q96" s="37"/>
      <c r="R96" s="76"/>
      <c r="S96" s="63"/>
      <c r="T96" s="76"/>
    </row>
    <row r="97" spans="2:20" x14ac:dyDescent="0.35">
      <c r="B97" s="35"/>
      <c r="C97" s="74"/>
      <c r="D97" s="75"/>
      <c r="E97" s="75"/>
      <c r="F97" s="75"/>
      <c r="G97" s="76"/>
      <c r="H97" s="63"/>
      <c r="I97" s="63"/>
      <c r="J97" s="76"/>
      <c r="K97" s="76"/>
      <c r="L97" s="37"/>
      <c r="M97" s="37"/>
      <c r="N97" s="76"/>
      <c r="O97" s="76"/>
      <c r="P97" s="37"/>
      <c r="Q97" s="37"/>
      <c r="R97" s="76"/>
      <c r="S97" s="63"/>
      <c r="T97" s="76"/>
    </row>
    <row r="98" spans="2:20" x14ac:dyDescent="0.35">
      <c r="B98" s="35"/>
      <c r="C98" s="74"/>
      <c r="D98" s="75"/>
      <c r="E98" s="75"/>
      <c r="F98" s="75"/>
      <c r="G98" s="76"/>
      <c r="H98" s="63"/>
      <c r="I98" s="63"/>
      <c r="J98" s="76"/>
      <c r="K98" s="76"/>
      <c r="L98" s="37"/>
      <c r="M98" s="37"/>
      <c r="N98" s="76"/>
      <c r="O98" s="76"/>
      <c r="P98" s="37"/>
      <c r="Q98" s="37"/>
      <c r="R98" s="76"/>
      <c r="S98" s="63"/>
      <c r="T98" s="76"/>
    </row>
    <row r="99" spans="2:20" x14ac:dyDescent="0.35">
      <c r="B99" s="35"/>
      <c r="C99" s="74"/>
      <c r="D99" s="75"/>
      <c r="E99" s="75"/>
      <c r="F99" s="75"/>
      <c r="G99" s="76"/>
      <c r="H99" s="63"/>
      <c r="I99" s="63"/>
      <c r="J99" s="76"/>
      <c r="K99" s="76"/>
      <c r="L99" s="37"/>
      <c r="M99" s="37"/>
      <c r="N99" s="76"/>
      <c r="O99" s="76"/>
      <c r="P99" s="37"/>
      <c r="Q99" s="37"/>
      <c r="R99" s="76"/>
      <c r="S99" s="63"/>
      <c r="T99" s="76"/>
    </row>
    <row r="100" spans="2:20" x14ac:dyDescent="0.35">
      <c r="B100" s="35"/>
      <c r="C100" s="74"/>
      <c r="D100" s="75"/>
      <c r="E100" s="75"/>
      <c r="F100" s="75"/>
      <c r="G100" s="76"/>
      <c r="H100" s="63"/>
      <c r="I100" s="63"/>
      <c r="J100" s="76"/>
      <c r="K100" s="76"/>
      <c r="L100" s="37"/>
      <c r="M100" s="37"/>
      <c r="N100" s="76"/>
      <c r="O100" s="76"/>
      <c r="P100" s="37"/>
      <c r="Q100" s="37"/>
      <c r="R100" s="76"/>
      <c r="S100" s="63"/>
      <c r="T100" s="76"/>
    </row>
    <row r="101" spans="2:20" x14ac:dyDescent="0.35">
      <c r="B101" s="35"/>
      <c r="C101" s="74"/>
      <c r="D101" s="75"/>
      <c r="E101" s="75"/>
      <c r="F101" s="75"/>
      <c r="G101" s="76"/>
      <c r="H101" s="63"/>
      <c r="I101" s="63"/>
      <c r="J101" s="76"/>
      <c r="K101" s="76"/>
      <c r="L101" s="37"/>
      <c r="M101" s="37"/>
      <c r="N101" s="76"/>
      <c r="O101" s="76"/>
      <c r="P101" s="37"/>
      <c r="Q101" s="37"/>
      <c r="R101" s="76"/>
      <c r="S101" s="63"/>
      <c r="T101" s="76"/>
    </row>
    <row r="102" spans="2:20" x14ac:dyDescent="0.35">
      <c r="B102" s="35"/>
      <c r="C102" s="74"/>
      <c r="D102" s="75"/>
      <c r="E102" s="75"/>
      <c r="F102" s="75"/>
      <c r="G102" s="76"/>
      <c r="H102" s="63"/>
      <c r="I102" s="63"/>
      <c r="J102" s="76"/>
      <c r="K102" s="76"/>
      <c r="L102" s="37"/>
      <c r="M102" s="37"/>
      <c r="N102" s="76"/>
      <c r="O102" s="76"/>
      <c r="P102" s="37"/>
      <c r="Q102" s="37"/>
      <c r="R102" s="76"/>
      <c r="S102" s="63"/>
      <c r="T102" s="76"/>
    </row>
    <row r="103" spans="2:20" x14ac:dyDescent="0.35">
      <c r="B103" s="35"/>
      <c r="C103" s="74"/>
      <c r="D103" s="75"/>
      <c r="E103" s="75"/>
      <c r="F103" s="75"/>
      <c r="G103" s="76"/>
      <c r="H103" s="63"/>
      <c r="I103" s="63"/>
      <c r="J103" s="76"/>
      <c r="K103" s="76"/>
      <c r="L103" s="37"/>
      <c r="M103" s="37"/>
      <c r="N103" s="76"/>
      <c r="O103" s="76"/>
      <c r="P103" s="37"/>
      <c r="Q103" s="37"/>
      <c r="R103" s="76"/>
      <c r="S103" s="63"/>
      <c r="T103" s="76"/>
    </row>
    <row r="104" spans="2:20" x14ac:dyDescent="0.35">
      <c r="B104" s="35"/>
      <c r="C104" s="74"/>
      <c r="D104" s="75"/>
      <c r="E104" s="75"/>
      <c r="F104" s="75"/>
      <c r="G104" s="76"/>
      <c r="H104" s="63"/>
      <c r="I104" s="63"/>
      <c r="J104" s="76"/>
      <c r="K104" s="76"/>
      <c r="L104" s="37"/>
      <c r="M104" s="37"/>
      <c r="N104" s="76"/>
      <c r="O104" s="76"/>
      <c r="P104" s="37"/>
      <c r="Q104" s="37"/>
      <c r="R104" s="76"/>
      <c r="S104" s="63"/>
      <c r="T104" s="76"/>
    </row>
    <row r="105" spans="2:20" x14ac:dyDescent="0.35">
      <c r="B105" s="35"/>
      <c r="C105" s="74"/>
      <c r="D105" s="75"/>
      <c r="E105" s="75"/>
      <c r="F105" s="75"/>
      <c r="G105" s="76"/>
      <c r="H105" s="63"/>
      <c r="I105" s="63"/>
      <c r="J105" s="76"/>
      <c r="K105" s="76"/>
      <c r="L105" s="37"/>
      <c r="M105" s="37"/>
      <c r="N105" s="76"/>
      <c r="O105" s="76"/>
      <c r="P105" s="37"/>
      <c r="Q105" s="37"/>
      <c r="R105" s="76"/>
      <c r="S105" s="63"/>
      <c r="T105" s="76"/>
    </row>
    <row r="106" spans="2:20" x14ac:dyDescent="0.35">
      <c r="B106" s="35"/>
      <c r="C106" s="74"/>
      <c r="D106" s="75"/>
      <c r="E106" s="75"/>
      <c r="F106" s="75"/>
      <c r="G106" s="76"/>
      <c r="H106" s="63"/>
      <c r="I106" s="63"/>
      <c r="J106" s="76"/>
      <c r="K106" s="76"/>
      <c r="L106" s="37"/>
      <c r="M106" s="37"/>
      <c r="N106" s="76"/>
      <c r="O106" s="76"/>
      <c r="P106" s="37"/>
      <c r="Q106" s="37"/>
      <c r="R106" s="76"/>
      <c r="S106" s="63"/>
      <c r="T106" s="76"/>
    </row>
    <row r="107" spans="2:20" x14ac:dyDescent="0.35">
      <c r="B107" s="35"/>
      <c r="C107" s="74"/>
      <c r="D107" s="75"/>
      <c r="E107" s="75"/>
      <c r="F107" s="75"/>
      <c r="G107" s="76"/>
      <c r="H107" s="63"/>
      <c r="I107" s="63"/>
      <c r="J107" s="76"/>
      <c r="K107" s="76"/>
      <c r="L107" s="37"/>
      <c r="M107" s="37"/>
      <c r="N107" s="76"/>
      <c r="O107" s="76"/>
      <c r="P107" s="37"/>
      <c r="Q107" s="37"/>
      <c r="R107" s="76"/>
      <c r="S107" s="63"/>
      <c r="T107" s="76"/>
    </row>
    <row r="108" spans="2:20" x14ac:dyDescent="0.35">
      <c r="B108" s="35"/>
      <c r="C108" s="74"/>
      <c r="D108" s="75"/>
      <c r="E108" s="75"/>
      <c r="F108" s="75"/>
      <c r="G108" s="76"/>
      <c r="H108" s="63"/>
      <c r="I108" s="63"/>
      <c r="J108" s="76"/>
      <c r="K108" s="76"/>
      <c r="L108" s="37"/>
      <c r="M108" s="37"/>
      <c r="N108" s="76"/>
      <c r="O108" s="76"/>
      <c r="P108" s="37"/>
      <c r="Q108" s="37"/>
      <c r="R108" s="76"/>
      <c r="S108" s="63"/>
      <c r="T108" s="76"/>
    </row>
    <row r="109" spans="2:20" x14ac:dyDescent="0.35">
      <c r="B109" s="35"/>
      <c r="C109" s="74"/>
      <c r="D109" s="75"/>
      <c r="E109" s="75"/>
      <c r="F109" s="75"/>
      <c r="G109" s="76"/>
      <c r="H109" s="63"/>
      <c r="I109" s="63"/>
      <c r="J109" s="76"/>
      <c r="K109" s="76"/>
      <c r="L109" s="37"/>
      <c r="M109" s="37"/>
      <c r="N109" s="76"/>
      <c r="O109" s="76"/>
      <c r="P109" s="37"/>
      <c r="Q109" s="37"/>
      <c r="R109" s="76"/>
      <c r="S109" s="63"/>
      <c r="T109" s="76"/>
    </row>
    <row r="110" spans="2:20" x14ac:dyDescent="0.35">
      <c r="B110" s="35"/>
      <c r="C110" s="74"/>
      <c r="D110" s="75"/>
      <c r="E110" s="75"/>
      <c r="F110" s="75"/>
      <c r="G110" s="76"/>
      <c r="H110" s="63"/>
      <c r="I110" s="63"/>
      <c r="J110" s="76"/>
      <c r="K110" s="76"/>
      <c r="L110" s="37"/>
      <c r="M110" s="37"/>
      <c r="N110" s="76"/>
      <c r="O110" s="76"/>
      <c r="P110" s="37"/>
      <c r="Q110" s="37"/>
      <c r="R110" s="76"/>
      <c r="S110" s="63"/>
      <c r="T110" s="76"/>
    </row>
    <row r="111" spans="2:20" x14ac:dyDescent="0.35">
      <c r="B111" s="35"/>
      <c r="C111" s="74"/>
      <c r="D111" s="75"/>
      <c r="E111" s="75"/>
      <c r="F111" s="75"/>
      <c r="G111" s="76"/>
      <c r="H111" s="63"/>
      <c r="I111" s="63"/>
      <c r="J111" s="76"/>
      <c r="K111" s="76"/>
      <c r="L111" s="37"/>
      <c r="M111" s="37"/>
      <c r="N111" s="76"/>
      <c r="O111" s="76"/>
      <c r="P111" s="37"/>
      <c r="Q111" s="37"/>
      <c r="R111" s="76"/>
      <c r="S111" s="63"/>
      <c r="T111" s="76"/>
    </row>
    <row r="112" spans="2:20" x14ac:dyDescent="0.35">
      <c r="B112" s="35"/>
      <c r="C112" s="74"/>
      <c r="D112" s="75"/>
      <c r="E112" s="75"/>
      <c r="F112" s="75"/>
      <c r="G112" s="76"/>
      <c r="H112" s="63"/>
      <c r="I112" s="63"/>
      <c r="J112" s="76"/>
      <c r="K112" s="76"/>
      <c r="L112" s="37"/>
      <c r="M112" s="37"/>
      <c r="N112" s="76"/>
      <c r="O112" s="76"/>
      <c r="P112" s="37"/>
      <c r="Q112" s="37"/>
      <c r="R112" s="76"/>
      <c r="S112" s="63"/>
      <c r="T112" s="76"/>
    </row>
    <row r="113" spans="2:20" x14ac:dyDescent="0.35">
      <c r="B113" s="35"/>
      <c r="C113" s="74"/>
      <c r="D113" s="75"/>
      <c r="E113" s="75"/>
      <c r="F113" s="75"/>
      <c r="G113" s="76"/>
      <c r="H113" s="63"/>
      <c r="I113" s="63"/>
      <c r="J113" s="76"/>
      <c r="K113" s="76"/>
      <c r="L113" s="37"/>
      <c r="M113" s="37"/>
      <c r="N113" s="76"/>
      <c r="O113" s="76"/>
      <c r="P113" s="37"/>
      <c r="Q113" s="37"/>
      <c r="R113" s="76"/>
      <c r="S113" s="63"/>
      <c r="T113" s="76"/>
    </row>
    <row r="114" spans="2:20" x14ac:dyDescent="0.35">
      <c r="B114" s="35"/>
      <c r="C114" s="74"/>
      <c r="D114" s="75"/>
      <c r="E114" s="75"/>
      <c r="F114" s="75"/>
      <c r="G114" s="76"/>
      <c r="H114" s="63"/>
      <c r="I114" s="63"/>
      <c r="J114" s="76"/>
      <c r="K114" s="76"/>
      <c r="L114" s="37"/>
      <c r="M114" s="37"/>
      <c r="N114" s="76"/>
      <c r="O114" s="76"/>
      <c r="P114" s="37"/>
      <c r="Q114" s="37"/>
      <c r="R114" s="76"/>
      <c r="S114" s="63"/>
      <c r="T114" s="76"/>
    </row>
    <row r="115" spans="2:20" x14ac:dyDescent="0.35">
      <c r="B115" s="35"/>
      <c r="C115" s="74"/>
      <c r="D115" s="75"/>
      <c r="E115" s="75"/>
      <c r="F115" s="75"/>
      <c r="G115" s="76"/>
      <c r="H115" s="63"/>
      <c r="I115" s="63"/>
      <c r="J115" s="76"/>
      <c r="K115" s="76"/>
      <c r="L115" s="37"/>
      <c r="M115" s="37"/>
      <c r="N115" s="76"/>
      <c r="O115" s="76"/>
      <c r="P115" s="37"/>
      <c r="Q115" s="37"/>
      <c r="R115" s="76"/>
      <c r="S115" s="63"/>
      <c r="T115" s="76"/>
    </row>
    <row r="116" spans="2:20" x14ac:dyDescent="0.35">
      <c r="B116" s="35"/>
      <c r="C116" s="74"/>
      <c r="D116" s="75"/>
      <c r="E116" s="75"/>
      <c r="F116" s="75"/>
      <c r="G116" s="76"/>
      <c r="H116" s="63"/>
      <c r="I116" s="63"/>
      <c r="J116" s="76"/>
      <c r="K116" s="76"/>
      <c r="L116" s="37"/>
      <c r="M116" s="37"/>
      <c r="N116" s="76"/>
      <c r="O116" s="76"/>
      <c r="P116" s="37"/>
      <c r="Q116" s="37"/>
      <c r="R116" s="76"/>
      <c r="S116" s="63"/>
      <c r="T116" s="76"/>
    </row>
    <row r="117" spans="2:20" x14ac:dyDescent="0.35">
      <c r="B117" s="35"/>
      <c r="C117" s="74"/>
      <c r="D117" s="75"/>
      <c r="E117" s="75"/>
      <c r="F117" s="75"/>
      <c r="G117" s="76"/>
      <c r="H117" s="63"/>
      <c r="I117" s="63"/>
      <c r="J117" s="76"/>
      <c r="K117" s="76"/>
      <c r="L117" s="37"/>
      <c r="M117" s="37"/>
      <c r="N117" s="76"/>
      <c r="O117" s="76"/>
      <c r="P117" s="37"/>
      <c r="Q117" s="37"/>
      <c r="R117" s="76"/>
      <c r="S117" s="63"/>
      <c r="T117" s="76"/>
    </row>
    <row r="118" spans="2:20" x14ac:dyDescent="0.35">
      <c r="B118" s="35"/>
      <c r="C118" s="74"/>
      <c r="D118" s="75"/>
      <c r="E118" s="75"/>
      <c r="F118" s="75"/>
      <c r="G118" s="76"/>
      <c r="H118" s="63"/>
      <c r="I118" s="63"/>
      <c r="J118" s="76"/>
      <c r="K118" s="76"/>
      <c r="L118" s="37"/>
      <c r="M118" s="37"/>
      <c r="N118" s="76"/>
      <c r="O118" s="76"/>
      <c r="P118" s="37"/>
      <c r="Q118" s="37"/>
      <c r="R118" s="76"/>
      <c r="S118" s="63"/>
      <c r="T118" s="76"/>
    </row>
    <row r="119" spans="2:20" x14ac:dyDescent="0.35">
      <c r="B119" s="35"/>
      <c r="C119" s="74"/>
      <c r="D119" s="75"/>
      <c r="E119" s="75"/>
      <c r="F119" s="75"/>
      <c r="G119" s="76"/>
      <c r="H119" s="63"/>
      <c r="I119" s="63"/>
      <c r="J119" s="76"/>
      <c r="K119" s="76"/>
      <c r="L119" s="37"/>
      <c r="M119" s="37"/>
      <c r="N119" s="76"/>
      <c r="O119" s="76"/>
      <c r="P119" s="37"/>
      <c r="Q119" s="37"/>
      <c r="R119" s="76"/>
      <c r="S119" s="63"/>
      <c r="T119" s="76"/>
    </row>
    <row r="120" spans="2:20" x14ac:dyDescent="0.35">
      <c r="B120" s="35"/>
      <c r="C120" s="74"/>
      <c r="D120" s="75"/>
      <c r="E120" s="75"/>
      <c r="F120" s="75"/>
      <c r="G120" s="76"/>
      <c r="H120" s="63"/>
      <c r="I120" s="63"/>
      <c r="J120" s="76"/>
      <c r="K120" s="76"/>
      <c r="L120" s="37"/>
      <c r="M120" s="37"/>
      <c r="N120" s="76"/>
      <c r="O120" s="76"/>
      <c r="P120" s="37"/>
      <c r="Q120" s="37"/>
      <c r="R120" s="76"/>
      <c r="S120" s="63"/>
      <c r="T120" s="76"/>
    </row>
    <row r="121" spans="2:20" x14ac:dyDescent="0.35">
      <c r="B121" s="35"/>
      <c r="C121" s="74"/>
      <c r="D121" s="75"/>
      <c r="E121" s="75"/>
      <c r="F121" s="75"/>
      <c r="G121" s="76"/>
      <c r="H121" s="63"/>
      <c r="I121" s="63"/>
      <c r="J121" s="76"/>
      <c r="K121" s="76"/>
      <c r="L121" s="37"/>
      <c r="M121" s="37"/>
      <c r="N121" s="76"/>
      <c r="O121" s="76"/>
      <c r="P121" s="37"/>
      <c r="Q121" s="37"/>
      <c r="R121" s="76"/>
      <c r="S121" s="63"/>
      <c r="T121" s="76"/>
    </row>
    <row r="122" spans="2:20" x14ac:dyDescent="0.35">
      <c r="B122" s="35"/>
      <c r="C122" s="74"/>
      <c r="D122" s="75"/>
      <c r="E122" s="75"/>
      <c r="F122" s="75"/>
      <c r="G122" s="76"/>
      <c r="H122" s="63"/>
      <c r="I122" s="63"/>
      <c r="J122" s="76"/>
      <c r="K122" s="76"/>
      <c r="L122" s="37"/>
      <c r="M122" s="37"/>
      <c r="N122" s="76"/>
      <c r="O122" s="76"/>
      <c r="P122" s="37"/>
      <c r="Q122" s="37"/>
      <c r="R122" s="76"/>
      <c r="S122" s="63"/>
      <c r="T122" s="76"/>
    </row>
    <row r="123" spans="2:20" x14ac:dyDescent="0.35">
      <c r="B123" s="35"/>
      <c r="C123" s="74"/>
      <c r="D123" s="75"/>
      <c r="E123" s="75"/>
      <c r="F123" s="75"/>
      <c r="G123" s="76"/>
      <c r="H123" s="63"/>
      <c r="I123" s="63"/>
      <c r="J123" s="76"/>
      <c r="K123" s="76"/>
      <c r="L123" s="37"/>
      <c r="M123" s="37"/>
      <c r="N123" s="76"/>
      <c r="O123" s="76"/>
      <c r="P123" s="37"/>
      <c r="Q123" s="37"/>
      <c r="R123" s="76"/>
      <c r="S123" s="63"/>
      <c r="T123" s="76"/>
    </row>
    <row r="124" spans="2:20" x14ac:dyDescent="0.35">
      <c r="B124" s="35"/>
      <c r="C124" s="74"/>
      <c r="D124" s="75"/>
      <c r="E124" s="75"/>
      <c r="F124" s="75"/>
      <c r="G124" s="76"/>
      <c r="H124" s="63"/>
      <c r="I124" s="63"/>
      <c r="J124" s="76"/>
      <c r="K124" s="76"/>
      <c r="L124" s="37"/>
      <c r="M124" s="37"/>
      <c r="N124" s="76"/>
      <c r="O124" s="76"/>
      <c r="P124" s="37"/>
      <c r="Q124" s="37"/>
      <c r="R124" s="76"/>
      <c r="S124" s="63"/>
      <c r="T124" s="76"/>
    </row>
    <row r="125" spans="2:20" x14ac:dyDescent="0.35">
      <c r="B125" s="35"/>
      <c r="C125" s="74"/>
      <c r="D125" s="75"/>
      <c r="E125" s="75"/>
      <c r="F125" s="75"/>
      <c r="G125" s="76"/>
      <c r="H125" s="63"/>
      <c r="I125" s="63"/>
      <c r="J125" s="76"/>
      <c r="K125" s="76"/>
      <c r="L125" s="37"/>
      <c r="M125" s="37"/>
      <c r="N125" s="76"/>
      <c r="O125" s="76"/>
      <c r="P125" s="37"/>
      <c r="Q125" s="37"/>
      <c r="R125" s="76"/>
      <c r="S125" s="63"/>
      <c r="T125" s="76"/>
    </row>
    <row r="126" spans="2:20" x14ac:dyDescent="0.35">
      <c r="B126" s="35"/>
      <c r="C126" s="74"/>
      <c r="D126" s="75"/>
      <c r="E126" s="75"/>
      <c r="F126" s="75"/>
      <c r="G126" s="76"/>
      <c r="H126" s="63"/>
      <c r="I126" s="63"/>
      <c r="J126" s="76"/>
      <c r="K126" s="76"/>
      <c r="L126" s="37"/>
      <c r="M126" s="37"/>
      <c r="N126" s="76"/>
      <c r="O126" s="76"/>
      <c r="P126" s="37"/>
      <c r="Q126" s="37"/>
      <c r="R126" s="76"/>
      <c r="S126" s="63"/>
      <c r="T126" s="76"/>
    </row>
    <row r="127" spans="2:20" x14ac:dyDescent="0.35">
      <c r="B127" s="35"/>
      <c r="C127" s="74"/>
      <c r="D127" s="75"/>
      <c r="E127" s="75"/>
      <c r="F127" s="75"/>
      <c r="G127" s="76"/>
      <c r="H127" s="63"/>
      <c r="I127" s="63"/>
      <c r="J127" s="76"/>
      <c r="K127" s="76"/>
      <c r="L127" s="37"/>
      <c r="M127" s="37"/>
      <c r="N127" s="76"/>
      <c r="O127" s="76"/>
      <c r="P127" s="37"/>
      <c r="Q127" s="37"/>
      <c r="R127" s="76"/>
      <c r="S127" s="63"/>
      <c r="T127" s="76"/>
    </row>
    <row r="128" spans="2:20" x14ac:dyDescent="0.35">
      <c r="B128" s="35"/>
      <c r="C128" s="74"/>
      <c r="D128" s="75"/>
      <c r="E128" s="75"/>
      <c r="F128" s="75"/>
      <c r="G128" s="76"/>
      <c r="H128" s="63"/>
      <c r="I128" s="63"/>
      <c r="J128" s="76"/>
      <c r="K128" s="76"/>
      <c r="L128" s="37"/>
      <c r="M128" s="37"/>
      <c r="N128" s="76"/>
      <c r="O128" s="76"/>
      <c r="P128" s="37"/>
      <c r="Q128" s="37"/>
      <c r="R128" s="76"/>
      <c r="S128" s="63"/>
      <c r="T128" s="76"/>
    </row>
    <row r="129" spans="2:20" x14ac:dyDescent="0.35">
      <c r="B129" s="35"/>
      <c r="C129" s="74"/>
      <c r="D129" s="75"/>
      <c r="E129" s="75"/>
      <c r="F129" s="75"/>
      <c r="G129" s="76"/>
      <c r="H129" s="63"/>
      <c r="I129" s="63"/>
      <c r="J129" s="76"/>
      <c r="K129" s="76"/>
      <c r="L129" s="37"/>
      <c r="M129" s="37"/>
      <c r="N129" s="76"/>
      <c r="O129" s="76"/>
      <c r="P129" s="37"/>
      <c r="Q129" s="37"/>
      <c r="R129" s="76"/>
      <c r="S129" s="63"/>
      <c r="T129" s="76"/>
    </row>
    <row r="130" spans="2:20" x14ac:dyDescent="0.35">
      <c r="B130" s="35"/>
      <c r="C130" s="74"/>
      <c r="D130" s="75"/>
      <c r="E130" s="75"/>
      <c r="F130" s="75"/>
      <c r="G130" s="76"/>
      <c r="H130" s="63"/>
      <c r="I130" s="63"/>
      <c r="J130" s="76"/>
      <c r="K130" s="76"/>
      <c r="L130" s="37"/>
      <c r="M130" s="37"/>
      <c r="N130" s="76"/>
      <c r="O130" s="76"/>
      <c r="P130" s="37"/>
      <c r="Q130" s="37"/>
      <c r="R130" s="76"/>
      <c r="S130" s="63"/>
      <c r="T130" s="76"/>
    </row>
    <row r="131" spans="2:20" x14ac:dyDescent="0.35">
      <c r="B131" s="35"/>
      <c r="C131" s="74"/>
      <c r="D131" s="75"/>
      <c r="E131" s="75"/>
      <c r="F131" s="75"/>
      <c r="G131" s="76"/>
      <c r="H131" s="63"/>
      <c r="I131" s="63"/>
      <c r="J131" s="76"/>
      <c r="K131" s="76"/>
      <c r="L131" s="37"/>
      <c r="M131" s="37"/>
      <c r="N131" s="76"/>
      <c r="O131" s="76"/>
      <c r="P131" s="37"/>
      <c r="Q131" s="37"/>
      <c r="R131" s="76"/>
      <c r="S131" s="63"/>
      <c r="T131" s="76"/>
    </row>
    <row r="132" spans="2:20" x14ac:dyDescent="0.35">
      <c r="B132" s="35"/>
      <c r="C132" s="74"/>
      <c r="D132" s="75"/>
      <c r="E132" s="75"/>
      <c r="F132" s="75"/>
      <c r="G132" s="76"/>
      <c r="H132" s="63"/>
      <c r="I132" s="63"/>
      <c r="J132" s="76"/>
      <c r="K132" s="76"/>
      <c r="L132" s="37"/>
      <c r="M132" s="37"/>
      <c r="N132" s="76"/>
      <c r="O132" s="76"/>
      <c r="P132" s="37"/>
      <c r="Q132" s="37"/>
      <c r="R132" s="76"/>
      <c r="S132" s="63"/>
      <c r="T132" s="76"/>
    </row>
    <row r="133" spans="2:20" x14ac:dyDescent="0.35">
      <c r="B133" s="35"/>
      <c r="C133" s="74"/>
      <c r="D133" s="75"/>
      <c r="E133" s="75"/>
      <c r="F133" s="75"/>
      <c r="G133" s="76"/>
      <c r="H133" s="63"/>
      <c r="I133" s="63"/>
      <c r="J133" s="76"/>
      <c r="K133" s="76"/>
      <c r="L133" s="37"/>
      <c r="M133" s="37"/>
      <c r="N133" s="76"/>
      <c r="O133" s="76"/>
      <c r="P133" s="37"/>
      <c r="Q133" s="37"/>
      <c r="R133" s="76"/>
      <c r="S133" s="63"/>
      <c r="T133" s="76"/>
    </row>
    <row r="134" spans="2:20" x14ac:dyDescent="0.35">
      <c r="B134" s="35"/>
      <c r="C134" s="74"/>
      <c r="D134" s="75"/>
      <c r="E134" s="75"/>
      <c r="F134" s="75"/>
      <c r="G134" s="76"/>
      <c r="H134" s="63"/>
      <c r="I134" s="63"/>
      <c r="J134" s="76"/>
      <c r="K134" s="76"/>
      <c r="L134" s="37"/>
      <c r="M134" s="37"/>
      <c r="N134" s="76"/>
      <c r="O134" s="76"/>
      <c r="P134" s="37"/>
      <c r="Q134" s="37"/>
      <c r="R134" s="76"/>
      <c r="S134" s="63"/>
      <c r="T134" s="76"/>
    </row>
    <row r="135" spans="2:20" x14ac:dyDescent="0.35">
      <c r="B135" s="35"/>
      <c r="C135" s="74"/>
      <c r="D135" s="75"/>
      <c r="E135" s="75"/>
      <c r="F135" s="75"/>
      <c r="G135" s="76"/>
      <c r="H135" s="63"/>
      <c r="I135" s="63"/>
      <c r="J135" s="76"/>
      <c r="K135" s="76"/>
      <c r="L135" s="37"/>
      <c r="M135" s="37"/>
      <c r="N135" s="76"/>
      <c r="O135" s="76"/>
      <c r="P135" s="37"/>
      <c r="Q135" s="37"/>
      <c r="R135" s="76"/>
      <c r="S135" s="63"/>
      <c r="T135" s="76"/>
    </row>
    <row r="136" spans="2:20" x14ac:dyDescent="0.35">
      <c r="B136" s="35"/>
      <c r="C136" s="74"/>
      <c r="D136" s="75"/>
      <c r="E136" s="75"/>
      <c r="F136" s="75"/>
      <c r="G136" s="76"/>
      <c r="H136" s="63"/>
      <c r="I136" s="63"/>
      <c r="J136" s="76"/>
      <c r="K136" s="76"/>
      <c r="L136" s="37"/>
      <c r="M136" s="37"/>
      <c r="N136" s="76"/>
      <c r="O136" s="76"/>
      <c r="P136" s="37"/>
      <c r="Q136" s="37"/>
      <c r="R136" s="76"/>
      <c r="S136" s="63"/>
      <c r="T136" s="76"/>
    </row>
    <row r="137" spans="2:20" x14ac:dyDescent="0.35">
      <c r="B137" s="35"/>
      <c r="C137" s="74"/>
      <c r="D137" s="75"/>
      <c r="E137" s="75"/>
      <c r="F137" s="75"/>
      <c r="G137" s="76"/>
      <c r="H137" s="63"/>
      <c r="I137" s="63"/>
      <c r="J137" s="76"/>
      <c r="K137" s="76"/>
      <c r="L137" s="37"/>
      <c r="M137" s="37"/>
      <c r="N137" s="76"/>
      <c r="O137" s="76"/>
      <c r="P137" s="37"/>
      <c r="Q137" s="37"/>
      <c r="R137" s="76"/>
      <c r="S137" s="63"/>
      <c r="T137" s="76"/>
    </row>
    <row r="138" spans="2:20" x14ac:dyDescent="0.35">
      <c r="B138" s="35"/>
      <c r="C138" s="74"/>
      <c r="D138" s="75"/>
      <c r="E138" s="75"/>
      <c r="F138" s="75"/>
      <c r="G138" s="76"/>
      <c r="H138" s="63"/>
      <c r="I138" s="63"/>
      <c r="J138" s="76"/>
      <c r="K138" s="76"/>
      <c r="L138" s="37"/>
      <c r="M138" s="37"/>
      <c r="N138" s="76"/>
      <c r="O138" s="76"/>
      <c r="P138" s="37"/>
      <c r="Q138" s="37"/>
      <c r="R138" s="76"/>
      <c r="S138" s="63"/>
      <c r="T138" s="76"/>
    </row>
    <row r="139" spans="2:20" x14ac:dyDescent="0.35">
      <c r="B139" s="35"/>
      <c r="C139" s="74"/>
      <c r="D139" s="75"/>
      <c r="E139" s="75"/>
      <c r="F139" s="75"/>
      <c r="G139" s="76"/>
      <c r="H139" s="63"/>
      <c r="I139" s="63"/>
      <c r="J139" s="76"/>
      <c r="K139" s="76"/>
      <c r="L139" s="37"/>
      <c r="M139" s="37"/>
      <c r="N139" s="76"/>
      <c r="O139" s="76"/>
      <c r="P139" s="37"/>
      <c r="Q139" s="37"/>
      <c r="R139" s="76"/>
      <c r="S139" s="63"/>
      <c r="T139" s="76"/>
    </row>
    <row r="140" spans="2:20" x14ac:dyDescent="0.35">
      <c r="B140" s="35"/>
      <c r="C140" s="74"/>
      <c r="D140" s="75"/>
      <c r="E140" s="75"/>
      <c r="F140" s="75"/>
      <c r="G140" s="76"/>
      <c r="H140" s="63"/>
      <c r="I140" s="63"/>
      <c r="J140" s="76"/>
      <c r="K140" s="76"/>
      <c r="L140" s="37"/>
      <c r="M140" s="37"/>
      <c r="N140" s="76"/>
      <c r="O140" s="76"/>
      <c r="P140" s="37"/>
      <c r="Q140" s="37"/>
      <c r="R140" s="76"/>
      <c r="S140" s="63"/>
      <c r="T140" s="76"/>
    </row>
    <row r="141" spans="2:20" x14ac:dyDescent="0.35">
      <c r="B141" s="35"/>
      <c r="C141" s="74"/>
      <c r="D141" s="75"/>
      <c r="E141" s="75"/>
      <c r="F141" s="75"/>
      <c r="G141" s="76"/>
      <c r="H141" s="63"/>
      <c r="I141" s="63"/>
      <c r="J141" s="76"/>
      <c r="K141" s="76"/>
      <c r="L141" s="37"/>
      <c r="M141" s="37"/>
      <c r="N141" s="76"/>
      <c r="O141" s="76"/>
      <c r="P141" s="37"/>
      <c r="Q141" s="37"/>
      <c r="R141" s="76"/>
      <c r="S141" s="63"/>
      <c r="T141" s="76"/>
    </row>
    <row r="142" spans="2:20" x14ac:dyDescent="0.35">
      <c r="B142" s="35"/>
      <c r="C142" s="74"/>
      <c r="D142" s="75"/>
      <c r="E142" s="75"/>
      <c r="F142" s="75"/>
      <c r="G142" s="76"/>
      <c r="H142" s="63"/>
      <c r="I142" s="63"/>
      <c r="J142" s="76"/>
      <c r="K142" s="76"/>
      <c r="L142" s="37"/>
      <c r="M142" s="37"/>
      <c r="N142" s="76"/>
      <c r="O142" s="76"/>
      <c r="P142" s="37"/>
      <c r="Q142" s="37"/>
      <c r="R142" s="76"/>
      <c r="S142" s="63"/>
      <c r="T142" s="76"/>
    </row>
    <row r="143" spans="2:20" x14ac:dyDescent="0.35">
      <c r="B143" s="35"/>
      <c r="C143" s="74"/>
      <c r="D143" s="75"/>
      <c r="E143" s="75"/>
      <c r="F143" s="75"/>
      <c r="G143" s="76"/>
      <c r="H143" s="63"/>
      <c r="I143" s="63"/>
      <c r="J143" s="76"/>
      <c r="K143" s="76"/>
      <c r="L143" s="37"/>
      <c r="M143" s="37"/>
      <c r="N143" s="76"/>
      <c r="O143" s="76"/>
      <c r="P143" s="37"/>
      <c r="Q143" s="37"/>
      <c r="R143" s="76"/>
      <c r="S143" s="63"/>
      <c r="T143" s="76"/>
    </row>
    <row r="144" spans="2:20" x14ac:dyDescent="0.35">
      <c r="B144" s="35"/>
      <c r="C144" s="74"/>
      <c r="D144" s="75"/>
      <c r="E144" s="75"/>
      <c r="F144" s="75"/>
      <c r="G144" s="76"/>
      <c r="H144" s="63"/>
      <c r="I144" s="63"/>
      <c r="J144" s="76"/>
      <c r="K144" s="76"/>
      <c r="L144" s="37"/>
      <c r="M144" s="37"/>
      <c r="N144" s="76"/>
      <c r="O144" s="76"/>
      <c r="P144" s="37"/>
      <c r="Q144" s="37"/>
      <c r="R144" s="76"/>
      <c r="S144" s="63"/>
      <c r="T144" s="76"/>
    </row>
    <row r="145" spans="2:20" x14ac:dyDescent="0.35">
      <c r="B145" s="35"/>
      <c r="C145" s="74"/>
      <c r="D145" s="75"/>
      <c r="E145" s="75"/>
      <c r="F145" s="75"/>
      <c r="G145" s="76"/>
      <c r="H145" s="63"/>
      <c r="I145" s="63"/>
      <c r="J145" s="76"/>
      <c r="K145" s="76"/>
      <c r="L145" s="37"/>
      <c r="M145" s="37"/>
      <c r="N145" s="76"/>
      <c r="O145" s="76"/>
      <c r="P145" s="37"/>
      <c r="Q145" s="37"/>
      <c r="R145" s="76"/>
      <c r="S145" s="63"/>
      <c r="T145" s="76"/>
    </row>
    <row r="146" spans="2:20" x14ac:dyDescent="0.35">
      <c r="B146" s="35"/>
      <c r="C146" s="74"/>
      <c r="D146" s="75"/>
      <c r="E146" s="75"/>
      <c r="F146" s="75"/>
      <c r="G146" s="76"/>
      <c r="H146" s="63"/>
      <c r="I146" s="63"/>
      <c r="J146" s="76"/>
      <c r="K146" s="76"/>
      <c r="L146" s="37"/>
      <c r="M146" s="37"/>
      <c r="N146" s="76"/>
      <c r="O146" s="76"/>
      <c r="P146" s="37"/>
      <c r="Q146" s="37"/>
      <c r="R146" s="76"/>
      <c r="S146" s="63"/>
      <c r="T146" s="76"/>
    </row>
    <row r="147" spans="2:20" x14ac:dyDescent="0.35">
      <c r="B147" s="35"/>
      <c r="C147" s="74"/>
      <c r="D147" s="75"/>
      <c r="E147" s="75"/>
      <c r="F147" s="75"/>
      <c r="G147" s="76"/>
      <c r="H147" s="63"/>
      <c r="I147" s="63"/>
      <c r="J147" s="76"/>
      <c r="K147" s="76"/>
      <c r="L147" s="37"/>
      <c r="M147" s="37"/>
      <c r="N147" s="76"/>
      <c r="O147" s="76"/>
      <c r="P147" s="37"/>
      <c r="Q147" s="37"/>
      <c r="R147" s="76"/>
      <c r="S147" s="63"/>
      <c r="T147" s="76"/>
    </row>
    <row r="148" spans="2:20" x14ac:dyDescent="0.35">
      <c r="B148" s="35"/>
      <c r="C148" s="74"/>
      <c r="D148" s="75"/>
      <c r="E148" s="75"/>
      <c r="F148" s="75"/>
      <c r="G148" s="76"/>
      <c r="H148" s="63"/>
      <c r="I148" s="63"/>
      <c r="J148" s="76"/>
      <c r="K148" s="76"/>
      <c r="L148" s="37"/>
      <c r="M148" s="37"/>
      <c r="N148" s="76"/>
      <c r="O148" s="76"/>
      <c r="P148" s="37"/>
      <c r="Q148" s="37"/>
      <c r="R148" s="76"/>
      <c r="S148" s="63"/>
      <c r="T148" s="76"/>
    </row>
    <row r="149" spans="2:20" x14ac:dyDescent="0.35">
      <c r="B149" s="35"/>
      <c r="C149" s="74"/>
      <c r="D149" s="75"/>
      <c r="E149" s="75"/>
      <c r="F149" s="75"/>
      <c r="G149" s="76"/>
      <c r="H149" s="63"/>
      <c r="I149" s="63"/>
      <c r="J149" s="76"/>
      <c r="K149" s="76"/>
      <c r="L149" s="37"/>
      <c r="M149" s="37"/>
      <c r="N149" s="76"/>
      <c r="O149" s="76"/>
      <c r="P149" s="37"/>
      <c r="Q149" s="37"/>
      <c r="R149" s="76"/>
      <c r="S149" s="63"/>
      <c r="T149" s="76"/>
    </row>
    <row r="150" spans="2:20" x14ac:dyDescent="0.35">
      <c r="B150" s="35"/>
      <c r="C150" s="74"/>
      <c r="D150" s="75"/>
      <c r="E150" s="75"/>
      <c r="F150" s="75"/>
      <c r="G150" s="76"/>
      <c r="H150" s="63"/>
      <c r="I150" s="63"/>
      <c r="J150" s="76"/>
      <c r="K150" s="76"/>
      <c r="L150" s="37"/>
      <c r="M150" s="37"/>
      <c r="N150" s="76"/>
      <c r="O150" s="76"/>
      <c r="P150" s="37"/>
      <c r="Q150" s="37"/>
      <c r="R150" s="76"/>
      <c r="S150" s="63"/>
      <c r="T150" s="76"/>
    </row>
    <row r="151" spans="2:20" x14ac:dyDescent="0.35">
      <c r="B151" s="35"/>
      <c r="C151" s="74"/>
      <c r="D151" s="75"/>
      <c r="E151" s="75"/>
      <c r="F151" s="75"/>
      <c r="G151" s="76"/>
      <c r="H151" s="63"/>
      <c r="I151" s="63"/>
      <c r="J151" s="76"/>
      <c r="K151" s="76"/>
      <c r="L151" s="37"/>
      <c r="M151" s="37"/>
      <c r="N151" s="76"/>
      <c r="O151" s="76"/>
      <c r="P151" s="37"/>
      <c r="Q151" s="37"/>
      <c r="R151" s="76"/>
      <c r="S151" s="63"/>
      <c r="T151" s="76"/>
    </row>
    <row r="152" spans="2:20" x14ac:dyDescent="0.35">
      <c r="B152" s="35"/>
      <c r="C152" s="74"/>
      <c r="D152" s="75"/>
      <c r="E152" s="75"/>
      <c r="F152" s="75"/>
      <c r="G152" s="76"/>
      <c r="H152" s="63"/>
      <c r="I152" s="63"/>
      <c r="J152" s="76"/>
      <c r="K152" s="76"/>
      <c r="L152" s="37"/>
      <c r="M152" s="37"/>
      <c r="N152" s="76"/>
      <c r="O152" s="76"/>
      <c r="P152" s="37"/>
      <c r="Q152" s="37"/>
      <c r="R152" s="76"/>
      <c r="S152" s="63"/>
      <c r="T152" s="76"/>
    </row>
    <row r="153" spans="2:20" x14ac:dyDescent="0.35">
      <c r="B153" s="35"/>
      <c r="C153" s="74"/>
      <c r="D153" s="75"/>
      <c r="E153" s="75"/>
      <c r="F153" s="75"/>
      <c r="G153" s="76"/>
      <c r="H153" s="63"/>
      <c r="I153" s="63"/>
      <c r="J153" s="76"/>
      <c r="K153" s="76"/>
      <c r="L153" s="37"/>
      <c r="M153" s="37"/>
      <c r="N153" s="76"/>
      <c r="O153" s="76"/>
      <c r="P153" s="37"/>
      <c r="Q153" s="37"/>
      <c r="R153" s="76"/>
      <c r="S153" s="63"/>
      <c r="T153" s="76"/>
    </row>
    <row r="154" spans="2:20" x14ac:dyDescent="0.35">
      <c r="B154" s="35"/>
      <c r="C154" s="74"/>
      <c r="D154" s="75"/>
      <c r="E154" s="75"/>
      <c r="F154" s="75"/>
      <c r="G154" s="76"/>
      <c r="H154" s="63"/>
      <c r="I154" s="63"/>
      <c r="J154" s="76"/>
      <c r="K154" s="76"/>
      <c r="L154" s="37"/>
      <c r="M154" s="37"/>
      <c r="N154" s="76"/>
      <c r="O154" s="76"/>
      <c r="P154" s="37"/>
      <c r="Q154" s="37"/>
      <c r="R154" s="76"/>
      <c r="S154" s="63"/>
      <c r="T154" s="76"/>
    </row>
    <row r="155" spans="2:20" x14ac:dyDescent="0.35">
      <c r="B155" s="35"/>
      <c r="C155" s="74"/>
      <c r="D155" s="75"/>
      <c r="E155" s="75"/>
      <c r="F155" s="75"/>
      <c r="G155" s="76"/>
      <c r="H155" s="63"/>
      <c r="I155" s="63"/>
      <c r="J155" s="76"/>
      <c r="K155" s="76"/>
      <c r="L155" s="37"/>
      <c r="M155" s="37"/>
      <c r="N155" s="76"/>
      <c r="O155" s="76"/>
      <c r="P155" s="37"/>
      <c r="Q155" s="37"/>
      <c r="R155" s="76"/>
      <c r="S155" s="63"/>
      <c r="T155" s="76"/>
    </row>
    <row r="156" spans="2:20" x14ac:dyDescent="0.35">
      <c r="B156" s="35"/>
      <c r="C156" s="74"/>
      <c r="D156" s="75"/>
      <c r="E156" s="75"/>
      <c r="F156" s="75"/>
      <c r="G156" s="76"/>
      <c r="H156" s="63"/>
      <c r="I156" s="63"/>
      <c r="J156" s="76"/>
      <c r="K156" s="76"/>
      <c r="L156" s="37"/>
      <c r="M156" s="37"/>
      <c r="N156" s="76"/>
      <c r="O156" s="76"/>
      <c r="P156" s="37"/>
      <c r="Q156" s="37"/>
      <c r="R156" s="76"/>
      <c r="S156" s="63"/>
      <c r="T156" s="76"/>
    </row>
    <row r="157" spans="2:20" x14ac:dyDescent="0.35">
      <c r="B157" s="35"/>
      <c r="C157" s="74"/>
      <c r="D157" s="75"/>
      <c r="E157" s="75"/>
      <c r="F157" s="75"/>
      <c r="G157" s="76"/>
      <c r="H157" s="63"/>
      <c r="I157" s="63"/>
      <c r="J157" s="76"/>
      <c r="K157" s="76"/>
      <c r="L157" s="37"/>
      <c r="M157" s="37"/>
      <c r="N157" s="76"/>
      <c r="O157" s="76"/>
      <c r="P157" s="37"/>
      <c r="Q157" s="37"/>
      <c r="R157" s="76"/>
      <c r="S157" s="63"/>
      <c r="T157" s="76"/>
    </row>
    <row r="158" spans="2:20" x14ac:dyDescent="0.35">
      <c r="B158" s="35"/>
      <c r="C158" s="74"/>
      <c r="D158" s="75"/>
      <c r="E158" s="75"/>
      <c r="F158" s="75"/>
      <c r="G158" s="76"/>
      <c r="H158" s="63"/>
      <c r="I158" s="63"/>
      <c r="J158" s="76"/>
      <c r="K158" s="76"/>
      <c r="L158" s="37"/>
      <c r="M158" s="37"/>
      <c r="N158" s="76"/>
      <c r="O158" s="76"/>
      <c r="P158" s="37"/>
      <c r="Q158" s="37"/>
      <c r="R158" s="76"/>
      <c r="S158" s="63"/>
      <c r="T158" s="76"/>
    </row>
    <row r="159" spans="2:20" x14ac:dyDescent="0.35">
      <c r="B159" s="35"/>
      <c r="C159" s="74"/>
      <c r="D159" s="75"/>
      <c r="E159" s="75"/>
      <c r="F159" s="75"/>
      <c r="G159" s="76"/>
      <c r="H159" s="63"/>
      <c r="I159" s="63"/>
      <c r="J159" s="76"/>
      <c r="K159" s="76"/>
      <c r="L159" s="37"/>
      <c r="M159" s="37"/>
      <c r="N159" s="76"/>
      <c r="O159" s="76"/>
      <c r="P159" s="37"/>
      <c r="Q159" s="37"/>
      <c r="R159" s="76"/>
      <c r="S159" s="63"/>
      <c r="T159" s="76"/>
    </row>
    <row r="160" spans="2:20" x14ac:dyDescent="0.35">
      <c r="B160" s="35"/>
      <c r="C160" s="74"/>
      <c r="D160" s="75"/>
      <c r="E160" s="75"/>
      <c r="F160" s="75"/>
      <c r="G160" s="76"/>
      <c r="H160" s="63"/>
      <c r="I160" s="63"/>
      <c r="J160" s="76"/>
      <c r="K160" s="76"/>
      <c r="L160" s="37"/>
      <c r="M160" s="37"/>
      <c r="N160" s="76"/>
      <c r="O160" s="76"/>
      <c r="P160" s="37"/>
      <c r="Q160" s="37"/>
      <c r="R160" s="76"/>
      <c r="S160" s="63"/>
      <c r="T160" s="76"/>
    </row>
    <row r="161" spans="2:20" x14ac:dyDescent="0.35">
      <c r="B161" s="35"/>
      <c r="C161" s="74"/>
      <c r="D161" s="75"/>
      <c r="E161" s="75"/>
      <c r="F161" s="75"/>
      <c r="G161" s="76"/>
      <c r="H161" s="63"/>
      <c r="I161" s="63"/>
      <c r="J161" s="76"/>
      <c r="K161" s="76"/>
      <c r="L161" s="37"/>
      <c r="M161" s="37"/>
      <c r="N161" s="76"/>
      <c r="O161" s="76"/>
      <c r="P161" s="37"/>
      <c r="Q161" s="37"/>
      <c r="R161" s="76"/>
      <c r="S161" s="63"/>
      <c r="T161" s="76"/>
    </row>
    <row r="162" spans="2:20" x14ac:dyDescent="0.35">
      <c r="B162" s="35"/>
      <c r="C162" s="74"/>
      <c r="D162" s="75"/>
      <c r="E162" s="75"/>
      <c r="F162" s="75"/>
      <c r="G162" s="76"/>
      <c r="H162" s="63"/>
      <c r="I162" s="63"/>
      <c r="J162" s="76"/>
      <c r="K162" s="76"/>
      <c r="L162" s="37"/>
      <c r="M162" s="37"/>
      <c r="N162" s="76"/>
      <c r="O162" s="76"/>
      <c r="P162" s="37"/>
      <c r="Q162" s="37"/>
      <c r="R162" s="76"/>
      <c r="S162" s="63"/>
      <c r="T162" s="76"/>
    </row>
    <row r="163" spans="2:20" x14ac:dyDescent="0.35">
      <c r="B163" s="35"/>
      <c r="C163" s="74"/>
      <c r="D163" s="75"/>
      <c r="E163" s="75"/>
      <c r="F163" s="75"/>
      <c r="G163" s="76"/>
      <c r="H163" s="63"/>
      <c r="I163" s="63"/>
      <c r="J163" s="76"/>
      <c r="K163" s="76"/>
      <c r="L163" s="37"/>
      <c r="M163" s="37"/>
      <c r="N163" s="76"/>
      <c r="O163" s="76"/>
      <c r="P163" s="37"/>
      <c r="Q163" s="37"/>
      <c r="R163" s="76"/>
      <c r="S163" s="63"/>
      <c r="T163" s="76"/>
    </row>
    <row r="164" spans="2:20" x14ac:dyDescent="0.35">
      <c r="B164" s="35"/>
      <c r="C164" s="74"/>
      <c r="D164" s="75"/>
      <c r="E164" s="75"/>
      <c r="F164" s="75"/>
      <c r="G164" s="76"/>
      <c r="H164" s="63"/>
      <c r="I164" s="63"/>
      <c r="J164" s="76"/>
      <c r="K164" s="76"/>
      <c r="L164" s="37"/>
      <c r="M164" s="37"/>
      <c r="N164" s="76"/>
      <c r="O164" s="76"/>
      <c r="P164" s="37"/>
      <c r="Q164" s="37"/>
      <c r="R164" s="76"/>
      <c r="S164" s="63"/>
      <c r="T164" s="76"/>
    </row>
    <row r="165" spans="2:20" x14ac:dyDescent="0.35">
      <c r="B165" s="35"/>
      <c r="C165" s="74"/>
      <c r="D165" s="75"/>
      <c r="E165" s="75"/>
      <c r="F165" s="75"/>
      <c r="G165" s="76"/>
      <c r="H165" s="63"/>
      <c r="I165" s="63"/>
      <c r="J165" s="76"/>
      <c r="K165" s="76"/>
      <c r="L165" s="37"/>
      <c r="M165" s="37"/>
      <c r="N165" s="76"/>
      <c r="O165" s="76"/>
      <c r="P165" s="37"/>
      <c r="Q165" s="37"/>
      <c r="R165" s="76"/>
      <c r="S165" s="63"/>
      <c r="T165" s="76"/>
    </row>
    <row r="166" spans="2:20" x14ac:dyDescent="0.35">
      <c r="B166" s="35"/>
      <c r="C166" s="74"/>
      <c r="D166" s="75"/>
      <c r="E166" s="75"/>
      <c r="F166" s="75"/>
      <c r="G166" s="76"/>
      <c r="H166" s="63"/>
      <c r="I166" s="63"/>
      <c r="J166" s="76"/>
      <c r="K166" s="76"/>
      <c r="L166" s="37"/>
      <c r="M166" s="37"/>
      <c r="N166" s="76"/>
      <c r="O166" s="76"/>
      <c r="P166" s="37"/>
      <c r="Q166" s="37"/>
      <c r="R166" s="76"/>
      <c r="S166" s="63"/>
      <c r="T166" s="76"/>
    </row>
    <row r="167" spans="2:20" x14ac:dyDescent="0.35">
      <c r="B167" s="35"/>
      <c r="C167" s="74"/>
      <c r="D167" s="75"/>
      <c r="E167" s="75"/>
      <c r="F167" s="75"/>
      <c r="G167" s="76"/>
      <c r="H167" s="63"/>
      <c r="I167" s="63"/>
      <c r="J167" s="76"/>
      <c r="K167" s="76"/>
      <c r="L167" s="37"/>
      <c r="M167" s="37"/>
      <c r="N167" s="76"/>
      <c r="O167" s="76"/>
      <c r="P167" s="37"/>
      <c r="Q167" s="37"/>
      <c r="R167" s="76"/>
      <c r="S167" s="63"/>
      <c r="T167" s="76"/>
    </row>
    <row r="168" spans="2:20" x14ac:dyDescent="0.35">
      <c r="B168" s="35"/>
      <c r="C168" s="74"/>
      <c r="D168" s="75"/>
      <c r="E168" s="75"/>
      <c r="F168" s="75"/>
      <c r="G168" s="76"/>
      <c r="H168" s="63"/>
      <c r="I168" s="63"/>
      <c r="J168" s="76"/>
      <c r="K168" s="76"/>
      <c r="L168" s="37"/>
      <c r="M168" s="37"/>
      <c r="N168" s="76"/>
      <c r="O168" s="76"/>
      <c r="P168" s="37"/>
      <c r="Q168" s="37"/>
      <c r="R168" s="76"/>
      <c r="S168" s="63"/>
      <c r="T168" s="76"/>
    </row>
    <row r="169" spans="2:20" x14ac:dyDescent="0.35">
      <c r="B169" s="35"/>
      <c r="C169" s="74"/>
      <c r="D169" s="75"/>
      <c r="E169" s="75"/>
      <c r="F169" s="75"/>
      <c r="G169" s="76"/>
      <c r="H169" s="63"/>
      <c r="I169" s="63"/>
      <c r="J169" s="76"/>
      <c r="K169" s="76"/>
      <c r="L169" s="37"/>
      <c r="M169" s="37"/>
      <c r="N169" s="76"/>
      <c r="O169" s="76"/>
      <c r="P169" s="37"/>
      <c r="Q169" s="37"/>
      <c r="R169" s="76"/>
      <c r="S169" s="63"/>
      <c r="T169" s="76"/>
    </row>
    <row r="170" spans="2:20" x14ac:dyDescent="0.35">
      <c r="B170" s="35"/>
      <c r="C170" s="74"/>
      <c r="D170" s="75"/>
      <c r="E170" s="75"/>
      <c r="F170" s="75"/>
      <c r="G170" s="76"/>
      <c r="H170" s="63"/>
      <c r="I170" s="63"/>
      <c r="J170" s="76"/>
      <c r="K170" s="76"/>
      <c r="L170" s="37"/>
      <c r="M170" s="37"/>
      <c r="N170" s="76"/>
      <c r="O170" s="76"/>
      <c r="P170" s="37"/>
      <c r="Q170" s="37"/>
      <c r="R170" s="76"/>
      <c r="S170" s="63"/>
      <c r="T170" s="76"/>
    </row>
    <row r="171" spans="2:20" x14ac:dyDescent="0.35">
      <c r="B171" s="35"/>
      <c r="C171" s="74"/>
      <c r="D171" s="75"/>
      <c r="E171" s="75"/>
      <c r="F171" s="75"/>
      <c r="G171" s="76"/>
      <c r="H171" s="63"/>
      <c r="I171" s="63"/>
      <c r="J171" s="76"/>
      <c r="K171" s="76"/>
      <c r="L171" s="37"/>
      <c r="M171" s="37"/>
      <c r="N171" s="76"/>
      <c r="O171" s="76"/>
      <c r="P171" s="37"/>
      <c r="Q171" s="37"/>
      <c r="R171" s="76"/>
      <c r="S171" s="63"/>
      <c r="T171" s="76"/>
    </row>
    <row r="172" spans="2:20" x14ac:dyDescent="0.35">
      <c r="B172" s="35"/>
      <c r="C172" s="74"/>
      <c r="D172" s="75"/>
      <c r="E172" s="75"/>
      <c r="F172" s="75"/>
      <c r="G172" s="76"/>
      <c r="H172" s="63"/>
      <c r="I172" s="63"/>
      <c r="J172" s="76"/>
      <c r="K172" s="76"/>
      <c r="L172" s="37"/>
      <c r="M172" s="37"/>
      <c r="N172" s="76"/>
      <c r="O172" s="76"/>
      <c r="P172" s="37"/>
      <c r="Q172" s="37"/>
      <c r="R172" s="76"/>
      <c r="S172" s="63"/>
      <c r="T172" s="76"/>
    </row>
    <row r="173" spans="2:20" x14ac:dyDescent="0.35">
      <c r="B173" s="35"/>
      <c r="C173" s="74"/>
      <c r="D173" s="75"/>
      <c r="E173" s="75"/>
      <c r="F173" s="75"/>
      <c r="G173" s="76"/>
      <c r="H173" s="63"/>
      <c r="I173" s="63"/>
      <c r="J173" s="76"/>
      <c r="K173" s="76"/>
      <c r="L173" s="37"/>
      <c r="M173" s="37"/>
      <c r="N173" s="76"/>
      <c r="O173" s="76"/>
      <c r="P173" s="37"/>
      <c r="Q173" s="37"/>
      <c r="R173" s="76"/>
      <c r="S173" s="63"/>
      <c r="T173" s="76"/>
    </row>
    <row r="174" spans="2:20" x14ac:dyDescent="0.35">
      <c r="B174" s="35"/>
      <c r="C174" s="74"/>
      <c r="D174" s="75"/>
      <c r="E174" s="75"/>
      <c r="F174" s="75"/>
      <c r="G174" s="76"/>
      <c r="H174" s="63"/>
      <c r="I174" s="63"/>
      <c r="J174" s="76"/>
      <c r="K174" s="76"/>
      <c r="L174" s="37"/>
      <c r="M174" s="37"/>
      <c r="N174" s="76"/>
      <c r="O174" s="76"/>
      <c r="P174" s="37"/>
      <c r="Q174" s="37"/>
      <c r="R174" s="76"/>
      <c r="S174" s="63"/>
      <c r="T174" s="76"/>
    </row>
    <row r="175" spans="2:20" x14ac:dyDescent="0.35">
      <c r="B175" s="35"/>
      <c r="C175" s="74"/>
      <c r="D175" s="75"/>
      <c r="E175" s="75"/>
      <c r="F175" s="75"/>
      <c r="G175" s="76"/>
      <c r="H175" s="63"/>
      <c r="I175" s="63"/>
      <c r="J175" s="76"/>
      <c r="K175" s="76"/>
      <c r="L175" s="37"/>
      <c r="M175" s="37"/>
      <c r="N175" s="76"/>
      <c r="O175" s="76"/>
      <c r="P175" s="37"/>
      <c r="Q175" s="37"/>
      <c r="R175" s="76"/>
      <c r="S175" s="63"/>
      <c r="T175" s="76"/>
    </row>
    <row r="176" spans="2:20" x14ac:dyDescent="0.35">
      <c r="B176" s="35"/>
      <c r="C176" s="74"/>
      <c r="D176" s="75"/>
      <c r="E176" s="75"/>
      <c r="F176" s="75"/>
      <c r="G176" s="76"/>
      <c r="H176" s="63"/>
      <c r="I176" s="63"/>
      <c r="J176" s="76"/>
      <c r="K176" s="76"/>
      <c r="L176" s="37"/>
      <c r="M176" s="37"/>
      <c r="N176" s="76"/>
      <c r="O176" s="76"/>
      <c r="P176" s="37"/>
      <c r="Q176" s="37"/>
      <c r="R176" s="76"/>
      <c r="S176" s="63"/>
      <c r="T176" s="76"/>
    </row>
    <row r="177" spans="2:20" x14ac:dyDescent="0.35">
      <c r="B177" s="35"/>
      <c r="C177" s="74"/>
      <c r="D177" s="75"/>
      <c r="E177" s="75"/>
      <c r="F177" s="75"/>
      <c r="G177" s="76"/>
      <c r="H177" s="63"/>
      <c r="I177" s="63"/>
      <c r="J177" s="76"/>
      <c r="K177" s="76"/>
      <c r="L177" s="37"/>
      <c r="M177" s="37"/>
      <c r="N177" s="76"/>
      <c r="O177" s="76"/>
      <c r="P177" s="37"/>
      <c r="Q177" s="37"/>
      <c r="R177" s="76"/>
      <c r="S177" s="63"/>
      <c r="T177" s="76"/>
    </row>
    <row r="178" spans="2:20" x14ac:dyDescent="0.35">
      <c r="B178" s="35"/>
      <c r="C178" s="74"/>
      <c r="D178" s="75"/>
      <c r="E178" s="75"/>
      <c r="F178" s="75"/>
      <c r="G178" s="76"/>
      <c r="H178" s="63"/>
      <c r="I178" s="63"/>
      <c r="J178" s="76"/>
      <c r="K178" s="76"/>
      <c r="L178" s="37"/>
      <c r="M178" s="37"/>
      <c r="N178" s="76"/>
      <c r="O178" s="76"/>
      <c r="P178" s="37"/>
      <c r="Q178" s="37"/>
      <c r="R178" s="76"/>
      <c r="S178" s="63"/>
      <c r="T178" s="76"/>
    </row>
    <row r="179" spans="2:20" x14ac:dyDescent="0.35">
      <c r="B179" s="35"/>
      <c r="C179" s="74"/>
      <c r="D179" s="75"/>
      <c r="E179" s="75"/>
      <c r="F179" s="75"/>
      <c r="G179" s="76"/>
      <c r="H179" s="63"/>
      <c r="I179" s="63"/>
      <c r="J179" s="76"/>
      <c r="K179" s="76"/>
      <c r="L179" s="37"/>
      <c r="M179" s="37"/>
      <c r="N179" s="76"/>
      <c r="O179" s="76"/>
      <c r="P179" s="37"/>
      <c r="Q179" s="37"/>
      <c r="R179" s="76"/>
      <c r="S179" s="63"/>
      <c r="T179" s="76"/>
    </row>
    <row r="180" spans="2:20" x14ac:dyDescent="0.35">
      <c r="B180" s="35"/>
      <c r="C180" s="74"/>
      <c r="D180" s="75"/>
      <c r="E180" s="75"/>
      <c r="F180" s="75"/>
      <c r="G180" s="76"/>
      <c r="H180" s="63"/>
      <c r="I180" s="63"/>
      <c r="J180" s="76"/>
      <c r="K180" s="76"/>
      <c r="L180" s="37"/>
      <c r="M180" s="37"/>
      <c r="N180" s="76"/>
      <c r="O180" s="76"/>
      <c r="P180" s="37"/>
      <c r="Q180" s="37"/>
      <c r="R180" s="76"/>
      <c r="S180" s="63"/>
      <c r="T180" s="76"/>
    </row>
    <row r="181" spans="2:20" x14ac:dyDescent="0.35">
      <c r="B181" s="35"/>
      <c r="C181" s="74"/>
      <c r="D181" s="75"/>
      <c r="E181" s="75"/>
      <c r="F181" s="75"/>
      <c r="G181" s="76"/>
      <c r="H181" s="63"/>
      <c r="I181" s="63"/>
      <c r="J181" s="76"/>
      <c r="K181" s="76"/>
      <c r="L181" s="37"/>
      <c r="M181" s="37"/>
      <c r="N181" s="76"/>
      <c r="O181" s="76"/>
      <c r="P181" s="37"/>
      <c r="Q181" s="37"/>
      <c r="R181" s="76"/>
      <c r="S181" s="63"/>
      <c r="T181" s="76"/>
    </row>
    <row r="182" spans="2:20" x14ac:dyDescent="0.35">
      <c r="B182" s="35"/>
      <c r="C182" s="74"/>
      <c r="D182" s="75"/>
      <c r="E182" s="75"/>
      <c r="F182" s="75"/>
      <c r="G182" s="76"/>
      <c r="H182" s="63"/>
      <c r="I182" s="63"/>
      <c r="J182" s="76"/>
      <c r="K182" s="76"/>
      <c r="L182" s="37"/>
      <c r="M182" s="37"/>
      <c r="N182" s="76"/>
      <c r="O182" s="76"/>
      <c r="P182" s="37"/>
      <c r="Q182" s="37"/>
      <c r="R182" s="76"/>
      <c r="S182" s="63"/>
      <c r="T182" s="76"/>
    </row>
    <row r="183" spans="2:20" x14ac:dyDescent="0.35">
      <c r="B183" s="35"/>
      <c r="C183" s="74"/>
      <c r="D183" s="75"/>
      <c r="E183" s="75"/>
      <c r="F183" s="75"/>
      <c r="G183" s="76"/>
      <c r="H183" s="63"/>
      <c r="I183" s="63"/>
      <c r="J183" s="76"/>
      <c r="K183" s="76"/>
      <c r="L183" s="37"/>
      <c r="M183" s="37"/>
      <c r="N183" s="76"/>
      <c r="O183" s="76"/>
      <c r="P183" s="37"/>
      <c r="Q183" s="37"/>
      <c r="R183" s="76"/>
      <c r="S183" s="63"/>
      <c r="T183" s="76"/>
    </row>
    <row r="184" spans="2:20" x14ac:dyDescent="0.35">
      <c r="B184" s="35"/>
      <c r="C184" s="74"/>
      <c r="D184" s="75"/>
      <c r="E184" s="75"/>
      <c r="F184" s="75"/>
      <c r="G184" s="76"/>
      <c r="H184" s="63"/>
      <c r="I184" s="63"/>
      <c r="J184" s="76"/>
      <c r="K184" s="76"/>
      <c r="L184" s="37"/>
      <c r="M184" s="37"/>
      <c r="N184" s="76"/>
      <c r="O184" s="76"/>
      <c r="P184" s="37"/>
      <c r="Q184" s="37"/>
      <c r="R184" s="76"/>
      <c r="S184" s="63"/>
      <c r="T184" s="76"/>
    </row>
    <row r="185" spans="2:20" x14ac:dyDescent="0.35">
      <c r="B185" s="35"/>
      <c r="C185" s="74"/>
      <c r="D185" s="75"/>
      <c r="E185" s="75"/>
      <c r="F185" s="75"/>
      <c r="G185" s="76"/>
      <c r="H185" s="63"/>
      <c r="I185" s="63"/>
      <c r="J185" s="76"/>
      <c r="K185" s="76"/>
      <c r="L185" s="37"/>
      <c r="M185" s="37"/>
      <c r="N185" s="76"/>
      <c r="O185" s="76"/>
      <c r="P185" s="37"/>
      <c r="Q185" s="37"/>
      <c r="R185" s="76"/>
      <c r="S185" s="63"/>
      <c r="T185" s="76"/>
    </row>
    <row r="186" spans="2:20" x14ac:dyDescent="0.35">
      <c r="B186" s="35"/>
      <c r="C186" s="74"/>
      <c r="D186" s="75"/>
      <c r="E186" s="75"/>
      <c r="F186" s="75"/>
      <c r="G186" s="76"/>
      <c r="H186" s="63"/>
      <c r="I186" s="63"/>
      <c r="J186" s="76"/>
      <c r="K186" s="76"/>
      <c r="L186" s="37"/>
      <c r="M186" s="37"/>
      <c r="N186" s="76"/>
      <c r="O186" s="76"/>
      <c r="P186" s="37"/>
      <c r="Q186" s="37"/>
      <c r="R186" s="76"/>
      <c r="S186" s="63"/>
      <c r="T186" s="76"/>
    </row>
    <row r="187" spans="2:20" x14ac:dyDescent="0.35">
      <c r="B187" s="35"/>
      <c r="C187" s="74"/>
      <c r="D187" s="75"/>
      <c r="E187" s="75"/>
      <c r="F187" s="75"/>
      <c r="G187" s="76"/>
      <c r="H187" s="63"/>
      <c r="I187" s="63"/>
      <c r="J187" s="76"/>
      <c r="K187" s="76"/>
      <c r="L187" s="37"/>
      <c r="M187" s="37"/>
      <c r="N187" s="76"/>
      <c r="O187" s="76"/>
      <c r="P187" s="37"/>
      <c r="Q187" s="37"/>
      <c r="R187" s="76"/>
      <c r="S187" s="63"/>
      <c r="T187" s="76"/>
    </row>
    <row r="188" spans="2:20" x14ac:dyDescent="0.35">
      <c r="B188" s="35"/>
      <c r="C188" s="74"/>
      <c r="D188" s="75"/>
      <c r="E188" s="75"/>
      <c r="F188" s="75"/>
      <c r="G188" s="76"/>
      <c r="H188" s="63"/>
      <c r="I188" s="63"/>
      <c r="J188" s="76"/>
      <c r="K188" s="76"/>
      <c r="L188" s="37"/>
      <c r="M188" s="37"/>
      <c r="N188" s="76"/>
      <c r="O188" s="76"/>
      <c r="P188" s="37"/>
      <c r="Q188" s="37"/>
      <c r="R188" s="76"/>
      <c r="S188" s="63"/>
      <c r="T188" s="76"/>
    </row>
    <row r="189" spans="2:20" x14ac:dyDescent="0.35">
      <c r="B189" s="35"/>
      <c r="C189" s="74"/>
      <c r="D189" s="75"/>
      <c r="E189" s="75"/>
      <c r="F189" s="75"/>
      <c r="G189" s="76"/>
      <c r="H189" s="63"/>
      <c r="I189" s="63"/>
      <c r="J189" s="76"/>
      <c r="K189" s="76"/>
      <c r="L189" s="37"/>
      <c r="M189" s="37"/>
      <c r="N189" s="76"/>
      <c r="O189" s="76"/>
      <c r="P189" s="37"/>
      <c r="Q189" s="37"/>
      <c r="R189" s="76"/>
      <c r="S189" s="63"/>
      <c r="T189" s="76"/>
    </row>
    <row r="190" spans="2:20" x14ac:dyDescent="0.35">
      <c r="B190" s="35"/>
      <c r="C190" s="74"/>
      <c r="D190" s="75"/>
      <c r="E190" s="75"/>
      <c r="F190" s="75"/>
      <c r="G190" s="76"/>
      <c r="H190" s="63"/>
      <c r="I190" s="63"/>
      <c r="J190" s="76"/>
      <c r="K190" s="76"/>
      <c r="L190" s="37"/>
      <c r="M190" s="37"/>
      <c r="N190" s="76"/>
      <c r="O190" s="76"/>
      <c r="P190" s="37"/>
      <c r="Q190" s="37"/>
      <c r="R190" s="76"/>
      <c r="S190" s="63"/>
      <c r="T190" s="76"/>
    </row>
    <row r="191" spans="2:20" x14ac:dyDescent="0.35">
      <c r="B191" s="35"/>
      <c r="C191" s="74"/>
      <c r="D191" s="75"/>
      <c r="E191" s="75"/>
      <c r="F191" s="75"/>
      <c r="G191" s="76"/>
      <c r="H191" s="63"/>
      <c r="I191" s="63"/>
      <c r="J191" s="76"/>
      <c r="K191" s="76"/>
      <c r="L191" s="37"/>
      <c r="M191" s="37"/>
      <c r="N191" s="76"/>
      <c r="O191" s="76"/>
      <c r="P191" s="37"/>
      <c r="Q191" s="37"/>
      <c r="R191" s="76"/>
      <c r="S191" s="63"/>
      <c r="T191" s="76"/>
    </row>
    <row r="192" spans="2:20" x14ac:dyDescent="0.35">
      <c r="B192" s="35"/>
      <c r="C192" s="74"/>
      <c r="D192" s="75"/>
      <c r="E192" s="75"/>
      <c r="F192" s="75"/>
      <c r="G192" s="76"/>
      <c r="H192" s="63"/>
      <c r="I192" s="63"/>
      <c r="J192" s="76"/>
      <c r="K192" s="76"/>
      <c r="L192" s="37"/>
      <c r="M192" s="37"/>
      <c r="N192" s="76"/>
      <c r="O192" s="76"/>
      <c r="P192" s="37"/>
      <c r="Q192" s="37"/>
      <c r="R192" s="76"/>
      <c r="S192" s="63"/>
      <c r="T192" s="76"/>
    </row>
    <row r="193" spans="2:20" x14ac:dyDescent="0.35">
      <c r="B193" s="35"/>
      <c r="C193" s="74"/>
      <c r="D193" s="75"/>
      <c r="E193" s="75"/>
      <c r="F193" s="75"/>
      <c r="G193" s="76"/>
      <c r="H193" s="63"/>
      <c r="I193" s="63"/>
      <c r="J193" s="76"/>
      <c r="K193" s="76"/>
      <c r="L193" s="37"/>
      <c r="M193" s="37"/>
      <c r="N193" s="76"/>
      <c r="O193" s="76"/>
      <c r="P193" s="37"/>
      <c r="Q193" s="37"/>
      <c r="R193" s="76"/>
      <c r="S193" s="63"/>
      <c r="T193" s="76"/>
    </row>
    <row r="194" spans="2:20" x14ac:dyDescent="0.35">
      <c r="B194" s="35"/>
      <c r="C194" s="74"/>
      <c r="D194" s="75"/>
      <c r="E194" s="75"/>
      <c r="F194" s="75"/>
      <c r="G194" s="76"/>
      <c r="H194" s="63"/>
      <c r="I194" s="63"/>
      <c r="J194" s="76"/>
      <c r="K194" s="76"/>
      <c r="L194" s="37"/>
      <c r="M194" s="37"/>
      <c r="N194" s="76"/>
      <c r="O194" s="76"/>
      <c r="P194" s="37"/>
      <c r="Q194" s="37"/>
      <c r="R194" s="76"/>
      <c r="S194" s="63"/>
      <c r="T194" s="76"/>
    </row>
    <row r="195" spans="2:20" x14ac:dyDescent="0.35">
      <c r="B195" s="35"/>
      <c r="C195" s="74"/>
      <c r="D195" s="75"/>
      <c r="E195" s="75"/>
      <c r="F195" s="75"/>
      <c r="G195" s="76"/>
      <c r="H195" s="63"/>
      <c r="I195" s="63"/>
      <c r="J195" s="76"/>
      <c r="K195" s="76"/>
      <c r="L195" s="37"/>
      <c r="M195" s="37"/>
      <c r="N195" s="76"/>
      <c r="O195" s="76"/>
      <c r="P195" s="37"/>
      <c r="Q195" s="37"/>
      <c r="R195" s="76"/>
      <c r="S195" s="63"/>
      <c r="T195" s="76"/>
    </row>
    <row r="196" spans="2:20" x14ac:dyDescent="0.35">
      <c r="B196" s="35"/>
      <c r="C196" s="74"/>
      <c r="D196" s="75"/>
      <c r="E196" s="75"/>
      <c r="F196" s="75"/>
      <c r="G196" s="76"/>
      <c r="H196" s="63"/>
      <c r="I196" s="63"/>
      <c r="J196" s="76"/>
      <c r="K196" s="76"/>
      <c r="L196" s="37"/>
      <c r="M196" s="37"/>
      <c r="N196" s="76"/>
      <c r="O196" s="76"/>
      <c r="P196" s="37"/>
      <c r="Q196" s="37"/>
      <c r="R196" s="76"/>
      <c r="S196" s="63"/>
      <c r="T196" s="76"/>
    </row>
    <row r="197" spans="2:20" x14ac:dyDescent="0.35">
      <c r="B197" s="35"/>
      <c r="C197" s="74"/>
      <c r="D197" s="75"/>
      <c r="E197" s="75"/>
      <c r="F197" s="75"/>
      <c r="G197" s="76"/>
      <c r="H197" s="63"/>
      <c r="I197" s="63"/>
      <c r="J197" s="76"/>
      <c r="K197" s="76"/>
      <c r="L197" s="37"/>
      <c r="M197" s="37"/>
      <c r="N197" s="76"/>
      <c r="O197" s="76"/>
      <c r="P197" s="37"/>
      <c r="Q197" s="37"/>
      <c r="R197" s="76"/>
      <c r="S197" s="63"/>
      <c r="T197" s="76"/>
    </row>
    <row r="198" spans="2:20" x14ac:dyDescent="0.35">
      <c r="B198" s="35"/>
      <c r="C198" s="74"/>
      <c r="D198" s="75"/>
      <c r="E198" s="75"/>
      <c r="F198" s="75"/>
      <c r="G198" s="76"/>
      <c r="H198" s="63"/>
      <c r="I198" s="63"/>
      <c r="J198" s="76"/>
      <c r="K198" s="76"/>
      <c r="L198" s="37"/>
      <c r="M198" s="37"/>
      <c r="N198" s="76"/>
      <c r="O198" s="76"/>
      <c r="P198" s="37"/>
      <c r="Q198" s="37"/>
      <c r="R198" s="76"/>
      <c r="S198" s="63"/>
      <c r="T198" s="76"/>
    </row>
    <row r="199" spans="2:20" x14ac:dyDescent="0.35">
      <c r="B199" s="35"/>
      <c r="C199" s="74"/>
      <c r="D199" s="75"/>
      <c r="E199" s="75"/>
      <c r="F199" s="75"/>
      <c r="G199" s="76"/>
      <c r="H199" s="63"/>
      <c r="I199" s="63"/>
      <c r="J199" s="76"/>
      <c r="K199" s="76"/>
      <c r="L199" s="37"/>
      <c r="M199" s="37"/>
      <c r="N199" s="76"/>
      <c r="O199" s="76"/>
      <c r="P199" s="37"/>
      <c r="Q199" s="37"/>
      <c r="R199" s="76"/>
      <c r="S199" s="63"/>
      <c r="T199" s="76"/>
    </row>
    <row r="200" spans="2:20" x14ac:dyDescent="0.35">
      <c r="B200" s="35"/>
      <c r="C200" s="74"/>
      <c r="D200" s="75"/>
      <c r="E200" s="75"/>
      <c r="F200" s="75"/>
      <c r="G200" s="76"/>
      <c r="H200" s="63"/>
      <c r="I200" s="63"/>
      <c r="J200" s="76"/>
      <c r="K200" s="76"/>
      <c r="L200" s="37"/>
      <c r="M200" s="37"/>
      <c r="N200" s="76"/>
      <c r="O200" s="76"/>
      <c r="P200" s="37"/>
      <c r="Q200" s="37"/>
      <c r="R200" s="76"/>
      <c r="S200" s="63"/>
      <c r="T200" s="76"/>
    </row>
    <row r="201" spans="2:20" x14ac:dyDescent="0.35">
      <c r="B201" s="35"/>
      <c r="C201" s="74"/>
      <c r="D201" s="75"/>
      <c r="E201" s="75"/>
      <c r="F201" s="75"/>
      <c r="G201" s="76"/>
      <c r="H201" s="63"/>
      <c r="I201" s="63"/>
      <c r="J201" s="76"/>
      <c r="K201" s="76"/>
      <c r="L201" s="37"/>
      <c r="M201" s="37"/>
      <c r="N201" s="76"/>
      <c r="O201" s="76"/>
      <c r="P201" s="37"/>
      <c r="Q201" s="37"/>
      <c r="R201" s="76"/>
      <c r="S201" s="63"/>
      <c r="T201" s="76"/>
    </row>
    <row r="202" spans="2:20" x14ac:dyDescent="0.35">
      <c r="B202" s="35"/>
      <c r="C202" s="74"/>
      <c r="D202" s="75"/>
      <c r="E202" s="75"/>
      <c r="F202" s="75"/>
      <c r="G202" s="76"/>
      <c r="H202" s="63"/>
      <c r="I202" s="63"/>
      <c r="J202" s="76"/>
      <c r="K202" s="76"/>
      <c r="L202" s="37"/>
      <c r="M202" s="37"/>
      <c r="N202" s="76"/>
      <c r="O202" s="76"/>
      <c r="P202" s="37"/>
      <c r="Q202" s="37"/>
      <c r="R202" s="76"/>
      <c r="S202" s="63"/>
      <c r="T202" s="76"/>
    </row>
    <row r="203" spans="2:20" x14ac:dyDescent="0.35">
      <c r="B203" s="35"/>
      <c r="C203" s="74"/>
      <c r="D203" s="75"/>
      <c r="E203" s="75"/>
      <c r="F203" s="75"/>
      <c r="G203" s="76"/>
      <c r="H203" s="63"/>
      <c r="I203" s="63"/>
      <c r="J203" s="76"/>
      <c r="K203" s="76"/>
      <c r="L203" s="37"/>
      <c r="M203" s="37"/>
      <c r="N203" s="76"/>
      <c r="O203" s="76"/>
      <c r="P203" s="37"/>
      <c r="Q203" s="37"/>
      <c r="R203" s="76"/>
      <c r="S203" s="63"/>
      <c r="T203" s="76"/>
    </row>
    <row r="204" spans="2:20" x14ac:dyDescent="0.35">
      <c r="B204" s="35"/>
      <c r="C204" s="74"/>
      <c r="D204" s="75"/>
      <c r="E204" s="75"/>
      <c r="F204" s="75"/>
      <c r="G204" s="76"/>
      <c r="H204" s="63"/>
      <c r="I204" s="63"/>
      <c r="J204" s="76"/>
      <c r="K204" s="76"/>
      <c r="L204" s="37"/>
      <c r="M204" s="37"/>
      <c r="N204" s="76"/>
      <c r="O204" s="76"/>
      <c r="P204" s="37"/>
      <c r="Q204" s="37"/>
      <c r="R204" s="76"/>
      <c r="S204" s="63"/>
      <c r="T204" s="76"/>
    </row>
    <row r="205" spans="2:20" x14ac:dyDescent="0.35">
      <c r="B205" s="35"/>
      <c r="C205" s="74"/>
      <c r="D205" s="75"/>
      <c r="E205" s="75"/>
      <c r="F205" s="75"/>
      <c r="G205" s="76"/>
      <c r="H205" s="63"/>
      <c r="I205" s="63"/>
      <c r="J205" s="76"/>
      <c r="K205" s="76"/>
      <c r="L205" s="37"/>
      <c r="M205" s="37"/>
      <c r="N205" s="76"/>
      <c r="O205" s="76"/>
      <c r="P205" s="37"/>
      <c r="Q205" s="37"/>
      <c r="R205" s="76"/>
      <c r="S205" s="63"/>
      <c r="T205" s="76"/>
    </row>
    <row r="206" spans="2:20" x14ac:dyDescent="0.35">
      <c r="B206" s="35"/>
      <c r="C206" s="74"/>
      <c r="D206" s="75"/>
      <c r="E206" s="75"/>
      <c r="F206" s="75"/>
      <c r="G206" s="76"/>
      <c r="H206" s="63"/>
      <c r="I206" s="63"/>
      <c r="J206" s="76"/>
      <c r="K206" s="76"/>
      <c r="L206" s="37"/>
      <c r="M206" s="37"/>
      <c r="N206" s="76"/>
      <c r="O206" s="76"/>
      <c r="P206" s="37"/>
      <c r="Q206" s="37"/>
      <c r="R206" s="76"/>
      <c r="S206" s="63"/>
      <c r="T206" s="76"/>
    </row>
    <row r="207" spans="2:20" x14ac:dyDescent="0.35">
      <c r="B207" s="35"/>
      <c r="C207" s="74"/>
      <c r="D207" s="75"/>
      <c r="E207" s="75"/>
      <c r="F207" s="75"/>
      <c r="G207" s="76"/>
      <c r="H207" s="63"/>
      <c r="I207" s="63"/>
      <c r="J207" s="76"/>
      <c r="K207" s="76"/>
      <c r="L207" s="37"/>
      <c r="M207" s="37"/>
      <c r="N207" s="76"/>
      <c r="O207" s="76"/>
      <c r="P207" s="37"/>
      <c r="Q207" s="37"/>
      <c r="R207" s="76"/>
      <c r="S207" s="63"/>
      <c r="T207" s="76"/>
    </row>
    <row r="208" spans="2:20" x14ac:dyDescent="0.35">
      <c r="B208" s="35"/>
      <c r="C208" s="74"/>
      <c r="D208" s="75"/>
      <c r="E208" s="75"/>
      <c r="F208" s="75"/>
      <c r="G208" s="76"/>
      <c r="H208" s="63"/>
      <c r="I208" s="63"/>
      <c r="J208" s="76"/>
      <c r="K208" s="76"/>
      <c r="L208" s="37"/>
      <c r="M208" s="37"/>
      <c r="N208" s="76"/>
      <c r="O208" s="76"/>
      <c r="P208" s="37"/>
      <c r="Q208" s="37"/>
      <c r="R208" s="76"/>
      <c r="S208" s="63"/>
      <c r="T208" s="76"/>
    </row>
    <row r="209" spans="2:20" x14ac:dyDescent="0.35">
      <c r="B209" s="35"/>
      <c r="C209" s="74"/>
      <c r="D209" s="75"/>
      <c r="E209" s="75"/>
      <c r="F209" s="75"/>
      <c r="G209" s="76"/>
      <c r="H209" s="63"/>
      <c r="I209" s="63"/>
      <c r="J209" s="76"/>
      <c r="K209" s="76"/>
      <c r="L209" s="37"/>
      <c r="M209" s="37"/>
      <c r="N209" s="76"/>
      <c r="O209" s="76"/>
      <c r="P209" s="37"/>
      <c r="Q209" s="37"/>
      <c r="R209" s="76"/>
      <c r="S209" s="63"/>
      <c r="T209" s="76"/>
    </row>
    <row r="210" spans="2:20" x14ac:dyDescent="0.35">
      <c r="B210" s="35"/>
      <c r="C210" s="74"/>
      <c r="D210" s="75"/>
      <c r="E210" s="75"/>
      <c r="F210" s="75"/>
      <c r="G210" s="76"/>
      <c r="H210" s="63"/>
      <c r="I210" s="63"/>
      <c r="J210" s="76"/>
      <c r="K210" s="76"/>
      <c r="L210" s="37"/>
      <c r="M210" s="37"/>
      <c r="N210" s="76"/>
      <c r="O210" s="76"/>
      <c r="P210" s="37"/>
      <c r="Q210" s="37"/>
      <c r="R210" s="76"/>
      <c r="S210" s="63"/>
      <c r="T210" s="76"/>
    </row>
    <row r="211" spans="2:20" x14ac:dyDescent="0.35">
      <c r="B211" s="35"/>
      <c r="C211" s="74"/>
      <c r="D211" s="75"/>
      <c r="E211" s="75"/>
      <c r="F211" s="75"/>
      <c r="G211" s="76"/>
      <c r="H211" s="63"/>
      <c r="I211" s="63"/>
      <c r="J211" s="76"/>
      <c r="K211" s="76"/>
      <c r="L211" s="37"/>
      <c r="M211" s="37"/>
      <c r="N211" s="76"/>
      <c r="O211" s="76"/>
      <c r="P211" s="37"/>
      <c r="Q211" s="37"/>
      <c r="R211" s="76"/>
      <c r="S211" s="63"/>
      <c r="T211" s="76"/>
    </row>
    <row r="212" spans="2:20" x14ac:dyDescent="0.35">
      <c r="B212" s="35"/>
      <c r="C212" s="74"/>
      <c r="D212" s="75"/>
      <c r="E212" s="75"/>
      <c r="F212" s="75"/>
      <c r="G212" s="76"/>
      <c r="H212" s="63"/>
      <c r="I212" s="63"/>
      <c r="J212" s="76"/>
      <c r="K212" s="76"/>
      <c r="L212" s="37"/>
      <c r="M212" s="37"/>
      <c r="N212" s="76"/>
      <c r="O212" s="76"/>
      <c r="P212" s="37"/>
      <c r="Q212" s="37"/>
      <c r="R212" s="76"/>
      <c r="S212" s="63"/>
      <c r="T212" s="76"/>
    </row>
    <row r="213" spans="2:20" x14ac:dyDescent="0.35">
      <c r="B213" s="35"/>
      <c r="C213" s="74"/>
      <c r="D213" s="75"/>
      <c r="E213" s="75"/>
      <c r="F213" s="75"/>
      <c r="G213" s="76"/>
      <c r="H213" s="63"/>
      <c r="I213" s="63"/>
      <c r="J213" s="76"/>
      <c r="K213" s="76"/>
      <c r="L213" s="37"/>
      <c r="M213" s="37"/>
      <c r="N213" s="76"/>
      <c r="O213" s="76"/>
      <c r="P213" s="37"/>
      <c r="Q213" s="37"/>
      <c r="R213" s="76"/>
      <c r="S213" s="63"/>
      <c r="T213" s="76"/>
    </row>
    <row r="214" spans="2:20" x14ac:dyDescent="0.35">
      <c r="B214" s="35"/>
      <c r="C214" s="74"/>
      <c r="D214" s="75"/>
      <c r="E214" s="75"/>
      <c r="F214" s="75"/>
      <c r="G214" s="76"/>
      <c r="H214" s="63"/>
      <c r="I214" s="63"/>
      <c r="J214" s="76"/>
      <c r="K214" s="76"/>
      <c r="L214" s="37"/>
      <c r="M214" s="37"/>
      <c r="N214" s="76"/>
      <c r="O214" s="76"/>
      <c r="P214" s="37"/>
      <c r="Q214" s="37"/>
      <c r="R214" s="76"/>
      <c r="S214" s="63"/>
      <c r="T214" s="76"/>
    </row>
    <row r="215" spans="2:20" x14ac:dyDescent="0.35">
      <c r="B215" s="35"/>
      <c r="C215" s="74"/>
      <c r="D215" s="75"/>
      <c r="E215" s="75"/>
      <c r="F215" s="75"/>
      <c r="G215" s="76"/>
      <c r="H215" s="63"/>
      <c r="I215" s="63"/>
      <c r="J215" s="76"/>
      <c r="K215" s="76"/>
      <c r="L215" s="37"/>
      <c r="M215" s="37"/>
      <c r="N215" s="76"/>
      <c r="O215" s="76"/>
      <c r="P215" s="37"/>
      <c r="Q215" s="37"/>
      <c r="R215" s="76"/>
      <c r="S215" s="63"/>
      <c r="T215" s="76"/>
    </row>
    <row r="216" spans="2:20" x14ac:dyDescent="0.35">
      <c r="B216" s="35"/>
      <c r="C216" s="74"/>
      <c r="D216" s="75"/>
      <c r="E216" s="75"/>
      <c r="F216" s="75"/>
      <c r="G216" s="76"/>
      <c r="H216" s="63"/>
      <c r="I216" s="63"/>
      <c r="J216" s="76"/>
      <c r="K216" s="76"/>
      <c r="L216" s="37"/>
      <c r="M216" s="37"/>
      <c r="N216" s="76"/>
      <c r="O216" s="76"/>
      <c r="P216" s="37"/>
      <c r="Q216" s="37"/>
      <c r="R216" s="76"/>
      <c r="S216" s="63"/>
      <c r="T216" s="76"/>
    </row>
    <row r="217" spans="2:20" x14ac:dyDescent="0.35">
      <c r="B217" s="35"/>
      <c r="C217" s="74"/>
      <c r="D217" s="75"/>
      <c r="E217" s="75"/>
      <c r="F217" s="75"/>
      <c r="G217" s="76"/>
      <c r="H217" s="63"/>
      <c r="I217" s="63"/>
      <c r="J217" s="76"/>
      <c r="K217" s="76"/>
      <c r="L217" s="37"/>
      <c r="M217" s="37"/>
      <c r="N217" s="76"/>
      <c r="O217" s="76"/>
      <c r="P217" s="37"/>
      <c r="Q217" s="37"/>
      <c r="R217" s="76"/>
      <c r="S217" s="63"/>
      <c r="T217" s="76"/>
    </row>
    <row r="218" spans="2:20" x14ac:dyDescent="0.35">
      <c r="B218" s="35"/>
      <c r="C218" s="74"/>
      <c r="D218" s="75"/>
      <c r="E218" s="75"/>
      <c r="F218" s="75"/>
      <c r="G218" s="76"/>
      <c r="H218" s="63"/>
      <c r="I218" s="63"/>
      <c r="J218" s="76"/>
      <c r="K218" s="76"/>
      <c r="L218" s="37"/>
      <c r="M218" s="37"/>
      <c r="N218" s="76"/>
      <c r="O218" s="76"/>
      <c r="P218" s="37"/>
      <c r="Q218" s="37"/>
      <c r="R218" s="76"/>
      <c r="S218" s="63"/>
      <c r="T218" s="76"/>
    </row>
    <row r="219" spans="2:20" x14ac:dyDescent="0.35">
      <c r="B219" s="35"/>
      <c r="C219" s="74"/>
      <c r="D219" s="75"/>
      <c r="E219" s="75"/>
      <c r="F219" s="75"/>
      <c r="G219" s="76"/>
      <c r="H219" s="63"/>
      <c r="I219" s="63"/>
      <c r="J219" s="76"/>
      <c r="K219" s="76"/>
      <c r="L219" s="37"/>
      <c r="M219" s="37"/>
      <c r="N219" s="76"/>
      <c r="O219" s="76"/>
      <c r="P219" s="37"/>
      <c r="Q219" s="37"/>
      <c r="R219" s="76"/>
      <c r="S219" s="63"/>
      <c r="T219" s="76"/>
    </row>
    <row r="220" spans="2:20" x14ac:dyDescent="0.35">
      <c r="B220" s="35"/>
      <c r="C220" s="74"/>
      <c r="D220" s="75"/>
      <c r="E220" s="75"/>
      <c r="F220" s="75"/>
      <c r="G220" s="76"/>
      <c r="H220" s="63"/>
      <c r="I220" s="63"/>
      <c r="J220" s="76"/>
      <c r="K220" s="76"/>
      <c r="L220" s="37"/>
      <c r="M220" s="37"/>
      <c r="N220" s="76"/>
      <c r="O220" s="76"/>
      <c r="P220" s="37"/>
      <c r="Q220" s="37"/>
      <c r="R220" s="76"/>
      <c r="S220" s="63"/>
      <c r="T220" s="76"/>
    </row>
    <row r="221" spans="2:20" x14ac:dyDescent="0.35">
      <c r="B221" s="35"/>
      <c r="C221" s="74"/>
      <c r="D221" s="75"/>
      <c r="E221" s="75"/>
      <c r="F221" s="75"/>
      <c r="G221" s="76"/>
      <c r="H221" s="63"/>
      <c r="I221" s="63"/>
      <c r="J221" s="76"/>
      <c r="K221" s="76"/>
      <c r="L221" s="37"/>
      <c r="M221" s="37"/>
      <c r="N221" s="76"/>
      <c r="O221" s="76"/>
      <c r="P221" s="37"/>
      <c r="Q221" s="37"/>
      <c r="R221" s="76"/>
      <c r="S221" s="63"/>
      <c r="T221" s="76"/>
    </row>
    <row r="222" spans="2:20" x14ac:dyDescent="0.35">
      <c r="B222" s="35"/>
      <c r="C222" s="74"/>
      <c r="D222" s="75"/>
      <c r="E222" s="75"/>
      <c r="F222" s="75"/>
      <c r="G222" s="76"/>
      <c r="H222" s="63"/>
      <c r="I222" s="63"/>
      <c r="J222" s="76"/>
      <c r="K222" s="76"/>
      <c r="L222" s="37"/>
      <c r="M222" s="37"/>
      <c r="N222" s="76"/>
      <c r="O222" s="76"/>
      <c r="P222" s="37"/>
      <c r="Q222" s="37"/>
      <c r="R222" s="76"/>
      <c r="S222" s="63"/>
      <c r="T222" s="76"/>
    </row>
    <row r="223" spans="2:20" x14ac:dyDescent="0.35">
      <c r="B223" s="35"/>
      <c r="C223" s="74"/>
      <c r="D223" s="75"/>
      <c r="E223" s="75"/>
      <c r="F223" s="75"/>
      <c r="G223" s="76"/>
      <c r="H223" s="63"/>
      <c r="I223" s="63"/>
      <c r="J223" s="76"/>
      <c r="K223" s="76"/>
      <c r="L223" s="37"/>
      <c r="M223" s="37"/>
      <c r="N223" s="76"/>
      <c r="O223" s="76"/>
      <c r="P223" s="37"/>
      <c r="Q223" s="37"/>
      <c r="R223" s="76"/>
      <c r="S223" s="63"/>
      <c r="T223" s="76"/>
    </row>
    <row r="224" spans="2:20" x14ac:dyDescent="0.35">
      <c r="B224" s="35"/>
      <c r="C224" s="74"/>
      <c r="D224" s="75"/>
      <c r="E224" s="75"/>
      <c r="F224" s="75"/>
      <c r="G224" s="76"/>
      <c r="H224" s="63"/>
      <c r="I224" s="63"/>
      <c r="J224" s="76"/>
      <c r="K224" s="76"/>
      <c r="L224" s="37"/>
      <c r="M224" s="37"/>
      <c r="N224" s="76"/>
      <c r="O224" s="76"/>
      <c r="P224" s="37"/>
      <c r="Q224" s="37"/>
      <c r="R224" s="76"/>
      <c r="S224" s="63"/>
      <c r="T224" s="76"/>
    </row>
    <row r="225" spans="2:20" x14ac:dyDescent="0.35">
      <c r="B225" s="35"/>
      <c r="C225" s="74"/>
      <c r="D225" s="75"/>
      <c r="E225" s="75"/>
      <c r="F225" s="75"/>
      <c r="G225" s="76"/>
      <c r="H225" s="63"/>
      <c r="I225" s="63"/>
      <c r="J225" s="76"/>
      <c r="K225" s="76"/>
      <c r="L225" s="37"/>
      <c r="M225" s="37"/>
      <c r="N225" s="76"/>
      <c r="O225" s="76"/>
      <c r="P225" s="37"/>
      <c r="Q225" s="37"/>
      <c r="R225" s="76"/>
      <c r="S225" s="63"/>
      <c r="T225" s="76"/>
    </row>
    <row r="226" spans="2:20" x14ac:dyDescent="0.35">
      <c r="B226" s="35"/>
      <c r="C226" s="74"/>
      <c r="D226" s="75"/>
      <c r="E226" s="75"/>
      <c r="F226" s="75"/>
      <c r="G226" s="76"/>
      <c r="H226" s="63"/>
      <c r="I226" s="63"/>
      <c r="J226" s="76"/>
      <c r="K226" s="76"/>
      <c r="L226" s="37"/>
      <c r="M226" s="37"/>
      <c r="N226" s="76"/>
      <c r="O226" s="76"/>
      <c r="P226" s="37"/>
      <c r="Q226" s="37"/>
      <c r="R226" s="76"/>
      <c r="S226" s="63"/>
      <c r="T226" s="76"/>
    </row>
    <row r="227" spans="2:20" x14ac:dyDescent="0.35">
      <c r="B227" s="35"/>
      <c r="C227" s="74"/>
      <c r="D227" s="75"/>
      <c r="E227" s="75"/>
      <c r="F227" s="75"/>
      <c r="G227" s="76"/>
      <c r="H227" s="63"/>
      <c r="I227" s="63"/>
      <c r="J227" s="76"/>
      <c r="K227" s="76"/>
      <c r="L227" s="37"/>
      <c r="M227" s="37"/>
      <c r="N227" s="76"/>
      <c r="O227" s="76"/>
      <c r="P227" s="37"/>
      <c r="Q227" s="37"/>
      <c r="R227" s="76"/>
      <c r="S227" s="63"/>
      <c r="T227" s="76"/>
    </row>
    <row r="228" spans="2:20" x14ac:dyDescent="0.35">
      <c r="B228" s="35"/>
      <c r="C228" s="74"/>
      <c r="D228" s="75"/>
      <c r="E228" s="75"/>
      <c r="F228" s="75"/>
      <c r="G228" s="76"/>
      <c r="H228" s="63"/>
      <c r="I228" s="63"/>
      <c r="J228" s="76"/>
      <c r="K228" s="76"/>
      <c r="L228" s="37"/>
      <c r="M228" s="37"/>
      <c r="N228" s="76"/>
      <c r="O228" s="76"/>
      <c r="P228" s="37"/>
      <c r="Q228" s="37"/>
      <c r="R228" s="76"/>
      <c r="S228" s="63"/>
      <c r="T228" s="76"/>
    </row>
    <row r="229" spans="2:20" x14ac:dyDescent="0.35">
      <c r="B229" s="35"/>
      <c r="C229" s="74"/>
      <c r="D229" s="75"/>
      <c r="E229" s="75"/>
      <c r="F229" s="75"/>
      <c r="G229" s="76"/>
      <c r="H229" s="63"/>
      <c r="I229" s="63"/>
      <c r="J229" s="76"/>
      <c r="K229" s="76"/>
      <c r="L229" s="37"/>
      <c r="M229" s="37"/>
      <c r="N229" s="76"/>
      <c r="O229" s="76"/>
      <c r="P229" s="37"/>
      <c r="Q229" s="37"/>
      <c r="R229" s="76"/>
      <c r="S229" s="63"/>
      <c r="T229" s="76"/>
    </row>
    <row r="230" spans="2:20" x14ac:dyDescent="0.35">
      <c r="B230" s="35"/>
      <c r="C230" s="74"/>
      <c r="D230" s="75"/>
      <c r="E230" s="75"/>
      <c r="F230" s="75"/>
      <c r="G230" s="76"/>
      <c r="H230" s="63"/>
      <c r="I230" s="63"/>
      <c r="J230" s="76"/>
      <c r="K230" s="76"/>
      <c r="L230" s="37"/>
      <c r="M230" s="37"/>
      <c r="N230" s="76"/>
      <c r="O230" s="76"/>
      <c r="P230" s="37"/>
      <c r="Q230" s="37"/>
      <c r="R230" s="76"/>
      <c r="S230" s="63"/>
      <c r="T230" s="76"/>
    </row>
    <row r="231" spans="2:20" x14ac:dyDescent="0.35">
      <c r="B231" s="35"/>
      <c r="C231" s="74"/>
      <c r="D231" s="75"/>
      <c r="E231" s="75"/>
      <c r="F231" s="75"/>
      <c r="G231" s="76"/>
      <c r="H231" s="63"/>
      <c r="I231" s="63"/>
      <c r="J231" s="76"/>
      <c r="K231" s="76"/>
      <c r="L231" s="37"/>
      <c r="M231" s="37"/>
      <c r="N231" s="76"/>
      <c r="O231" s="76"/>
      <c r="P231" s="37"/>
      <c r="Q231" s="37"/>
      <c r="R231" s="76"/>
      <c r="S231" s="63"/>
      <c r="T231" s="76"/>
    </row>
    <row r="232" spans="2:20" x14ac:dyDescent="0.35">
      <c r="B232" s="35"/>
      <c r="C232" s="74"/>
      <c r="D232" s="75"/>
      <c r="E232" s="75"/>
      <c r="F232" s="75"/>
      <c r="G232" s="76"/>
      <c r="H232" s="63"/>
      <c r="I232" s="63"/>
      <c r="J232" s="76"/>
      <c r="K232" s="76"/>
      <c r="L232" s="37"/>
      <c r="M232" s="37"/>
      <c r="N232" s="76"/>
      <c r="O232" s="76"/>
      <c r="P232" s="37"/>
      <c r="Q232" s="37"/>
      <c r="R232" s="76"/>
      <c r="S232" s="63"/>
      <c r="T232" s="76"/>
    </row>
    <row r="233" spans="2:20" x14ac:dyDescent="0.35">
      <c r="B233" s="35"/>
      <c r="C233" s="74"/>
      <c r="D233" s="75"/>
      <c r="E233" s="75"/>
      <c r="F233" s="75"/>
      <c r="G233" s="76"/>
      <c r="H233" s="63"/>
      <c r="I233" s="63"/>
      <c r="J233" s="76"/>
      <c r="K233" s="76"/>
      <c r="L233" s="37"/>
      <c r="M233" s="37"/>
      <c r="N233" s="76"/>
      <c r="O233" s="76"/>
      <c r="P233" s="37"/>
      <c r="Q233" s="37"/>
      <c r="R233" s="76"/>
      <c r="S233" s="63"/>
      <c r="T233" s="76"/>
    </row>
    <row r="234" spans="2:20" x14ac:dyDescent="0.35">
      <c r="B234" s="35"/>
      <c r="C234" s="74"/>
      <c r="D234" s="75"/>
      <c r="E234" s="75"/>
      <c r="F234" s="75"/>
      <c r="G234" s="76"/>
      <c r="H234" s="63"/>
      <c r="I234" s="63"/>
      <c r="J234" s="76"/>
      <c r="K234" s="76"/>
      <c r="L234" s="37"/>
      <c r="M234" s="37"/>
      <c r="N234" s="76"/>
      <c r="O234" s="76"/>
      <c r="P234" s="37"/>
      <c r="Q234" s="37"/>
      <c r="R234" s="76"/>
      <c r="S234" s="63"/>
      <c r="T234" s="76"/>
    </row>
    <row r="235" spans="2:20" x14ac:dyDescent="0.35">
      <c r="B235" s="35"/>
      <c r="C235" s="74"/>
      <c r="D235" s="75"/>
      <c r="E235" s="75"/>
      <c r="F235" s="75"/>
      <c r="G235" s="76"/>
      <c r="H235" s="63"/>
      <c r="I235" s="63"/>
      <c r="J235" s="76"/>
      <c r="K235" s="76"/>
      <c r="L235" s="37"/>
      <c r="M235" s="37"/>
      <c r="N235" s="76"/>
      <c r="O235" s="76"/>
      <c r="P235" s="37"/>
      <c r="Q235" s="37"/>
      <c r="R235" s="76"/>
      <c r="S235" s="63"/>
      <c r="T235" s="76"/>
    </row>
    <row r="236" spans="2:20" x14ac:dyDescent="0.35">
      <c r="B236" s="35"/>
      <c r="C236" s="74"/>
      <c r="D236" s="75"/>
      <c r="E236" s="75"/>
      <c r="F236" s="75"/>
      <c r="G236" s="76"/>
      <c r="H236" s="63"/>
      <c r="I236" s="63"/>
      <c r="J236" s="76"/>
      <c r="K236" s="76"/>
      <c r="L236" s="37"/>
      <c r="M236" s="37"/>
      <c r="N236" s="76"/>
      <c r="O236" s="76"/>
      <c r="P236" s="37"/>
      <c r="Q236" s="37"/>
      <c r="R236" s="76"/>
      <c r="S236" s="63"/>
      <c r="T236" s="76"/>
    </row>
    <row r="237" spans="2:20" x14ac:dyDescent="0.35">
      <c r="B237" s="35"/>
      <c r="C237" s="74"/>
      <c r="D237" s="75"/>
      <c r="E237" s="75"/>
      <c r="F237" s="75"/>
      <c r="G237" s="76"/>
      <c r="H237" s="63"/>
      <c r="I237" s="63"/>
      <c r="J237" s="76"/>
      <c r="K237" s="76"/>
      <c r="L237" s="37"/>
      <c r="M237" s="37"/>
      <c r="N237" s="76"/>
      <c r="O237" s="76"/>
      <c r="P237" s="37"/>
      <c r="Q237" s="37"/>
      <c r="R237" s="76"/>
      <c r="S237" s="63"/>
      <c r="T237" s="76"/>
    </row>
    <row r="238" spans="2:20" x14ac:dyDescent="0.35">
      <c r="B238" s="35"/>
      <c r="C238" s="74"/>
      <c r="D238" s="75"/>
      <c r="E238" s="75"/>
      <c r="F238" s="75"/>
      <c r="G238" s="76"/>
      <c r="H238" s="63"/>
      <c r="I238" s="63"/>
      <c r="J238" s="76"/>
      <c r="K238" s="76"/>
      <c r="L238" s="37"/>
      <c r="M238" s="37"/>
      <c r="N238" s="76"/>
      <c r="O238" s="76"/>
      <c r="P238" s="37"/>
      <c r="Q238" s="37"/>
      <c r="R238" s="76"/>
      <c r="S238" s="63"/>
      <c r="T238" s="76"/>
    </row>
    <row r="239" spans="2:20" x14ac:dyDescent="0.35">
      <c r="B239" s="35"/>
      <c r="C239" s="74"/>
      <c r="D239" s="75"/>
      <c r="E239" s="75"/>
      <c r="F239" s="75"/>
      <c r="G239" s="76"/>
      <c r="H239" s="63"/>
      <c r="I239" s="63"/>
      <c r="J239" s="76"/>
      <c r="K239" s="76"/>
      <c r="L239" s="37"/>
      <c r="M239" s="37"/>
      <c r="N239" s="76"/>
      <c r="O239" s="76"/>
      <c r="P239" s="37"/>
      <c r="Q239" s="37"/>
      <c r="R239" s="76"/>
      <c r="S239" s="63"/>
      <c r="T239" s="76"/>
    </row>
    <row r="240" spans="2:20" x14ac:dyDescent="0.35">
      <c r="B240" s="35"/>
      <c r="C240" s="74"/>
      <c r="D240" s="75"/>
      <c r="E240" s="75"/>
      <c r="F240" s="75"/>
      <c r="G240" s="76"/>
      <c r="H240" s="63"/>
      <c r="I240" s="63"/>
      <c r="J240" s="76"/>
      <c r="K240" s="76"/>
      <c r="L240" s="37"/>
      <c r="M240" s="37"/>
      <c r="N240" s="76"/>
      <c r="O240" s="76"/>
      <c r="P240" s="37"/>
      <c r="Q240" s="37"/>
      <c r="R240" s="76"/>
      <c r="S240" s="63"/>
      <c r="T240" s="76"/>
    </row>
    <row r="241" spans="2:20" x14ac:dyDescent="0.35">
      <c r="B241" s="35"/>
      <c r="C241" s="74"/>
      <c r="D241" s="75"/>
      <c r="E241" s="75"/>
      <c r="F241" s="75"/>
      <c r="G241" s="76"/>
      <c r="H241" s="63"/>
      <c r="I241" s="63"/>
      <c r="J241" s="76"/>
      <c r="K241" s="76"/>
      <c r="L241" s="37"/>
      <c r="M241" s="37"/>
      <c r="N241" s="76"/>
      <c r="O241" s="76"/>
      <c r="P241" s="37"/>
      <c r="Q241" s="37"/>
      <c r="R241" s="76"/>
      <c r="S241" s="63"/>
      <c r="T241" s="76"/>
    </row>
    <row r="242" spans="2:20" x14ac:dyDescent="0.35">
      <c r="B242" s="35"/>
      <c r="C242" s="74"/>
      <c r="D242" s="75"/>
      <c r="E242" s="75"/>
      <c r="F242" s="75"/>
      <c r="G242" s="76"/>
      <c r="H242" s="63"/>
      <c r="I242" s="63"/>
      <c r="J242" s="76"/>
      <c r="K242" s="76"/>
      <c r="L242" s="37"/>
      <c r="M242" s="37"/>
      <c r="N242" s="76"/>
      <c r="O242" s="76"/>
      <c r="P242" s="37"/>
      <c r="Q242" s="37"/>
      <c r="R242" s="76"/>
      <c r="S242" s="63"/>
      <c r="T242" s="76"/>
    </row>
    <row r="243" spans="2:20" x14ac:dyDescent="0.35">
      <c r="B243" s="35"/>
      <c r="C243" s="74"/>
      <c r="D243" s="75"/>
      <c r="E243" s="75"/>
      <c r="F243" s="75"/>
      <c r="G243" s="76"/>
      <c r="H243" s="63"/>
      <c r="I243" s="63"/>
      <c r="J243" s="76"/>
      <c r="K243" s="76"/>
      <c r="L243" s="37"/>
      <c r="M243" s="37"/>
      <c r="N243" s="76"/>
      <c r="O243" s="76"/>
      <c r="P243" s="37"/>
      <c r="Q243" s="37"/>
      <c r="R243" s="76"/>
      <c r="S243" s="63"/>
      <c r="T243" s="76"/>
    </row>
    <row r="244" spans="2:20" x14ac:dyDescent="0.35">
      <c r="B244" s="35"/>
      <c r="C244" s="74"/>
      <c r="D244" s="75"/>
      <c r="E244" s="75"/>
      <c r="F244" s="75"/>
      <c r="G244" s="76"/>
      <c r="H244" s="63"/>
      <c r="I244" s="63"/>
      <c r="J244" s="76"/>
      <c r="K244" s="76"/>
      <c r="L244" s="37"/>
      <c r="M244" s="37"/>
      <c r="N244" s="76"/>
      <c r="O244" s="76"/>
      <c r="P244" s="37"/>
      <c r="Q244" s="37"/>
      <c r="R244" s="76"/>
      <c r="S244" s="63"/>
      <c r="T244" s="76"/>
    </row>
    <row r="245" spans="2:20" x14ac:dyDescent="0.35">
      <c r="B245" s="35"/>
      <c r="C245" s="74"/>
      <c r="D245" s="75"/>
      <c r="E245" s="75"/>
      <c r="F245" s="75"/>
      <c r="G245" s="76"/>
      <c r="H245" s="63"/>
      <c r="I245" s="63"/>
      <c r="J245" s="76"/>
      <c r="K245" s="76"/>
      <c r="L245" s="37"/>
      <c r="M245" s="37"/>
      <c r="N245" s="76"/>
      <c r="O245" s="76"/>
      <c r="P245" s="37"/>
      <c r="Q245" s="37"/>
      <c r="R245" s="76"/>
      <c r="S245" s="63"/>
      <c r="T245" s="76"/>
    </row>
    <row r="246" spans="2:20" x14ac:dyDescent="0.35">
      <c r="B246" s="35"/>
      <c r="C246" s="74"/>
      <c r="D246" s="75"/>
      <c r="E246" s="75"/>
      <c r="F246" s="75"/>
      <c r="G246" s="76"/>
      <c r="H246" s="63"/>
      <c r="I246" s="63"/>
      <c r="J246" s="76"/>
      <c r="K246" s="76"/>
      <c r="L246" s="37"/>
      <c r="M246" s="37"/>
      <c r="N246" s="76"/>
      <c r="O246" s="76"/>
      <c r="P246" s="37"/>
      <c r="Q246" s="37"/>
      <c r="R246" s="76"/>
      <c r="S246" s="63"/>
      <c r="T246" s="76"/>
    </row>
    <row r="247" spans="2:20" x14ac:dyDescent="0.35">
      <c r="B247" s="35"/>
      <c r="C247" s="74"/>
      <c r="D247" s="75"/>
      <c r="E247" s="75"/>
      <c r="F247" s="75"/>
      <c r="G247" s="76"/>
      <c r="H247" s="63"/>
      <c r="I247" s="63"/>
      <c r="J247" s="76"/>
      <c r="K247" s="76"/>
      <c r="L247" s="37"/>
      <c r="M247" s="37"/>
      <c r="N247" s="76"/>
      <c r="O247" s="76"/>
      <c r="P247" s="37"/>
      <c r="Q247" s="37"/>
      <c r="R247" s="76"/>
      <c r="S247" s="63"/>
      <c r="T247" s="76"/>
    </row>
    <row r="248" spans="2:20" x14ac:dyDescent="0.35">
      <c r="B248" s="35"/>
      <c r="C248" s="74"/>
      <c r="D248" s="75"/>
      <c r="E248" s="75"/>
      <c r="F248" s="75"/>
      <c r="G248" s="76"/>
      <c r="H248" s="63"/>
      <c r="I248" s="63"/>
      <c r="J248" s="76"/>
      <c r="K248" s="76"/>
      <c r="L248" s="37"/>
      <c r="M248" s="37"/>
      <c r="N248" s="76"/>
      <c r="O248" s="76"/>
      <c r="P248" s="37"/>
      <c r="Q248" s="37"/>
      <c r="R248" s="76"/>
      <c r="S248" s="63"/>
      <c r="T248" s="76"/>
    </row>
    <row r="249" spans="2:20" x14ac:dyDescent="0.35">
      <c r="B249" s="35"/>
      <c r="C249" s="74"/>
      <c r="D249" s="75"/>
      <c r="E249" s="75"/>
      <c r="F249" s="75"/>
      <c r="G249" s="76"/>
      <c r="H249" s="63"/>
      <c r="I249" s="63"/>
      <c r="J249" s="76"/>
      <c r="K249" s="76"/>
      <c r="L249" s="37"/>
      <c r="M249" s="37"/>
      <c r="N249" s="76"/>
      <c r="O249" s="76"/>
      <c r="P249" s="37"/>
      <c r="Q249" s="37"/>
      <c r="R249" s="76"/>
      <c r="S249" s="63"/>
      <c r="T249" s="76"/>
    </row>
    <row r="250" spans="2:20" x14ac:dyDescent="0.35">
      <c r="B250" s="35"/>
      <c r="C250" s="74"/>
      <c r="D250" s="75"/>
      <c r="E250" s="75"/>
      <c r="F250" s="75"/>
      <c r="G250" s="76"/>
      <c r="H250" s="63"/>
      <c r="I250" s="63"/>
      <c r="J250" s="76"/>
      <c r="K250" s="76"/>
      <c r="L250" s="37"/>
      <c r="M250" s="37"/>
      <c r="N250" s="76"/>
      <c r="O250" s="76"/>
      <c r="P250" s="37"/>
      <c r="Q250" s="37"/>
      <c r="R250" s="76"/>
      <c r="S250" s="63"/>
      <c r="T250" s="76"/>
    </row>
    <row r="251" spans="2:20" x14ac:dyDescent="0.35">
      <c r="B251" s="35"/>
      <c r="C251" s="74"/>
      <c r="D251" s="75"/>
      <c r="E251" s="75"/>
      <c r="F251" s="75"/>
      <c r="G251" s="76"/>
      <c r="H251" s="63"/>
      <c r="I251" s="63"/>
      <c r="J251" s="76"/>
      <c r="K251" s="76"/>
      <c r="L251" s="37"/>
      <c r="M251" s="37"/>
      <c r="N251" s="76"/>
      <c r="O251" s="76"/>
      <c r="P251" s="37"/>
      <c r="Q251" s="37"/>
      <c r="R251" s="76"/>
      <c r="S251" s="63"/>
      <c r="T251" s="76"/>
    </row>
    <row r="252" spans="2:20" x14ac:dyDescent="0.35">
      <c r="B252" s="35"/>
      <c r="C252" s="74"/>
      <c r="D252" s="75"/>
      <c r="E252" s="75"/>
      <c r="F252" s="75"/>
      <c r="G252" s="76"/>
      <c r="H252" s="63"/>
      <c r="I252" s="63"/>
      <c r="J252" s="76"/>
      <c r="K252" s="76"/>
      <c r="L252" s="37"/>
      <c r="M252" s="37"/>
      <c r="N252" s="76"/>
      <c r="O252" s="76"/>
      <c r="P252" s="37"/>
      <c r="Q252" s="37"/>
      <c r="R252" s="76"/>
      <c r="S252" s="63"/>
      <c r="T252" s="76"/>
    </row>
    <row r="253" spans="2:20" x14ac:dyDescent="0.35">
      <c r="B253" s="35"/>
      <c r="C253" s="74"/>
      <c r="D253" s="75"/>
      <c r="E253" s="75"/>
      <c r="F253" s="75"/>
      <c r="G253" s="76"/>
      <c r="H253" s="63"/>
      <c r="I253" s="63"/>
      <c r="J253" s="76"/>
      <c r="K253" s="76"/>
      <c r="L253" s="37"/>
      <c r="M253" s="37"/>
      <c r="N253" s="76"/>
      <c r="O253" s="76"/>
      <c r="P253" s="37"/>
      <c r="Q253" s="37"/>
      <c r="R253" s="76"/>
      <c r="S253" s="63"/>
      <c r="T253" s="76"/>
    </row>
    <row r="254" spans="2:20" x14ac:dyDescent="0.35">
      <c r="B254" s="35"/>
      <c r="C254" s="74"/>
      <c r="D254" s="75"/>
      <c r="E254" s="75"/>
      <c r="F254" s="75"/>
      <c r="G254" s="76"/>
      <c r="H254" s="63"/>
      <c r="I254" s="63"/>
      <c r="J254" s="76"/>
      <c r="K254" s="76"/>
      <c r="L254" s="37"/>
      <c r="M254" s="37"/>
      <c r="N254" s="76"/>
      <c r="O254" s="76"/>
      <c r="P254" s="37"/>
      <c r="Q254" s="37"/>
      <c r="R254" s="76"/>
      <c r="S254" s="63"/>
      <c r="T254" s="76"/>
    </row>
    <row r="255" spans="2:20" x14ac:dyDescent="0.35">
      <c r="B255" s="35"/>
      <c r="C255" s="74"/>
      <c r="D255" s="75"/>
      <c r="E255" s="75"/>
      <c r="F255" s="75"/>
      <c r="G255" s="76"/>
      <c r="H255" s="63"/>
      <c r="I255" s="63"/>
      <c r="J255" s="76"/>
      <c r="K255" s="76"/>
      <c r="L255" s="37"/>
      <c r="M255" s="37"/>
      <c r="N255" s="76"/>
      <c r="O255" s="76"/>
      <c r="P255" s="37"/>
      <c r="Q255" s="37"/>
      <c r="R255" s="76"/>
      <c r="S255" s="63"/>
      <c r="T255" s="76"/>
    </row>
    <row r="256" spans="2:20" x14ac:dyDescent="0.35">
      <c r="B256" s="35"/>
      <c r="C256" s="74"/>
      <c r="D256" s="75"/>
      <c r="E256" s="75"/>
      <c r="F256" s="75"/>
      <c r="G256" s="76"/>
      <c r="H256" s="63"/>
      <c r="I256" s="63"/>
      <c r="J256" s="76"/>
      <c r="K256" s="76"/>
      <c r="L256" s="37"/>
      <c r="M256" s="37"/>
      <c r="N256" s="76"/>
      <c r="O256" s="76"/>
      <c r="P256" s="37"/>
      <c r="Q256" s="37"/>
      <c r="R256" s="76"/>
      <c r="S256" s="63"/>
      <c r="T256" s="76"/>
    </row>
    <row r="257" spans="2:20" x14ac:dyDescent="0.35">
      <c r="B257" s="35"/>
      <c r="C257" s="74"/>
      <c r="D257" s="75"/>
      <c r="E257" s="75"/>
      <c r="F257" s="75"/>
      <c r="G257" s="76"/>
      <c r="H257" s="63"/>
      <c r="I257" s="63"/>
      <c r="J257" s="76"/>
      <c r="K257" s="76"/>
      <c r="L257" s="37"/>
      <c r="M257" s="37"/>
      <c r="N257" s="76"/>
      <c r="O257" s="76"/>
      <c r="P257" s="37"/>
      <c r="Q257" s="37"/>
      <c r="R257" s="76"/>
      <c r="S257" s="63"/>
      <c r="T257" s="76"/>
    </row>
    <row r="258" spans="2:20" x14ac:dyDescent="0.35">
      <c r="B258" s="35"/>
      <c r="C258" s="74"/>
      <c r="D258" s="75"/>
      <c r="E258" s="75"/>
      <c r="F258" s="75"/>
      <c r="G258" s="76"/>
      <c r="H258" s="63"/>
      <c r="I258" s="63"/>
      <c r="J258" s="76"/>
      <c r="K258" s="76"/>
      <c r="L258" s="37"/>
      <c r="M258" s="37"/>
      <c r="N258" s="76"/>
      <c r="O258" s="76"/>
      <c r="P258" s="37"/>
      <c r="Q258" s="37"/>
      <c r="R258" s="76"/>
      <c r="S258" s="63"/>
      <c r="T258" s="76"/>
    </row>
    <row r="259" spans="2:20" x14ac:dyDescent="0.35">
      <c r="B259" s="35"/>
      <c r="C259" s="74"/>
      <c r="D259" s="75"/>
      <c r="E259" s="75"/>
      <c r="F259" s="75"/>
      <c r="G259" s="76"/>
      <c r="H259" s="63"/>
      <c r="I259" s="63"/>
      <c r="J259" s="76"/>
      <c r="K259" s="76"/>
      <c r="L259" s="37"/>
      <c r="M259" s="37"/>
      <c r="N259" s="76"/>
      <c r="O259" s="76"/>
      <c r="P259" s="37"/>
      <c r="Q259" s="37"/>
      <c r="R259" s="76"/>
      <c r="S259" s="63"/>
      <c r="T259" s="76"/>
    </row>
    <row r="260" spans="2:20" x14ac:dyDescent="0.35">
      <c r="B260" s="35"/>
      <c r="C260" s="74"/>
      <c r="D260" s="75"/>
      <c r="E260" s="75"/>
      <c r="F260" s="75"/>
      <c r="G260" s="76"/>
      <c r="H260" s="63"/>
      <c r="I260" s="63"/>
      <c r="J260" s="76"/>
      <c r="K260" s="76"/>
      <c r="L260" s="37"/>
      <c r="M260" s="37"/>
      <c r="N260" s="76"/>
      <c r="O260" s="76"/>
      <c r="P260" s="37"/>
      <c r="Q260" s="37"/>
      <c r="R260" s="76"/>
      <c r="S260" s="63"/>
      <c r="T260" s="76"/>
    </row>
    <row r="261" spans="2:20" x14ac:dyDescent="0.35">
      <c r="B261" s="35"/>
      <c r="C261" s="74"/>
      <c r="D261" s="75"/>
      <c r="E261" s="75"/>
      <c r="F261" s="75"/>
      <c r="G261" s="76"/>
      <c r="H261" s="63"/>
      <c r="I261" s="63"/>
      <c r="J261" s="76"/>
      <c r="K261" s="76"/>
      <c r="L261" s="37"/>
      <c r="M261" s="37"/>
      <c r="N261" s="76"/>
      <c r="O261" s="76"/>
      <c r="P261" s="37"/>
      <c r="Q261" s="37"/>
      <c r="R261" s="76"/>
      <c r="S261" s="63"/>
      <c r="T261" s="76"/>
    </row>
    <row r="262" spans="2:20" x14ac:dyDescent="0.35">
      <c r="B262" s="35"/>
      <c r="C262" s="74"/>
      <c r="D262" s="75"/>
      <c r="E262" s="75"/>
      <c r="F262" s="75"/>
      <c r="G262" s="76"/>
      <c r="H262" s="63"/>
      <c r="I262" s="63"/>
      <c r="J262" s="76"/>
      <c r="K262" s="76"/>
      <c r="L262" s="37"/>
      <c r="M262" s="37"/>
      <c r="N262" s="76"/>
      <c r="O262" s="76"/>
      <c r="P262" s="37"/>
      <c r="Q262" s="37"/>
      <c r="R262" s="76"/>
      <c r="S262" s="63"/>
      <c r="T262" s="76"/>
    </row>
    <row r="263" spans="2:20" x14ac:dyDescent="0.35">
      <c r="B263" s="35"/>
      <c r="C263" s="74"/>
      <c r="D263" s="75"/>
      <c r="E263" s="75"/>
      <c r="F263" s="75"/>
      <c r="G263" s="76"/>
      <c r="H263" s="63"/>
      <c r="I263" s="63"/>
      <c r="J263" s="76"/>
      <c r="K263" s="76"/>
      <c r="L263" s="37"/>
      <c r="M263" s="37"/>
      <c r="N263" s="76"/>
      <c r="O263" s="76"/>
      <c r="P263" s="37"/>
      <c r="Q263" s="37"/>
      <c r="R263" s="76"/>
      <c r="S263" s="63"/>
      <c r="T263" s="76"/>
    </row>
    <row r="264" spans="2:20" x14ac:dyDescent="0.35">
      <c r="B264" s="35"/>
      <c r="C264" s="74"/>
      <c r="D264" s="75"/>
      <c r="E264" s="75"/>
      <c r="F264" s="75"/>
      <c r="G264" s="76"/>
      <c r="H264" s="63"/>
      <c r="I264" s="63"/>
      <c r="J264" s="76"/>
      <c r="K264" s="76"/>
      <c r="L264" s="37"/>
      <c r="M264" s="37"/>
      <c r="N264" s="76"/>
      <c r="O264" s="76"/>
      <c r="P264" s="37"/>
      <c r="Q264" s="37"/>
      <c r="R264" s="76"/>
      <c r="S264" s="63"/>
      <c r="T264" s="76"/>
    </row>
    <row r="265" spans="2:20" x14ac:dyDescent="0.35">
      <c r="B265" s="35"/>
      <c r="C265" s="74"/>
      <c r="D265" s="75"/>
      <c r="E265" s="75"/>
      <c r="F265" s="75"/>
      <c r="G265" s="76"/>
      <c r="H265" s="63"/>
      <c r="I265" s="63"/>
      <c r="J265" s="76"/>
      <c r="K265" s="76"/>
      <c r="L265" s="37"/>
      <c r="M265" s="37"/>
      <c r="N265" s="76"/>
      <c r="O265" s="76"/>
      <c r="P265" s="37"/>
      <c r="Q265" s="37"/>
      <c r="R265" s="76"/>
      <c r="S265" s="63"/>
      <c r="T265" s="76"/>
    </row>
    <row r="266" spans="2:20" x14ac:dyDescent="0.35">
      <c r="B266" s="35"/>
      <c r="C266" s="74"/>
      <c r="D266" s="75"/>
      <c r="E266" s="75"/>
      <c r="F266" s="75"/>
      <c r="G266" s="76"/>
      <c r="H266" s="63"/>
      <c r="I266" s="63"/>
      <c r="J266" s="76"/>
      <c r="K266" s="76"/>
      <c r="L266" s="37"/>
      <c r="M266" s="37"/>
      <c r="N266" s="76"/>
      <c r="O266" s="76"/>
      <c r="P266" s="37"/>
      <c r="Q266" s="37"/>
      <c r="R266" s="76"/>
      <c r="S266" s="63"/>
      <c r="T266" s="76"/>
    </row>
    <row r="267" spans="2:20" x14ac:dyDescent="0.35">
      <c r="B267" s="35"/>
      <c r="C267" s="74"/>
      <c r="D267" s="75"/>
      <c r="E267" s="75"/>
      <c r="F267" s="75"/>
      <c r="G267" s="76"/>
      <c r="H267" s="63"/>
      <c r="I267" s="63"/>
      <c r="J267" s="76"/>
      <c r="K267" s="76"/>
      <c r="L267" s="37"/>
      <c r="M267" s="37"/>
      <c r="N267" s="76"/>
      <c r="O267" s="76"/>
      <c r="P267" s="37"/>
      <c r="Q267" s="37"/>
      <c r="R267" s="76"/>
      <c r="S267" s="63"/>
      <c r="T267" s="76"/>
    </row>
    <row r="268" spans="2:20" x14ac:dyDescent="0.35">
      <c r="B268" s="35"/>
      <c r="C268" s="74"/>
      <c r="D268" s="75"/>
      <c r="E268" s="75"/>
      <c r="F268" s="75"/>
      <c r="G268" s="76"/>
      <c r="H268" s="63"/>
      <c r="I268" s="63"/>
      <c r="J268" s="76"/>
      <c r="K268" s="76"/>
      <c r="L268" s="37"/>
      <c r="M268" s="37"/>
      <c r="N268" s="76"/>
      <c r="O268" s="76"/>
      <c r="P268" s="37"/>
      <c r="Q268" s="37"/>
      <c r="R268" s="76"/>
      <c r="S268" s="63"/>
      <c r="T268" s="76"/>
    </row>
    <row r="269" spans="2:20" x14ac:dyDescent="0.35">
      <c r="B269" s="35"/>
      <c r="C269" s="74"/>
      <c r="D269" s="75"/>
      <c r="E269" s="75"/>
      <c r="F269" s="75"/>
      <c r="G269" s="76"/>
      <c r="H269" s="63"/>
      <c r="I269" s="63"/>
      <c r="J269" s="76"/>
      <c r="K269" s="76"/>
      <c r="L269" s="37"/>
      <c r="M269" s="37"/>
      <c r="N269" s="76"/>
      <c r="O269" s="76"/>
      <c r="P269" s="37"/>
      <c r="Q269" s="37"/>
      <c r="R269" s="76"/>
      <c r="S269" s="63"/>
      <c r="T269" s="76"/>
    </row>
    <row r="270" spans="2:20" x14ac:dyDescent="0.35">
      <c r="B270" s="35"/>
      <c r="C270" s="74"/>
      <c r="D270" s="75"/>
      <c r="E270" s="75"/>
      <c r="F270" s="75"/>
      <c r="G270" s="76"/>
      <c r="H270" s="63"/>
      <c r="I270" s="63"/>
      <c r="J270" s="76"/>
      <c r="K270" s="76"/>
      <c r="L270" s="37"/>
      <c r="M270" s="37"/>
      <c r="N270" s="76"/>
      <c r="O270" s="76"/>
      <c r="P270" s="37"/>
      <c r="Q270" s="37"/>
      <c r="R270" s="76"/>
      <c r="S270" s="63"/>
      <c r="T270" s="76"/>
    </row>
    <row r="271" spans="2:20" x14ac:dyDescent="0.35">
      <c r="B271" s="35"/>
      <c r="C271" s="74"/>
      <c r="D271" s="75"/>
      <c r="E271" s="75"/>
      <c r="F271" s="75"/>
      <c r="G271" s="76"/>
      <c r="H271" s="63"/>
      <c r="I271" s="63"/>
      <c r="J271" s="76"/>
      <c r="K271" s="76"/>
      <c r="L271" s="37"/>
      <c r="M271" s="37"/>
      <c r="N271" s="76"/>
      <c r="O271" s="76"/>
      <c r="P271" s="37"/>
      <c r="Q271" s="37"/>
      <c r="R271" s="76"/>
      <c r="S271" s="63"/>
      <c r="T271" s="76"/>
    </row>
    <row r="272" spans="2:20" x14ac:dyDescent="0.35">
      <c r="B272" s="35"/>
      <c r="C272" s="74"/>
      <c r="D272" s="75"/>
      <c r="E272" s="75"/>
      <c r="F272" s="75"/>
      <c r="G272" s="76"/>
      <c r="H272" s="63"/>
      <c r="I272" s="63"/>
      <c r="J272" s="76"/>
      <c r="K272" s="76"/>
      <c r="L272" s="37"/>
      <c r="M272" s="37"/>
      <c r="N272" s="76"/>
      <c r="O272" s="76"/>
      <c r="P272" s="37"/>
      <c r="Q272" s="37"/>
      <c r="R272" s="76"/>
      <c r="S272" s="63"/>
      <c r="T272" s="76"/>
    </row>
    <row r="273" spans="2:20" x14ac:dyDescent="0.35">
      <c r="B273" s="35"/>
      <c r="C273" s="74"/>
      <c r="D273" s="75"/>
      <c r="E273" s="75"/>
      <c r="F273" s="75"/>
      <c r="G273" s="76"/>
      <c r="H273" s="63"/>
      <c r="I273" s="63"/>
      <c r="J273" s="76"/>
      <c r="K273" s="76"/>
      <c r="L273" s="37"/>
      <c r="M273" s="37"/>
      <c r="N273" s="76"/>
      <c r="O273" s="76"/>
      <c r="P273" s="37"/>
      <c r="Q273" s="37"/>
      <c r="R273" s="76"/>
      <c r="S273" s="63"/>
      <c r="T273" s="76"/>
    </row>
    <row r="274" spans="2:20" x14ac:dyDescent="0.35">
      <c r="B274" s="35"/>
      <c r="C274" s="74"/>
      <c r="D274" s="75"/>
      <c r="E274" s="75"/>
      <c r="F274" s="75"/>
      <c r="G274" s="76"/>
      <c r="H274" s="63"/>
      <c r="I274" s="63"/>
      <c r="J274" s="76"/>
      <c r="K274" s="76"/>
      <c r="L274" s="37"/>
      <c r="M274" s="37"/>
      <c r="N274" s="76"/>
      <c r="O274" s="76"/>
      <c r="P274" s="37"/>
      <c r="Q274" s="37"/>
      <c r="R274" s="76"/>
      <c r="S274" s="63"/>
      <c r="T274" s="76"/>
    </row>
    <row r="275" spans="2:20" x14ac:dyDescent="0.35">
      <c r="B275" s="35"/>
      <c r="C275" s="74"/>
      <c r="D275" s="75"/>
      <c r="E275" s="75"/>
      <c r="F275" s="75"/>
      <c r="G275" s="76"/>
      <c r="H275" s="63"/>
      <c r="I275" s="63"/>
      <c r="J275" s="76"/>
      <c r="K275" s="76"/>
      <c r="L275" s="37"/>
      <c r="M275" s="37"/>
      <c r="N275" s="76"/>
      <c r="O275" s="76"/>
      <c r="P275" s="37"/>
      <c r="Q275" s="37"/>
      <c r="R275" s="76"/>
      <c r="S275" s="63"/>
      <c r="T275" s="76"/>
    </row>
    <row r="276" spans="2:20" x14ac:dyDescent="0.35">
      <c r="B276" s="35"/>
      <c r="C276" s="74"/>
      <c r="D276" s="75"/>
      <c r="E276" s="75"/>
      <c r="F276" s="75"/>
      <c r="G276" s="76"/>
      <c r="H276" s="63"/>
      <c r="I276" s="63"/>
      <c r="J276" s="76"/>
      <c r="K276" s="76"/>
      <c r="L276" s="37"/>
      <c r="M276" s="37"/>
      <c r="N276" s="76"/>
      <c r="O276" s="76"/>
      <c r="P276" s="37"/>
      <c r="Q276" s="37"/>
      <c r="R276" s="76"/>
      <c r="S276" s="63"/>
      <c r="T276" s="76"/>
    </row>
    <row r="277" spans="2:20" x14ac:dyDescent="0.35">
      <c r="B277" s="35"/>
      <c r="C277" s="74"/>
      <c r="D277" s="75"/>
      <c r="E277" s="75"/>
      <c r="F277" s="75"/>
      <c r="G277" s="76"/>
      <c r="H277" s="63"/>
      <c r="I277" s="63"/>
      <c r="J277" s="76"/>
      <c r="K277" s="76"/>
      <c r="L277" s="37"/>
      <c r="M277" s="37"/>
      <c r="N277" s="76"/>
      <c r="O277" s="76"/>
      <c r="P277" s="37"/>
      <c r="Q277" s="37"/>
      <c r="R277" s="76"/>
      <c r="S277" s="63"/>
      <c r="T277" s="76"/>
    </row>
    <row r="278" spans="2:20" x14ac:dyDescent="0.35">
      <c r="B278" s="35"/>
      <c r="C278" s="74"/>
      <c r="D278" s="75"/>
      <c r="E278" s="75"/>
      <c r="F278" s="75"/>
      <c r="G278" s="76"/>
      <c r="H278" s="63"/>
      <c r="I278" s="63"/>
      <c r="J278" s="76"/>
      <c r="K278" s="76"/>
      <c r="L278" s="37"/>
      <c r="M278" s="37"/>
      <c r="N278" s="76"/>
      <c r="O278" s="76"/>
      <c r="P278" s="37"/>
      <c r="Q278" s="37"/>
      <c r="R278" s="76"/>
      <c r="S278" s="63"/>
      <c r="T278" s="76"/>
    </row>
    <row r="279" spans="2:20" x14ac:dyDescent="0.35">
      <c r="B279" s="35"/>
      <c r="C279" s="74"/>
      <c r="D279" s="75"/>
      <c r="E279" s="75"/>
      <c r="F279" s="75"/>
      <c r="G279" s="76"/>
      <c r="H279" s="63"/>
      <c r="I279" s="63"/>
      <c r="J279" s="76"/>
      <c r="K279" s="76"/>
      <c r="L279" s="37"/>
      <c r="M279" s="37"/>
      <c r="N279" s="76"/>
      <c r="O279" s="76"/>
      <c r="P279" s="37"/>
      <c r="Q279" s="37"/>
      <c r="R279" s="76"/>
      <c r="S279" s="63"/>
      <c r="T279" s="76"/>
    </row>
    <row r="280" spans="2:20" x14ac:dyDescent="0.35">
      <c r="B280" s="35"/>
      <c r="C280" s="74"/>
      <c r="D280" s="75"/>
      <c r="E280" s="75"/>
      <c r="F280" s="75"/>
      <c r="G280" s="76"/>
      <c r="H280" s="63"/>
      <c r="I280" s="63"/>
      <c r="J280" s="76"/>
      <c r="K280" s="76"/>
      <c r="L280" s="37"/>
      <c r="M280" s="37"/>
      <c r="N280" s="76"/>
      <c r="O280" s="76"/>
      <c r="P280" s="37"/>
      <c r="Q280" s="37"/>
      <c r="R280" s="76"/>
      <c r="S280" s="63"/>
      <c r="T280" s="76"/>
    </row>
    <row r="281" spans="2:20" x14ac:dyDescent="0.35">
      <c r="B281" s="35"/>
      <c r="C281" s="74"/>
      <c r="D281" s="75"/>
      <c r="E281" s="75"/>
      <c r="F281" s="75"/>
      <c r="G281" s="76"/>
      <c r="H281" s="63"/>
      <c r="I281" s="63"/>
      <c r="J281" s="76"/>
      <c r="K281" s="76"/>
      <c r="L281" s="37"/>
      <c r="M281" s="37"/>
      <c r="N281" s="76"/>
      <c r="O281" s="76"/>
      <c r="P281" s="37"/>
      <c r="Q281" s="37"/>
      <c r="R281" s="76"/>
      <c r="S281" s="63"/>
      <c r="T281" s="76"/>
    </row>
    <row r="282" spans="2:20" x14ac:dyDescent="0.35">
      <c r="B282" s="35"/>
      <c r="C282" s="74"/>
      <c r="D282" s="75"/>
      <c r="E282" s="75"/>
      <c r="F282" s="75"/>
      <c r="G282" s="76"/>
      <c r="H282" s="63"/>
      <c r="I282" s="63"/>
      <c r="J282" s="76"/>
      <c r="K282" s="76"/>
      <c r="L282" s="37"/>
      <c r="M282" s="37"/>
      <c r="N282" s="76"/>
      <c r="O282" s="76"/>
      <c r="P282" s="37"/>
      <c r="Q282" s="37"/>
      <c r="R282" s="76"/>
      <c r="S282" s="63"/>
      <c r="T282" s="76"/>
    </row>
    <row r="283" spans="2:20" x14ac:dyDescent="0.35">
      <c r="B283" s="35"/>
      <c r="C283" s="74"/>
      <c r="D283" s="75"/>
      <c r="E283" s="75"/>
      <c r="F283" s="75"/>
      <c r="G283" s="76"/>
      <c r="H283" s="63"/>
      <c r="I283" s="63"/>
      <c r="J283" s="76"/>
      <c r="K283" s="76"/>
      <c r="L283" s="37"/>
      <c r="M283" s="37"/>
      <c r="N283" s="76"/>
      <c r="O283" s="76"/>
      <c r="P283" s="37"/>
      <c r="Q283" s="37"/>
      <c r="R283" s="76"/>
      <c r="S283" s="63"/>
      <c r="T283" s="76"/>
    </row>
    <row r="284" spans="2:20" x14ac:dyDescent="0.35">
      <c r="B284" s="35"/>
      <c r="C284" s="74"/>
      <c r="D284" s="75"/>
      <c r="E284" s="75"/>
      <c r="F284" s="75"/>
      <c r="G284" s="76"/>
      <c r="H284" s="63"/>
      <c r="I284" s="63"/>
      <c r="J284" s="76"/>
      <c r="K284" s="76"/>
      <c r="L284" s="37"/>
      <c r="M284" s="37"/>
      <c r="N284" s="76"/>
      <c r="O284" s="76"/>
      <c r="P284" s="37"/>
      <c r="Q284" s="37"/>
      <c r="R284" s="76"/>
      <c r="S284" s="63"/>
      <c r="T284" s="76"/>
    </row>
    <row r="285" spans="2:20" x14ac:dyDescent="0.35">
      <c r="B285" s="35"/>
      <c r="C285" s="74"/>
      <c r="D285" s="75"/>
      <c r="E285" s="75"/>
      <c r="F285" s="75"/>
      <c r="G285" s="76"/>
      <c r="H285" s="63"/>
      <c r="I285" s="63"/>
      <c r="J285" s="76"/>
      <c r="K285" s="76"/>
      <c r="L285" s="37"/>
      <c r="M285" s="37"/>
      <c r="N285" s="76"/>
      <c r="O285" s="76"/>
      <c r="P285" s="37"/>
      <c r="Q285" s="37"/>
      <c r="R285" s="76"/>
      <c r="S285" s="63"/>
      <c r="T285" s="76"/>
    </row>
    <row r="286" spans="2:20" x14ac:dyDescent="0.35">
      <c r="B286" s="35"/>
      <c r="C286" s="74"/>
      <c r="D286" s="75"/>
      <c r="E286" s="75"/>
      <c r="F286" s="75"/>
      <c r="G286" s="76"/>
      <c r="H286" s="63"/>
      <c r="I286" s="63"/>
      <c r="J286" s="76"/>
      <c r="K286" s="76"/>
      <c r="L286" s="37"/>
      <c r="M286" s="37"/>
      <c r="N286" s="76"/>
      <c r="O286" s="76"/>
      <c r="P286" s="37"/>
      <c r="Q286" s="37"/>
      <c r="R286" s="76"/>
      <c r="S286" s="63"/>
      <c r="T286" s="76"/>
    </row>
    <row r="287" spans="2:20" x14ac:dyDescent="0.35">
      <c r="B287" s="35"/>
      <c r="C287" s="74"/>
      <c r="D287" s="75"/>
      <c r="E287" s="75"/>
      <c r="F287" s="75"/>
      <c r="G287" s="76"/>
      <c r="H287" s="63"/>
      <c r="I287" s="63"/>
      <c r="J287" s="76"/>
      <c r="K287" s="76"/>
      <c r="L287" s="37"/>
      <c r="M287" s="37"/>
      <c r="N287" s="76"/>
      <c r="O287" s="76"/>
      <c r="P287" s="37"/>
      <c r="Q287" s="37"/>
      <c r="R287" s="76"/>
      <c r="S287" s="63"/>
      <c r="T287" s="76"/>
    </row>
    <row r="288" spans="2:20" x14ac:dyDescent="0.35">
      <c r="B288" s="35"/>
      <c r="C288" s="74"/>
      <c r="D288" s="75"/>
      <c r="E288" s="75"/>
      <c r="F288" s="75"/>
      <c r="G288" s="76"/>
      <c r="H288" s="63"/>
      <c r="I288" s="63"/>
      <c r="J288" s="76"/>
      <c r="K288" s="76"/>
      <c r="L288" s="37"/>
      <c r="M288" s="37"/>
      <c r="N288" s="76"/>
      <c r="O288" s="76"/>
      <c r="P288" s="37"/>
      <c r="Q288" s="37"/>
      <c r="R288" s="76"/>
      <c r="S288" s="63"/>
      <c r="T288" s="76"/>
    </row>
    <row r="289" spans="2:20" x14ac:dyDescent="0.35">
      <c r="B289" s="35"/>
      <c r="C289" s="74"/>
      <c r="D289" s="75"/>
      <c r="E289" s="75"/>
      <c r="F289" s="75"/>
      <c r="G289" s="76"/>
      <c r="H289" s="63"/>
      <c r="I289" s="63"/>
      <c r="J289" s="76"/>
      <c r="K289" s="76"/>
      <c r="L289" s="37"/>
      <c r="M289" s="37"/>
      <c r="N289" s="76"/>
      <c r="O289" s="76"/>
      <c r="P289" s="37"/>
      <c r="Q289" s="37"/>
      <c r="R289" s="76"/>
      <c r="S289" s="63"/>
      <c r="T289" s="76"/>
    </row>
    <row r="290" spans="2:20" x14ac:dyDescent="0.35">
      <c r="B290" s="35"/>
      <c r="C290" s="74"/>
      <c r="D290" s="75"/>
      <c r="E290" s="75"/>
      <c r="F290" s="75"/>
      <c r="G290" s="76"/>
      <c r="H290" s="63"/>
      <c r="I290" s="63"/>
      <c r="J290" s="76"/>
      <c r="K290" s="76"/>
      <c r="L290" s="37"/>
      <c r="M290" s="37"/>
      <c r="N290" s="76"/>
      <c r="O290" s="76"/>
      <c r="P290" s="37"/>
      <c r="Q290" s="37"/>
      <c r="R290" s="76"/>
      <c r="S290" s="63"/>
      <c r="T290" s="76"/>
    </row>
    <row r="291" spans="2:20" x14ac:dyDescent="0.35">
      <c r="B291" s="35"/>
      <c r="C291" s="74"/>
      <c r="D291" s="75"/>
      <c r="E291" s="75"/>
      <c r="F291" s="75"/>
      <c r="G291" s="76"/>
      <c r="H291" s="63"/>
      <c r="I291" s="63"/>
      <c r="J291" s="76"/>
      <c r="K291" s="76"/>
      <c r="L291" s="37"/>
      <c r="M291" s="37"/>
      <c r="N291" s="76"/>
      <c r="O291" s="76"/>
      <c r="P291" s="37"/>
      <c r="Q291" s="37"/>
      <c r="R291" s="76"/>
      <c r="S291" s="63"/>
      <c r="T291" s="76"/>
    </row>
    <row r="292" spans="2:20" x14ac:dyDescent="0.35">
      <c r="B292" s="35"/>
      <c r="C292" s="74"/>
      <c r="D292" s="75"/>
      <c r="E292" s="75"/>
      <c r="F292" s="75"/>
      <c r="G292" s="76"/>
      <c r="H292" s="63"/>
      <c r="I292" s="63"/>
      <c r="J292" s="76"/>
      <c r="K292" s="76"/>
      <c r="L292" s="37"/>
      <c r="M292" s="37"/>
      <c r="N292" s="76"/>
      <c r="O292" s="76"/>
      <c r="P292" s="37"/>
      <c r="Q292" s="37"/>
      <c r="R292" s="76"/>
      <c r="S292" s="63"/>
      <c r="T292" s="76"/>
    </row>
    <row r="293" spans="2:20" x14ac:dyDescent="0.35">
      <c r="B293" s="35"/>
      <c r="C293" s="74"/>
      <c r="D293" s="75"/>
      <c r="E293" s="75"/>
      <c r="F293" s="75"/>
      <c r="G293" s="76"/>
      <c r="H293" s="63"/>
      <c r="I293" s="63"/>
      <c r="J293" s="76"/>
      <c r="K293" s="76"/>
      <c r="L293" s="37"/>
      <c r="M293" s="37"/>
      <c r="N293" s="76"/>
      <c r="O293" s="76"/>
      <c r="P293" s="37"/>
      <c r="Q293" s="37"/>
      <c r="R293" s="76"/>
      <c r="S293" s="63"/>
      <c r="T293" s="76"/>
    </row>
    <row r="294" spans="2:20" x14ac:dyDescent="0.35">
      <c r="B294" s="35"/>
      <c r="C294" s="74"/>
      <c r="D294" s="75"/>
      <c r="E294" s="75"/>
      <c r="F294" s="75"/>
      <c r="G294" s="76"/>
      <c r="H294" s="63"/>
      <c r="I294" s="63"/>
      <c r="J294" s="76"/>
      <c r="K294" s="76"/>
      <c r="L294" s="37"/>
      <c r="M294" s="37"/>
      <c r="N294" s="76"/>
      <c r="O294" s="76"/>
      <c r="P294" s="37"/>
      <c r="Q294" s="37"/>
      <c r="R294" s="76"/>
      <c r="S294" s="63"/>
      <c r="T294" s="76"/>
    </row>
    <row r="295" spans="2:20" x14ac:dyDescent="0.35">
      <c r="B295" s="35"/>
      <c r="C295" s="74"/>
      <c r="D295" s="75"/>
      <c r="E295" s="75"/>
      <c r="F295" s="75"/>
      <c r="G295" s="76"/>
      <c r="H295" s="63"/>
      <c r="I295" s="63"/>
      <c r="J295" s="76"/>
      <c r="K295" s="76"/>
      <c r="L295" s="37"/>
      <c r="M295" s="37"/>
      <c r="N295" s="76"/>
      <c r="O295" s="76"/>
      <c r="P295" s="37"/>
      <c r="Q295" s="37"/>
      <c r="R295" s="76"/>
      <c r="S295" s="63"/>
      <c r="T295" s="76"/>
    </row>
    <row r="296" spans="2:20" x14ac:dyDescent="0.35">
      <c r="B296" s="35"/>
      <c r="C296" s="74"/>
      <c r="D296" s="75"/>
      <c r="E296" s="75"/>
      <c r="F296" s="75"/>
      <c r="G296" s="76"/>
      <c r="H296" s="63"/>
      <c r="I296" s="63"/>
      <c r="J296" s="76"/>
      <c r="K296" s="76"/>
      <c r="L296" s="37"/>
      <c r="M296" s="37"/>
      <c r="N296" s="76"/>
      <c r="O296" s="76"/>
      <c r="P296" s="37"/>
      <c r="Q296" s="37"/>
      <c r="R296" s="76"/>
      <c r="S296" s="63"/>
      <c r="T296" s="76"/>
    </row>
    <row r="297" spans="2:20" x14ac:dyDescent="0.35">
      <c r="B297" s="35"/>
      <c r="C297" s="74"/>
      <c r="D297" s="75"/>
      <c r="E297" s="75"/>
      <c r="F297" s="75"/>
      <c r="G297" s="76"/>
      <c r="H297" s="63"/>
      <c r="I297" s="63"/>
      <c r="J297" s="76"/>
      <c r="K297" s="76"/>
      <c r="L297" s="37"/>
      <c r="M297" s="37"/>
      <c r="N297" s="76"/>
      <c r="O297" s="76"/>
      <c r="P297" s="37"/>
      <c r="Q297" s="37"/>
      <c r="R297" s="76"/>
      <c r="S297" s="63"/>
      <c r="T297" s="76"/>
    </row>
    <row r="298" spans="2:20" x14ac:dyDescent="0.35">
      <c r="B298" s="35"/>
      <c r="C298" s="74"/>
      <c r="D298" s="75"/>
      <c r="E298" s="75"/>
      <c r="F298" s="75"/>
      <c r="G298" s="76"/>
      <c r="H298" s="63"/>
      <c r="I298" s="63"/>
      <c r="J298" s="76"/>
      <c r="K298" s="76"/>
      <c r="L298" s="37"/>
      <c r="M298" s="37"/>
      <c r="N298" s="76"/>
      <c r="O298" s="76"/>
      <c r="P298" s="37"/>
      <c r="Q298" s="37"/>
      <c r="R298" s="76"/>
      <c r="S298" s="63"/>
      <c r="T298" s="76"/>
    </row>
    <row r="299" spans="2:20" x14ac:dyDescent="0.35">
      <c r="B299" s="35"/>
      <c r="C299" s="74"/>
      <c r="D299" s="75"/>
      <c r="E299" s="75"/>
      <c r="F299" s="75"/>
      <c r="G299" s="76"/>
      <c r="H299" s="63"/>
      <c r="I299" s="63"/>
      <c r="J299" s="76"/>
      <c r="K299" s="76"/>
      <c r="L299" s="37"/>
      <c r="M299" s="37"/>
      <c r="N299" s="76"/>
      <c r="O299" s="76"/>
      <c r="P299" s="37"/>
      <c r="Q299" s="37"/>
      <c r="R299" s="76"/>
      <c r="S299" s="63"/>
      <c r="T299" s="76"/>
    </row>
    <row r="300" spans="2:20" x14ac:dyDescent="0.35">
      <c r="B300" s="35"/>
      <c r="C300" s="74"/>
      <c r="D300" s="75"/>
      <c r="E300" s="75"/>
      <c r="F300" s="75"/>
      <c r="G300" s="76"/>
      <c r="H300" s="63"/>
      <c r="I300" s="63"/>
      <c r="J300" s="76"/>
      <c r="K300" s="76"/>
      <c r="L300" s="37"/>
      <c r="M300" s="37"/>
      <c r="N300" s="76"/>
      <c r="O300" s="76"/>
      <c r="P300" s="37"/>
      <c r="Q300" s="37"/>
      <c r="R300" s="76"/>
      <c r="S300" s="63"/>
      <c r="T300" s="76"/>
    </row>
    <row r="301" spans="2:20" x14ac:dyDescent="0.35">
      <c r="B301" s="35"/>
      <c r="C301" s="74"/>
      <c r="D301" s="75"/>
      <c r="E301" s="75"/>
      <c r="F301" s="75"/>
      <c r="G301" s="76"/>
      <c r="H301" s="63"/>
      <c r="I301" s="63"/>
      <c r="J301" s="76"/>
      <c r="K301" s="76"/>
      <c r="L301" s="37"/>
      <c r="M301" s="37"/>
      <c r="N301" s="76"/>
      <c r="O301" s="76"/>
      <c r="P301" s="37"/>
      <c r="Q301" s="37"/>
      <c r="R301" s="76"/>
      <c r="S301" s="63"/>
      <c r="T301" s="76"/>
    </row>
    <row r="302" spans="2:20" x14ac:dyDescent="0.35">
      <c r="B302" s="35"/>
      <c r="C302" s="74"/>
      <c r="D302" s="75"/>
      <c r="E302" s="75"/>
      <c r="F302" s="75"/>
      <c r="G302" s="76"/>
      <c r="H302" s="63"/>
      <c r="I302" s="63"/>
      <c r="J302" s="76"/>
      <c r="K302" s="76"/>
      <c r="L302" s="37"/>
      <c r="M302" s="37"/>
      <c r="N302" s="76"/>
      <c r="O302" s="76"/>
      <c r="P302" s="37"/>
      <c r="Q302" s="37"/>
      <c r="R302" s="76"/>
      <c r="S302" s="63"/>
      <c r="T302" s="76"/>
    </row>
    <row r="303" spans="2:20" x14ac:dyDescent="0.35">
      <c r="B303" s="35"/>
      <c r="C303" s="74"/>
      <c r="D303" s="75"/>
      <c r="E303" s="75"/>
      <c r="F303" s="75"/>
      <c r="G303" s="76"/>
      <c r="H303" s="63"/>
      <c r="I303" s="63"/>
      <c r="J303" s="76"/>
      <c r="K303" s="76"/>
      <c r="L303" s="37"/>
      <c r="M303" s="37"/>
      <c r="N303" s="76"/>
      <c r="O303" s="76"/>
      <c r="P303" s="37"/>
      <c r="Q303" s="37"/>
      <c r="R303" s="76"/>
      <c r="S303" s="63"/>
      <c r="T303" s="76"/>
    </row>
    <row r="304" spans="2:20" x14ac:dyDescent="0.35">
      <c r="B304" s="35"/>
      <c r="C304" s="74"/>
      <c r="D304" s="75"/>
      <c r="E304" s="75"/>
      <c r="F304" s="75"/>
      <c r="G304" s="76"/>
      <c r="H304" s="63"/>
      <c r="I304" s="63"/>
      <c r="J304" s="76"/>
      <c r="K304" s="76"/>
      <c r="L304" s="37"/>
      <c r="M304" s="37"/>
      <c r="N304" s="76"/>
      <c r="O304" s="76"/>
      <c r="P304" s="37"/>
      <c r="Q304" s="37"/>
      <c r="R304" s="76"/>
      <c r="S304" s="63"/>
      <c r="T304" s="76"/>
    </row>
    <row r="305" spans="2:20" x14ac:dyDescent="0.35">
      <c r="B305" s="35"/>
      <c r="C305" s="74"/>
      <c r="D305" s="75"/>
      <c r="E305" s="75"/>
      <c r="F305" s="75"/>
      <c r="G305" s="76"/>
      <c r="H305" s="63"/>
      <c r="I305" s="63"/>
      <c r="J305" s="76"/>
      <c r="K305" s="76"/>
      <c r="L305" s="37"/>
      <c r="M305" s="37"/>
      <c r="N305" s="76"/>
      <c r="O305" s="76"/>
      <c r="P305" s="37"/>
      <c r="Q305" s="37"/>
      <c r="R305" s="76"/>
      <c r="S305" s="63"/>
      <c r="T305" s="76"/>
    </row>
    <row r="306" spans="2:20" x14ac:dyDescent="0.35">
      <c r="B306" s="35"/>
      <c r="C306" s="74"/>
      <c r="D306" s="75"/>
      <c r="E306" s="75"/>
      <c r="F306" s="75"/>
      <c r="G306" s="76"/>
      <c r="H306" s="63"/>
      <c r="I306" s="63"/>
      <c r="J306" s="76"/>
      <c r="K306" s="76"/>
      <c r="L306" s="37"/>
      <c r="M306" s="37"/>
      <c r="N306" s="76"/>
      <c r="O306" s="76"/>
      <c r="P306" s="37"/>
      <c r="Q306" s="37"/>
      <c r="R306" s="76"/>
      <c r="S306" s="63"/>
      <c r="T306" s="76"/>
    </row>
    <row r="307" spans="2:20" x14ac:dyDescent="0.35">
      <c r="B307" s="35"/>
      <c r="C307" s="74"/>
      <c r="D307" s="75"/>
      <c r="E307" s="75"/>
      <c r="F307" s="75"/>
      <c r="G307" s="76"/>
      <c r="H307" s="63"/>
      <c r="I307" s="63"/>
      <c r="J307" s="76"/>
      <c r="K307" s="76"/>
      <c r="L307" s="37"/>
      <c r="M307" s="37"/>
      <c r="N307" s="76"/>
      <c r="O307" s="76"/>
      <c r="P307" s="37"/>
      <c r="Q307" s="37"/>
      <c r="R307" s="76"/>
      <c r="S307" s="63"/>
      <c r="T307" s="76"/>
    </row>
    <row r="308" spans="2:20" x14ac:dyDescent="0.35">
      <c r="B308" s="35"/>
      <c r="C308" s="74"/>
      <c r="D308" s="75"/>
      <c r="E308" s="75"/>
      <c r="F308" s="75"/>
      <c r="G308" s="76"/>
      <c r="H308" s="63"/>
      <c r="I308" s="63"/>
      <c r="J308" s="76"/>
      <c r="K308" s="76"/>
      <c r="L308" s="37"/>
      <c r="M308" s="37"/>
      <c r="N308" s="76"/>
      <c r="O308" s="76"/>
      <c r="P308" s="37"/>
      <c r="Q308" s="37"/>
      <c r="R308" s="76"/>
      <c r="S308" s="63"/>
      <c r="T308" s="76"/>
    </row>
    <row r="309" spans="2:20" x14ac:dyDescent="0.35">
      <c r="B309" s="35"/>
      <c r="C309" s="74"/>
      <c r="D309" s="75"/>
      <c r="E309" s="75"/>
      <c r="F309" s="75"/>
      <c r="G309" s="76"/>
      <c r="H309" s="63"/>
      <c r="I309" s="63"/>
      <c r="J309" s="76"/>
      <c r="K309" s="76"/>
      <c r="L309" s="37"/>
      <c r="M309" s="37"/>
      <c r="N309" s="76"/>
      <c r="O309" s="76"/>
      <c r="P309" s="37"/>
      <c r="Q309" s="37"/>
      <c r="R309" s="76"/>
      <c r="S309" s="63"/>
      <c r="T309" s="76"/>
    </row>
    <row r="310" spans="2:20" x14ac:dyDescent="0.35">
      <c r="B310" s="35"/>
      <c r="C310" s="74"/>
      <c r="D310" s="75"/>
      <c r="E310" s="75"/>
      <c r="F310" s="75"/>
      <c r="G310" s="76"/>
      <c r="H310" s="63"/>
      <c r="I310" s="63"/>
      <c r="J310" s="76"/>
      <c r="K310" s="76"/>
      <c r="L310" s="37"/>
      <c r="M310" s="37"/>
      <c r="N310" s="76"/>
      <c r="O310" s="76"/>
      <c r="P310" s="37"/>
      <c r="Q310" s="37"/>
      <c r="R310" s="76"/>
      <c r="S310" s="63"/>
      <c r="T310" s="76"/>
    </row>
    <row r="311" spans="2:20" x14ac:dyDescent="0.35">
      <c r="B311" s="35"/>
      <c r="C311" s="74"/>
      <c r="D311" s="75"/>
      <c r="E311" s="75"/>
      <c r="F311" s="75"/>
      <c r="G311" s="76"/>
      <c r="H311" s="63"/>
      <c r="I311" s="63"/>
      <c r="J311" s="76"/>
      <c r="K311" s="76"/>
      <c r="L311" s="37"/>
      <c r="M311" s="37"/>
      <c r="N311" s="76"/>
      <c r="O311" s="76"/>
      <c r="P311" s="37"/>
      <c r="Q311" s="37"/>
      <c r="R311" s="76"/>
      <c r="S311" s="63"/>
      <c r="T311" s="76"/>
    </row>
    <row r="312" spans="2:20" x14ac:dyDescent="0.35">
      <c r="B312" s="35"/>
      <c r="C312" s="74"/>
      <c r="D312" s="75"/>
      <c r="E312" s="75"/>
      <c r="F312" s="75"/>
      <c r="G312" s="76"/>
      <c r="H312" s="63"/>
      <c r="I312" s="63"/>
      <c r="J312" s="76"/>
      <c r="K312" s="76"/>
      <c r="L312" s="37"/>
      <c r="M312" s="37"/>
      <c r="N312" s="76"/>
      <c r="O312" s="76"/>
      <c r="P312" s="37"/>
      <c r="Q312" s="37"/>
      <c r="R312" s="76"/>
      <c r="S312" s="63"/>
      <c r="T312" s="76"/>
    </row>
    <row r="313" spans="2:20" x14ac:dyDescent="0.35">
      <c r="B313" s="35"/>
      <c r="C313" s="74"/>
      <c r="D313" s="75"/>
      <c r="E313" s="75"/>
      <c r="F313" s="75"/>
      <c r="G313" s="76"/>
      <c r="H313" s="63"/>
      <c r="I313" s="63"/>
      <c r="J313" s="76"/>
      <c r="K313" s="76"/>
      <c r="L313" s="37"/>
      <c r="M313" s="37"/>
      <c r="N313" s="76"/>
      <c r="O313" s="76"/>
      <c r="P313" s="37"/>
      <c r="Q313" s="37"/>
      <c r="R313" s="76"/>
      <c r="S313" s="63"/>
      <c r="T313" s="76"/>
    </row>
    <row r="314" spans="2:20" x14ac:dyDescent="0.35">
      <c r="B314" s="35"/>
      <c r="C314" s="74"/>
      <c r="D314" s="75"/>
      <c r="E314" s="75"/>
      <c r="F314" s="75"/>
      <c r="G314" s="76"/>
      <c r="H314" s="63"/>
      <c r="I314" s="63"/>
      <c r="J314" s="76"/>
      <c r="K314" s="76"/>
      <c r="L314" s="37"/>
      <c r="M314" s="37"/>
      <c r="N314" s="76"/>
      <c r="O314" s="76"/>
      <c r="P314" s="37"/>
      <c r="Q314" s="37"/>
      <c r="R314" s="76"/>
      <c r="S314" s="63"/>
      <c r="T314" s="76"/>
    </row>
    <row r="315" spans="2:20" x14ac:dyDescent="0.35">
      <c r="B315" s="35"/>
      <c r="C315" s="74"/>
      <c r="D315" s="75"/>
      <c r="E315" s="75"/>
      <c r="F315" s="75"/>
      <c r="G315" s="76"/>
      <c r="H315" s="63"/>
      <c r="I315" s="63"/>
      <c r="J315" s="76"/>
      <c r="K315" s="76"/>
      <c r="L315" s="37"/>
      <c r="M315" s="37"/>
      <c r="N315" s="76"/>
      <c r="O315" s="76"/>
      <c r="P315" s="37"/>
      <c r="Q315" s="37"/>
      <c r="R315" s="76"/>
      <c r="S315" s="63"/>
      <c r="T315" s="76"/>
    </row>
    <row r="316" spans="2:20" x14ac:dyDescent="0.35">
      <c r="B316" s="35"/>
      <c r="C316" s="74"/>
      <c r="D316" s="75"/>
      <c r="E316" s="75"/>
      <c r="F316" s="75"/>
      <c r="G316" s="76"/>
      <c r="H316" s="63"/>
      <c r="I316" s="63"/>
      <c r="J316" s="76"/>
      <c r="K316" s="76"/>
      <c r="L316" s="37"/>
      <c r="M316" s="37"/>
      <c r="N316" s="76"/>
      <c r="O316" s="76"/>
      <c r="P316" s="37"/>
      <c r="Q316" s="37"/>
      <c r="R316" s="76"/>
      <c r="S316" s="63"/>
      <c r="T316" s="76"/>
    </row>
    <row r="317" spans="2:20" x14ac:dyDescent="0.35">
      <c r="B317" s="35"/>
      <c r="C317" s="74"/>
      <c r="D317" s="75"/>
      <c r="E317" s="75"/>
      <c r="F317" s="75"/>
      <c r="G317" s="76"/>
      <c r="H317" s="63"/>
      <c r="I317" s="63"/>
      <c r="J317" s="76"/>
      <c r="K317" s="76"/>
      <c r="L317" s="37"/>
      <c r="M317" s="37"/>
      <c r="N317" s="76"/>
      <c r="O317" s="76"/>
      <c r="P317" s="37"/>
      <c r="Q317" s="37"/>
      <c r="R317" s="76"/>
      <c r="S317" s="63"/>
      <c r="T317" s="76"/>
    </row>
    <row r="318" spans="2:20" x14ac:dyDescent="0.35">
      <c r="B318" s="35"/>
      <c r="C318" s="74"/>
      <c r="D318" s="75"/>
      <c r="E318" s="75"/>
      <c r="F318" s="75"/>
      <c r="G318" s="76"/>
      <c r="H318" s="63"/>
      <c r="I318" s="63"/>
      <c r="J318" s="76"/>
      <c r="K318" s="76"/>
      <c r="L318" s="37"/>
      <c r="M318" s="37"/>
      <c r="N318" s="76"/>
      <c r="O318" s="76"/>
      <c r="P318" s="37"/>
      <c r="Q318" s="37"/>
      <c r="R318" s="76"/>
      <c r="S318" s="63"/>
      <c r="T318" s="76"/>
    </row>
    <row r="319" spans="2:20" x14ac:dyDescent="0.35">
      <c r="B319" s="35"/>
      <c r="C319" s="74"/>
      <c r="D319" s="75"/>
      <c r="E319" s="75"/>
      <c r="F319" s="75"/>
      <c r="G319" s="76"/>
      <c r="H319" s="63"/>
      <c r="I319" s="63"/>
      <c r="J319" s="76"/>
      <c r="K319" s="76"/>
      <c r="L319" s="37"/>
      <c r="M319" s="37"/>
      <c r="N319" s="76"/>
      <c r="O319" s="76"/>
      <c r="P319" s="37"/>
      <c r="Q319" s="37"/>
      <c r="R319" s="76"/>
      <c r="S319" s="63"/>
      <c r="T319" s="76"/>
    </row>
    <row r="320" spans="2:20" x14ac:dyDescent="0.35">
      <c r="B320" s="35"/>
      <c r="C320" s="74"/>
      <c r="D320" s="75"/>
      <c r="E320" s="75"/>
      <c r="F320" s="75"/>
      <c r="G320" s="76"/>
      <c r="H320" s="63"/>
      <c r="I320" s="63"/>
      <c r="J320" s="76"/>
      <c r="K320" s="76"/>
      <c r="L320" s="37"/>
      <c r="M320" s="37"/>
      <c r="N320" s="76"/>
      <c r="O320" s="76"/>
      <c r="P320" s="37"/>
      <c r="Q320" s="37"/>
      <c r="R320" s="76"/>
      <c r="S320" s="63"/>
      <c r="T320" s="76"/>
    </row>
    <row r="321" spans="2:20" x14ac:dyDescent="0.35">
      <c r="B321" s="35"/>
      <c r="C321" s="74"/>
      <c r="D321" s="75"/>
      <c r="E321" s="75"/>
      <c r="F321" s="75"/>
      <c r="G321" s="76"/>
      <c r="H321" s="63"/>
      <c r="I321" s="63"/>
      <c r="J321" s="76"/>
      <c r="K321" s="76"/>
      <c r="L321" s="37"/>
      <c r="M321" s="37"/>
      <c r="N321" s="76"/>
      <c r="O321" s="76"/>
      <c r="P321" s="37"/>
      <c r="Q321" s="37"/>
      <c r="R321" s="76"/>
      <c r="S321" s="63"/>
      <c r="T321" s="76"/>
    </row>
    <row r="322" spans="2:20" x14ac:dyDescent="0.35">
      <c r="B322" s="35"/>
      <c r="C322" s="74"/>
      <c r="D322" s="75"/>
      <c r="E322" s="75"/>
      <c r="F322" s="75"/>
      <c r="G322" s="76"/>
      <c r="H322" s="63"/>
      <c r="I322" s="63"/>
      <c r="J322" s="76"/>
      <c r="K322" s="76"/>
      <c r="L322" s="37"/>
      <c r="M322" s="37"/>
      <c r="N322" s="76"/>
      <c r="O322" s="76"/>
      <c r="P322" s="37"/>
      <c r="Q322" s="37"/>
      <c r="R322" s="76"/>
      <c r="S322" s="63"/>
      <c r="T322" s="76"/>
    </row>
    <row r="323" spans="2:20" x14ac:dyDescent="0.35">
      <c r="B323" s="35"/>
      <c r="C323" s="74"/>
      <c r="D323" s="75"/>
      <c r="E323" s="75"/>
      <c r="F323" s="75"/>
      <c r="G323" s="76"/>
      <c r="H323" s="63"/>
      <c r="I323" s="63"/>
      <c r="J323" s="76"/>
      <c r="K323" s="76"/>
      <c r="L323" s="37"/>
      <c r="M323" s="37"/>
      <c r="N323" s="76"/>
      <c r="O323" s="76"/>
      <c r="P323" s="37"/>
      <c r="Q323" s="37"/>
      <c r="R323" s="76"/>
      <c r="S323" s="63"/>
      <c r="T323" s="76"/>
    </row>
    <row r="324" spans="2:20" x14ac:dyDescent="0.35">
      <c r="B324" s="35"/>
      <c r="C324" s="74"/>
      <c r="D324" s="75"/>
      <c r="E324" s="75"/>
      <c r="F324" s="75"/>
      <c r="G324" s="76"/>
      <c r="H324" s="63"/>
      <c r="I324" s="63"/>
      <c r="J324" s="76"/>
      <c r="K324" s="76"/>
      <c r="L324" s="37"/>
      <c r="M324" s="37"/>
      <c r="N324" s="76"/>
      <c r="O324" s="76"/>
      <c r="P324" s="37"/>
      <c r="Q324" s="37"/>
      <c r="R324" s="76"/>
      <c r="S324" s="63"/>
      <c r="T324" s="76"/>
    </row>
    <row r="325" spans="2:20" x14ac:dyDescent="0.35">
      <c r="B325" s="35"/>
      <c r="C325" s="74"/>
      <c r="D325" s="75"/>
      <c r="E325" s="75"/>
      <c r="F325" s="75"/>
      <c r="G325" s="76"/>
      <c r="H325" s="63"/>
      <c r="I325" s="63"/>
      <c r="J325" s="76"/>
      <c r="K325" s="76"/>
      <c r="L325" s="37"/>
      <c r="M325" s="37"/>
      <c r="N325" s="76"/>
      <c r="O325" s="76"/>
      <c r="P325" s="37"/>
      <c r="Q325" s="37"/>
      <c r="R325" s="76"/>
      <c r="S325" s="63"/>
      <c r="T325" s="76"/>
    </row>
    <row r="326" spans="2:20" x14ac:dyDescent="0.35">
      <c r="B326" s="35"/>
      <c r="C326" s="74"/>
      <c r="D326" s="75"/>
      <c r="E326" s="75"/>
      <c r="F326" s="75"/>
      <c r="G326" s="76"/>
      <c r="H326" s="63"/>
      <c r="I326" s="63"/>
      <c r="J326" s="76"/>
      <c r="K326" s="76"/>
      <c r="L326" s="37"/>
      <c r="M326" s="37"/>
      <c r="N326" s="76"/>
      <c r="O326" s="76"/>
      <c r="P326" s="37"/>
      <c r="Q326" s="37"/>
      <c r="R326" s="76"/>
      <c r="S326" s="63"/>
      <c r="T326" s="76"/>
    </row>
    <row r="327" spans="2:20" x14ac:dyDescent="0.35">
      <c r="B327" s="35"/>
      <c r="C327" s="74"/>
      <c r="D327" s="75"/>
      <c r="E327" s="75"/>
      <c r="F327" s="75"/>
      <c r="G327" s="76"/>
      <c r="H327" s="63"/>
      <c r="I327" s="63"/>
      <c r="J327" s="76"/>
      <c r="K327" s="76"/>
      <c r="L327" s="37"/>
      <c r="M327" s="37"/>
      <c r="N327" s="76"/>
      <c r="O327" s="76"/>
      <c r="P327" s="37"/>
      <c r="Q327" s="37"/>
      <c r="R327" s="76"/>
      <c r="S327" s="63"/>
      <c r="T327" s="76"/>
    </row>
    <row r="328" spans="2:20" x14ac:dyDescent="0.35">
      <c r="B328" s="35"/>
      <c r="C328" s="74"/>
      <c r="D328" s="75"/>
      <c r="E328" s="75"/>
      <c r="F328" s="75"/>
      <c r="G328" s="76"/>
      <c r="H328" s="63"/>
      <c r="I328" s="63"/>
      <c r="J328" s="76"/>
      <c r="K328" s="76"/>
      <c r="L328" s="37"/>
      <c r="M328" s="37"/>
      <c r="N328" s="76"/>
      <c r="O328" s="76"/>
      <c r="P328" s="37"/>
      <c r="Q328" s="37"/>
      <c r="R328" s="76"/>
      <c r="S328" s="63"/>
      <c r="T328" s="76"/>
    </row>
    <row r="329" spans="2:20" x14ac:dyDescent="0.35">
      <c r="B329" s="35"/>
      <c r="C329" s="74"/>
      <c r="D329" s="75"/>
      <c r="E329" s="75"/>
      <c r="F329" s="75"/>
      <c r="G329" s="76"/>
      <c r="H329" s="63"/>
      <c r="I329" s="63"/>
      <c r="J329" s="76"/>
      <c r="K329" s="76"/>
      <c r="L329" s="37"/>
      <c r="M329" s="37"/>
      <c r="N329" s="76"/>
      <c r="O329" s="76"/>
      <c r="P329" s="37"/>
      <c r="Q329" s="37"/>
      <c r="R329" s="76"/>
      <c r="S329" s="63"/>
      <c r="T329" s="76"/>
    </row>
    <row r="330" spans="2:20" x14ac:dyDescent="0.35">
      <c r="B330" s="35"/>
      <c r="C330" s="74"/>
      <c r="D330" s="75"/>
      <c r="E330" s="75"/>
      <c r="F330" s="75"/>
      <c r="G330" s="76"/>
      <c r="H330" s="63"/>
      <c r="I330" s="63"/>
      <c r="J330" s="76"/>
      <c r="K330" s="76"/>
      <c r="L330" s="37"/>
      <c r="M330" s="37"/>
      <c r="N330" s="76"/>
      <c r="O330" s="76"/>
      <c r="P330" s="37"/>
      <c r="Q330" s="37"/>
      <c r="R330" s="76"/>
      <c r="S330" s="63"/>
      <c r="T330" s="76"/>
    </row>
    <row r="331" spans="2:20" x14ac:dyDescent="0.35">
      <c r="B331" s="35"/>
      <c r="C331" s="74"/>
      <c r="D331" s="75"/>
      <c r="E331" s="75"/>
      <c r="F331" s="75"/>
      <c r="G331" s="76"/>
      <c r="H331" s="63"/>
      <c r="I331" s="63"/>
      <c r="J331" s="76"/>
      <c r="K331" s="76"/>
      <c r="L331" s="37"/>
      <c r="M331" s="37"/>
      <c r="N331" s="76"/>
      <c r="O331" s="76"/>
      <c r="P331" s="37"/>
      <c r="Q331" s="37"/>
      <c r="R331" s="76"/>
      <c r="S331" s="63"/>
      <c r="T331" s="76"/>
    </row>
    <row r="332" spans="2:20" x14ac:dyDescent="0.35">
      <c r="B332" s="35"/>
      <c r="C332" s="74"/>
      <c r="D332" s="75"/>
      <c r="E332" s="75"/>
      <c r="F332" s="75"/>
      <c r="G332" s="76"/>
      <c r="H332" s="63"/>
      <c r="I332" s="63"/>
      <c r="J332" s="76"/>
      <c r="K332" s="76"/>
      <c r="L332" s="37"/>
      <c r="M332" s="37"/>
      <c r="N332" s="76"/>
      <c r="O332" s="76"/>
      <c r="P332" s="37"/>
      <c r="Q332" s="37"/>
      <c r="R332" s="76"/>
      <c r="S332" s="63"/>
      <c r="T332" s="76"/>
    </row>
    <row r="333" spans="2:20" x14ac:dyDescent="0.35">
      <c r="B333" s="35"/>
      <c r="C333" s="74"/>
      <c r="D333" s="75"/>
      <c r="E333" s="75"/>
      <c r="F333" s="75"/>
      <c r="G333" s="76"/>
      <c r="H333" s="63"/>
      <c r="I333" s="63"/>
      <c r="J333" s="76"/>
      <c r="K333" s="76"/>
      <c r="L333" s="37"/>
      <c r="M333" s="37"/>
      <c r="N333" s="76"/>
      <c r="O333" s="76"/>
      <c r="P333" s="37"/>
      <c r="Q333" s="37"/>
      <c r="R333" s="76"/>
      <c r="S333" s="63"/>
      <c r="T333" s="76"/>
    </row>
    <row r="334" spans="2:20" x14ac:dyDescent="0.35">
      <c r="B334" s="35"/>
      <c r="C334" s="74"/>
      <c r="D334" s="75"/>
      <c r="E334" s="75"/>
      <c r="F334" s="75"/>
      <c r="G334" s="76"/>
      <c r="H334" s="63"/>
      <c r="I334" s="63"/>
      <c r="J334" s="76"/>
      <c r="K334" s="76"/>
      <c r="L334" s="37"/>
      <c r="M334" s="37"/>
      <c r="N334" s="76"/>
      <c r="O334" s="76"/>
      <c r="P334" s="37"/>
      <c r="Q334" s="37"/>
      <c r="R334" s="76"/>
      <c r="S334" s="63"/>
      <c r="T334" s="76"/>
    </row>
    <row r="335" spans="2:20" x14ac:dyDescent="0.35">
      <c r="B335" s="35"/>
      <c r="C335" s="74"/>
      <c r="D335" s="75"/>
      <c r="E335" s="75"/>
      <c r="F335" s="75"/>
      <c r="G335" s="76"/>
      <c r="H335" s="63"/>
      <c r="I335" s="63"/>
      <c r="J335" s="76"/>
      <c r="K335" s="76"/>
      <c r="L335" s="37"/>
      <c r="M335" s="37"/>
      <c r="N335" s="76"/>
      <c r="O335" s="76"/>
      <c r="P335" s="37"/>
      <c r="Q335" s="37"/>
      <c r="R335" s="76"/>
      <c r="S335" s="63"/>
      <c r="T335" s="76"/>
    </row>
    <row r="336" spans="2:20" x14ac:dyDescent="0.35">
      <c r="B336" s="35"/>
      <c r="C336" s="74"/>
      <c r="D336" s="75"/>
      <c r="E336" s="75"/>
      <c r="F336" s="75"/>
      <c r="G336" s="76"/>
      <c r="H336" s="63"/>
      <c r="I336" s="63"/>
      <c r="J336" s="76"/>
      <c r="K336" s="76"/>
      <c r="L336" s="37"/>
      <c r="M336" s="37"/>
      <c r="N336" s="76"/>
      <c r="O336" s="76"/>
      <c r="P336" s="37"/>
      <c r="Q336" s="37"/>
      <c r="R336" s="76"/>
      <c r="S336" s="63"/>
      <c r="T336" s="76"/>
    </row>
    <row r="337" spans="2:20" x14ac:dyDescent="0.35">
      <c r="B337" s="35"/>
      <c r="C337" s="74"/>
      <c r="D337" s="75"/>
      <c r="E337" s="75"/>
      <c r="F337" s="75"/>
      <c r="G337" s="76"/>
      <c r="H337" s="63"/>
      <c r="I337" s="63"/>
      <c r="J337" s="76"/>
      <c r="K337" s="76"/>
      <c r="L337" s="37"/>
      <c r="M337" s="37"/>
      <c r="N337" s="76"/>
      <c r="O337" s="76"/>
      <c r="P337" s="37"/>
      <c r="Q337" s="37"/>
      <c r="R337" s="76"/>
      <c r="S337" s="63"/>
      <c r="T337" s="76"/>
    </row>
    <row r="338" spans="2:20" x14ac:dyDescent="0.35">
      <c r="B338" s="35"/>
      <c r="C338" s="74"/>
      <c r="D338" s="75"/>
      <c r="E338" s="75"/>
      <c r="F338" s="75"/>
      <c r="G338" s="76"/>
      <c r="H338" s="63"/>
      <c r="I338" s="63"/>
      <c r="J338" s="76"/>
      <c r="K338" s="76"/>
      <c r="L338" s="37"/>
      <c r="M338" s="37"/>
      <c r="N338" s="76"/>
      <c r="O338" s="76"/>
      <c r="P338" s="37"/>
      <c r="Q338" s="37"/>
      <c r="R338" s="76"/>
      <c r="S338" s="63"/>
      <c r="T338" s="76"/>
    </row>
    <row r="339" spans="2:20" x14ac:dyDescent="0.35">
      <c r="B339" s="35"/>
      <c r="C339" s="74"/>
      <c r="D339" s="75"/>
      <c r="E339" s="75"/>
      <c r="F339" s="75"/>
      <c r="G339" s="76"/>
      <c r="H339" s="63"/>
      <c r="I339" s="63"/>
      <c r="J339" s="76"/>
      <c r="K339" s="76"/>
      <c r="L339" s="37"/>
      <c r="M339" s="37"/>
      <c r="N339" s="76"/>
      <c r="O339" s="76"/>
      <c r="P339" s="37"/>
      <c r="Q339" s="37"/>
      <c r="R339" s="76"/>
      <c r="S339" s="63"/>
      <c r="T339" s="76"/>
    </row>
    <row r="340" spans="2:20" x14ac:dyDescent="0.35">
      <c r="B340" s="35"/>
      <c r="C340" s="74"/>
      <c r="D340" s="75"/>
      <c r="E340" s="75"/>
      <c r="F340" s="75"/>
      <c r="G340" s="76"/>
      <c r="H340" s="63"/>
      <c r="I340" s="63"/>
      <c r="J340" s="76"/>
      <c r="K340" s="76"/>
      <c r="L340" s="37"/>
      <c r="M340" s="37"/>
      <c r="N340" s="76"/>
      <c r="O340" s="76"/>
      <c r="P340" s="37"/>
      <c r="Q340" s="37"/>
      <c r="R340" s="76"/>
      <c r="S340" s="63"/>
      <c r="T340" s="76"/>
    </row>
    <row r="341" spans="2:20" x14ac:dyDescent="0.35">
      <c r="B341" s="35"/>
      <c r="C341" s="74"/>
      <c r="D341" s="75"/>
      <c r="E341" s="75"/>
      <c r="F341" s="75"/>
      <c r="G341" s="76"/>
      <c r="H341" s="63"/>
      <c r="I341" s="63"/>
      <c r="J341" s="76"/>
      <c r="K341" s="76"/>
      <c r="L341" s="37"/>
      <c r="M341" s="37"/>
      <c r="N341" s="76"/>
      <c r="O341" s="76"/>
      <c r="P341" s="37"/>
      <c r="Q341" s="37"/>
      <c r="R341" s="76"/>
      <c r="S341" s="63"/>
      <c r="T341" s="76"/>
    </row>
    <row r="342" spans="2:20" x14ac:dyDescent="0.35">
      <c r="B342" s="35"/>
      <c r="C342" s="74"/>
      <c r="D342" s="75"/>
      <c r="E342" s="75"/>
      <c r="F342" s="75"/>
      <c r="G342" s="76"/>
      <c r="H342" s="63"/>
      <c r="I342" s="63"/>
      <c r="J342" s="76"/>
      <c r="K342" s="76"/>
      <c r="L342" s="37"/>
      <c r="M342" s="37"/>
      <c r="N342" s="76"/>
      <c r="O342" s="76"/>
      <c r="P342" s="37"/>
      <c r="Q342" s="37"/>
      <c r="R342" s="76"/>
      <c r="S342" s="63"/>
      <c r="T342" s="76"/>
    </row>
    <row r="343" spans="2:20" x14ac:dyDescent="0.35">
      <c r="B343" s="35"/>
      <c r="C343" s="74"/>
      <c r="D343" s="75"/>
      <c r="E343" s="75"/>
      <c r="F343" s="75"/>
      <c r="G343" s="76"/>
      <c r="H343" s="63"/>
      <c r="I343" s="63"/>
      <c r="J343" s="76"/>
      <c r="K343" s="76"/>
      <c r="L343" s="37"/>
      <c r="M343" s="37"/>
      <c r="N343" s="76"/>
      <c r="O343" s="76"/>
      <c r="P343" s="37"/>
      <c r="Q343" s="37"/>
      <c r="R343" s="76"/>
      <c r="S343" s="63"/>
      <c r="T343" s="76"/>
    </row>
    <row r="344" spans="2:20" x14ac:dyDescent="0.35">
      <c r="B344" s="35"/>
      <c r="C344" s="74"/>
      <c r="D344" s="75"/>
      <c r="E344" s="75"/>
      <c r="F344" s="75"/>
      <c r="G344" s="76"/>
      <c r="H344" s="63"/>
      <c r="I344" s="63"/>
      <c r="J344" s="76"/>
      <c r="K344" s="76"/>
      <c r="L344" s="37"/>
      <c r="M344" s="37"/>
      <c r="N344" s="76"/>
      <c r="O344" s="76"/>
      <c r="P344" s="37"/>
      <c r="Q344" s="37"/>
      <c r="R344" s="76"/>
      <c r="S344" s="63"/>
      <c r="T344" s="76"/>
    </row>
    <row r="345" spans="2:20" x14ac:dyDescent="0.35">
      <c r="B345" s="35"/>
      <c r="C345" s="74"/>
      <c r="D345" s="75"/>
      <c r="E345" s="75"/>
      <c r="F345" s="75"/>
      <c r="G345" s="76"/>
      <c r="H345" s="63"/>
      <c r="I345" s="63"/>
      <c r="J345" s="76"/>
      <c r="K345" s="76"/>
      <c r="L345" s="37"/>
      <c r="M345" s="37"/>
      <c r="N345" s="76"/>
      <c r="O345" s="76"/>
      <c r="P345" s="37"/>
      <c r="Q345" s="37"/>
      <c r="R345" s="76"/>
      <c r="S345" s="63"/>
      <c r="T345" s="76"/>
    </row>
    <row r="346" spans="2:20" x14ac:dyDescent="0.35">
      <c r="B346" s="35"/>
      <c r="C346" s="74"/>
      <c r="D346" s="75"/>
      <c r="E346" s="75"/>
      <c r="F346" s="75"/>
      <c r="G346" s="76"/>
      <c r="H346" s="63"/>
      <c r="I346" s="63"/>
      <c r="J346" s="76"/>
      <c r="K346" s="76"/>
      <c r="L346" s="37"/>
      <c r="M346" s="37"/>
      <c r="N346" s="76"/>
      <c r="O346" s="76"/>
      <c r="P346" s="37"/>
      <c r="Q346" s="37"/>
      <c r="R346" s="76"/>
      <c r="S346" s="63"/>
      <c r="T346" s="76"/>
    </row>
    <row r="347" spans="2:20" x14ac:dyDescent="0.35">
      <c r="B347" s="35"/>
      <c r="C347" s="74"/>
      <c r="D347" s="75"/>
      <c r="E347" s="75"/>
      <c r="F347" s="75"/>
      <c r="G347" s="76"/>
      <c r="H347" s="63"/>
      <c r="I347" s="63"/>
      <c r="J347" s="76"/>
      <c r="K347" s="76"/>
      <c r="L347" s="37"/>
      <c r="M347" s="37"/>
      <c r="N347" s="76"/>
      <c r="O347" s="76"/>
      <c r="P347" s="37"/>
      <c r="Q347" s="37"/>
      <c r="R347" s="76"/>
      <c r="S347" s="63"/>
      <c r="T347" s="76"/>
    </row>
    <row r="348" spans="2:20" x14ac:dyDescent="0.35">
      <c r="B348" s="35"/>
      <c r="C348" s="74"/>
      <c r="D348" s="75"/>
      <c r="E348" s="75"/>
      <c r="F348" s="75"/>
      <c r="G348" s="76"/>
      <c r="H348" s="63"/>
      <c r="I348" s="63"/>
      <c r="J348" s="76"/>
      <c r="K348" s="76"/>
      <c r="L348" s="37"/>
      <c r="M348" s="37"/>
      <c r="N348" s="76"/>
      <c r="O348" s="76"/>
      <c r="P348" s="37"/>
      <c r="Q348" s="37"/>
      <c r="R348" s="76"/>
      <c r="S348" s="63"/>
      <c r="T348" s="76"/>
    </row>
    <row r="349" spans="2:20" x14ac:dyDescent="0.35">
      <c r="B349" s="35"/>
      <c r="C349" s="74"/>
      <c r="D349" s="75"/>
      <c r="E349" s="75"/>
      <c r="F349" s="75"/>
      <c r="G349" s="76"/>
      <c r="H349" s="63"/>
      <c r="I349" s="63"/>
      <c r="J349" s="76"/>
      <c r="K349" s="76"/>
      <c r="L349" s="37"/>
      <c r="M349" s="37"/>
      <c r="N349" s="76"/>
      <c r="O349" s="76"/>
      <c r="P349" s="37"/>
      <c r="Q349" s="37"/>
      <c r="R349" s="76"/>
      <c r="S349" s="63"/>
      <c r="T349" s="76"/>
    </row>
    <row r="350" spans="2:20" x14ac:dyDescent="0.35">
      <c r="B350" s="35"/>
      <c r="C350" s="74"/>
      <c r="D350" s="75"/>
      <c r="E350" s="75"/>
      <c r="F350" s="75"/>
      <c r="G350" s="76"/>
      <c r="H350" s="63"/>
      <c r="I350" s="63"/>
      <c r="J350" s="76"/>
      <c r="K350" s="76"/>
      <c r="L350" s="37"/>
      <c r="M350" s="37"/>
      <c r="N350" s="76"/>
      <c r="O350" s="76"/>
      <c r="P350" s="37"/>
      <c r="Q350" s="37"/>
      <c r="R350" s="76"/>
      <c r="S350" s="63"/>
      <c r="T350" s="76"/>
    </row>
    <row r="351" spans="2:20" x14ac:dyDescent="0.35">
      <c r="B351" s="35"/>
      <c r="C351" s="74"/>
      <c r="D351" s="75"/>
      <c r="E351" s="75"/>
      <c r="F351" s="75"/>
      <c r="G351" s="76"/>
      <c r="H351" s="63"/>
      <c r="I351" s="63"/>
      <c r="J351" s="76"/>
      <c r="K351" s="76"/>
      <c r="L351" s="37"/>
      <c r="M351" s="37"/>
      <c r="N351" s="76"/>
      <c r="O351" s="76"/>
      <c r="P351" s="37"/>
      <c r="Q351" s="37"/>
      <c r="R351" s="76"/>
      <c r="S351" s="63"/>
      <c r="T351" s="76"/>
    </row>
    <row r="352" spans="2:20" x14ac:dyDescent="0.35">
      <c r="B352" s="35"/>
      <c r="C352" s="74"/>
      <c r="D352" s="75"/>
      <c r="E352" s="75"/>
      <c r="F352" s="75"/>
      <c r="G352" s="76"/>
      <c r="H352" s="63"/>
      <c r="I352" s="63"/>
      <c r="J352" s="76"/>
      <c r="K352" s="76"/>
      <c r="L352" s="37"/>
      <c r="M352" s="37"/>
      <c r="N352" s="76"/>
      <c r="O352" s="76"/>
      <c r="P352" s="37"/>
      <c r="Q352" s="37"/>
      <c r="R352" s="76"/>
      <c r="S352" s="63"/>
      <c r="T352" s="76"/>
    </row>
    <row r="353" spans="2:20" x14ac:dyDescent="0.35">
      <c r="B353" s="35"/>
      <c r="C353" s="74"/>
      <c r="D353" s="75"/>
      <c r="E353" s="75"/>
      <c r="F353" s="75"/>
      <c r="G353" s="76"/>
      <c r="H353" s="63"/>
      <c r="I353" s="63"/>
      <c r="J353" s="76"/>
      <c r="K353" s="76"/>
      <c r="L353" s="37"/>
      <c r="M353" s="37"/>
      <c r="N353" s="76"/>
      <c r="O353" s="76"/>
      <c r="P353" s="37"/>
      <c r="Q353" s="37"/>
      <c r="R353" s="76"/>
      <c r="S353" s="63"/>
      <c r="T353" s="76"/>
    </row>
    <row r="354" spans="2:20" x14ac:dyDescent="0.35">
      <c r="B354" s="35"/>
      <c r="C354" s="74"/>
      <c r="D354" s="75"/>
      <c r="E354" s="75"/>
      <c r="F354" s="75"/>
      <c r="G354" s="76"/>
      <c r="H354" s="63"/>
      <c r="I354" s="63"/>
      <c r="J354" s="76"/>
      <c r="K354" s="76"/>
      <c r="L354" s="37"/>
      <c r="M354" s="37"/>
      <c r="N354" s="76"/>
      <c r="O354" s="76"/>
      <c r="P354" s="37"/>
      <c r="Q354" s="37"/>
      <c r="R354" s="76"/>
      <c r="S354" s="63"/>
      <c r="T354" s="76"/>
    </row>
    <row r="355" spans="2:20" x14ac:dyDescent="0.35">
      <c r="B355" s="35"/>
      <c r="C355" s="74"/>
      <c r="D355" s="75"/>
      <c r="E355" s="75"/>
      <c r="F355" s="75"/>
      <c r="G355" s="76"/>
      <c r="H355" s="63"/>
      <c r="I355" s="63"/>
      <c r="J355" s="76"/>
      <c r="K355" s="76"/>
      <c r="L355" s="37"/>
      <c r="M355" s="37"/>
      <c r="N355" s="76"/>
      <c r="O355" s="76"/>
      <c r="P355" s="37"/>
      <c r="Q355" s="37"/>
      <c r="R355" s="76"/>
      <c r="S355" s="63"/>
      <c r="T355" s="76"/>
    </row>
    <row r="356" spans="2:20" x14ac:dyDescent="0.35">
      <c r="B356" s="35"/>
      <c r="C356" s="74"/>
      <c r="D356" s="75"/>
      <c r="E356" s="75"/>
      <c r="F356" s="75"/>
      <c r="G356" s="76"/>
      <c r="H356" s="63"/>
      <c r="I356" s="63"/>
      <c r="J356" s="76"/>
      <c r="K356" s="76"/>
      <c r="L356" s="37"/>
      <c r="M356" s="37"/>
      <c r="N356" s="76"/>
      <c r="O356" s="76"/>
      <c r="P356" s="37"/>
      <c r="Q356" s="37"/>
      <c r="R356" s="76"/>
      <c r="S356" s="63"/>
      <c r="T356" s="76"/>
    </row>
    <row r="357" spans="2:20" x14ac:dyDescent="0.35">
      <c r="B357" s="35"/>
      <c r="C357" s="74"/>
      <c r="D357" s="75"/>
      <c r="E357" s="75"/>
      <c r="F357" s="75"/>
      <c r="G357" s="76"/>
      <c r="H357" s="63"/>
      <c r="I357" s="63"/>
      <c r="J357" s="76"/>
      <c r="K357" s="76"/>
      <c r="L357" s="37"/>
      <c r="M357" s="37"/>
      <c r="N357" s="76"/>
      <c r="O357" s="76"/>
      <c r="P357" s="37"/>
      <c r="Q357" s="37"/>
      <c r="R357" s="76"/>
      <c r="S357" s="63"/>
      <c r="T357" s="76"/>
    </row>
    <row r="358" spans="2:20" x14ac:dyDescent="0.35">
      <c r="B358" s="35"/>
      <c r="C358" s="74"/>
      <c r="D358" s="75"/>
      <c r="E358" s="75"/>
      <c r="F358" s="75"/>
      <c r="G358" s="76"/>
      <c r="H358" s="63"/>
      <c r="I358" s="63"/>
      <c r="J358" s="76"/>
      <c r="K358" s="76"/>
      <c r="L358" s="37"/>
      <c r="M358" s="37"/>
      <c r="N358" s="76"/>
      <c r="O358" s="76"/>
      <c r="P358" s="37"/>
      <c r="Q358" s="37"/>
      <c r="R358" s="76"/>
      <c r="S358" s="63"/>
      <c r="T358" s="76"/>
    </row>
    <row r="359" spans="2:20" x14ac:dyDescent="0.35">
      <c r="B359" s="35"/>
      <c r="C359" s="74"/>
      <c r="D359" s="75"/>
      <c r="E359" s="75"/>
      <c r="F359" s="75"/>
      <c r="G359" s="76"/>
      <c r="H359" s="63"/>
      <c r="I359" s="63"/>
      <c r="J359" s="76"/>
      <c r="K359" s="76"/>
      <c r="L359" s="37"/>
      <c r="M359" s="37"/>
      <c r="N359" s="76"/>
      <c r="O359" s="76"/>
      <c r="P359" s="37"/>
      <c r="Q359" s="37"/>
      <c r="R359" s="76"/>
      <c r="S359" s="63"/>
      <c r="T359" s="76"/>
    </row>
    <row r="360" spans="2:20" x14ac:dyDescent="0.35">
      <c r="B360" s="35"/>
      <c r="C360" s="74"/>
      <c r="D360" s="75"/>
      <c r="E360" s="75"/>
      <c r="F360" s="75"/>
      <c r="G360" s="76"/>
      <c r="H360" s="63"/>
      <c r="I360" s="63"/>
      <c r="J360" s="76"/>
      <c r="K360" s="76"/>
      <c r="L360" s="37"/>
      <c r="M360" s="37"/>
      <c r="N360" s="76"/>
      <c r="O360" s="76"/>
      <c r="P360" s="37"/>
      <c r="Q360" s="37"/>
      <c r="R360" s="76"/>
      <c r="S360" s="63"/>
      <c r="T360" s="76"/>
    </row>
    <row r="361" spans="2:20" x14ac:dyDescent="0.35">
      <c r="B361" s="35"/>
      <c r="C361" s="74"/>
      <c r="D361" s="75"/>
      <c r="E361" s="75"/>
      <c r="F361" s="75"/>
      <c r="G361" s="76"/>
      <c r="H361" s="63"/>
      <c r="I361" s="63"/>
      <c r="J361" s="76"/>
      <c r="K361" s="76"/>
      <c r="L361" s="37"/>
      <c r="M361" s="37"/>
      <c r="N361" s="76"/>
      <c r="O361" s="76"/>
      <c r="P361" s="37"/>
      <c r="Q361" s="37"/>
      <c r="R361" s="76"/>
      <c r="S361" s="63"/>
      <c r="T361" s="76"/>
    </row>
    <row r="362" spans="2:20" x14ac:dyDescent="0.35">
      <c r="B362" s="35"/>
      <c r="C362" s="74"/>
      <c r="D362" s="75"/>
      <c r="E362" s="75"/>
      <c r="F362" s="75"/>
      <c r="G362" s="76"/>
      <c r="H362" s="63"/>
      <c r="I362" s="63"/>
      <c r="J362" s="76"/>
      <c r="K362" s="76"/>
      <c r="L362" s="37"/>
      <c r="M362" s="37"/>
      <c r="N362" s="76"/>
      <c r="O362" s="76"/>
      <c r="P362" s="37"/>
      <c r="Q362" s="37"/>
      <c r="R362" s="76"/>
      <c r="S362" s="63"/>
      <c r="T362" s="76"/>
    </row>
    <row r="363" spans="2:20" x14ac:dyDescent="0.35">
      <c r="B363" s="35"/>
      <c r="C363" s="74"/>
      <c r="D363" s="75"/>
      <c r="E363" s="75"/>
      <c r="F363" s="75"/>
      <c r="G363" s="76"/>
      <c r="H363" s="63"/>
      <c r="I363" s="63"/>
      <c r="J363" s="76"/>
      <c r="K363" s="76"/>
      <c r="L363" s="37"/>
      <c r="M363" s="37"/>
      <c r="N363" s="76"/>
      <c r="O363" s="76"/>
      <c r="P363" s="37"/>
      <c r="Q363" s="37"/>
      <c r="R363" s="76"/>
      <c r="S363" s="63"/>
      <c r="T363" s="76"/>
    </row>
    <row r="364" spans="2:20" x14ac:dyDescent="0.35">
      <c r="B364" s="35"/>
      <c r="C364" s="74"/>
      <c r="D364" s="75"/>
      <c r="E364" s="75"/>
      <c r="F364" s="75"/>
      <c r="G364" s="76"/>
      <c r="H364" s="63"/>
      <c r="I364" s="63"/>
      <c r="J364" s="76"/>
      <c r="K364" s="76"/>
      <c r="L364" s="37"/>
      <c r="M364" s="37"/>
      <c r="N364" s="76"/>
      <c r="O364" s="76"/>
      <c r="P364" s="37"/>
      <c r="Q364" s="37"/>
      <c r="R364" s="76"/>
      <c r="S364" s="63"/>
      <c r="T364" s="76"/>
    </row>
    <row r="365" spans="2:20" x14ac:dyDescent="0.35">
      <c r="B365" s="35"/>
      <c r="C365" s="74"/>
      <c r="D365" s="75"/>
      <c r="E365" s="75"/>
      <c r="F365" s="75"/>
      <c r="G365" s="76"/>
      <c r="H365" s="63"/>
      <c r="I365" s="63"/>
      <c r="J365" s="76"/>
      <c r="K365" s="76"/>
      <c r="L365" s="37"/>
      <c r="M365" s="37"/>
      <c r="N365" s="76"/>
      <c r="O365" s="76"/>
      <c r="P365" s="37"/>
      <c r="Q365" s="37"/>
      <c r="R365" s="76"/>
      <c r="S365" s="63"/>
      <c r="T365" s="76"/>
    </row>
    <row r="366" spans="2:20" x14ac:dyDescent="0.35">
      <c r="B366" s="35"/>
      <c r="C366" s="74"/>
      <c r="D366" s="75"/>
      <c r="E366" s="75"/>
      <c r="F366" s="75"/>
      <c r="G366" s="76"/>
      <c r="H366" s="63"/>
      <c r="I366" s="63"/>
      <c r="J366" s="76"/>
      <c r="K366" s="76"/>
      <c r="L366" s="37"/>
      <c r="M366" s="37"/>
      <c r="N366" s="76"/>
      <c r="O366" s="76"/>
      <c r="P366" s="37"/>
      <c r="Q366" s="37"/>
      <c r="R366" s="76"/>
      <c r="S366" s="63"/>
      <c r="T366" s="76"/>
    </row>
    <row r="367" spans="2:20" x14ac:dyDescent="0.35">
      <c r="B367" s="35"/>
      <c r="C367" s="74"/>
      <c r="D367" s="75"/>
      <c r="E367" s="75"/>
      <c r="F367" s="75"/>
      <c r="G367" s="76"/>
      <c r="H367" s="63"/>
      <c r="I367" s="63"/>
      <c r="J367" s="76"/>
      <c r="K367" s="76"/>
      <c r="L367" s="37"/>
      <c r="M367" s="37"/>
      <c r="N367" s="76"/>
      <c r="O367" s="76"/>
      <c r="P367" s="37"/>
      <c r="Q367" s="37"/>
      <c r="R367" s="76"/>
      <c r="S367" s="63"/>
      <c r="T367" s="76"/>
    </row>
    <row r="368" spans="2:20" x14ac:dyDescent="0.35">
      <c r="B368" s="35"/>
      <c r="C368" s="74"/>
      <c r="D368" s="75"/>
      <c r="E368" s="75"/>
      <c r="F368" s="75"/>
      <c r="G368" s="76"/>
      <c r="H368" s="63"/>
      <c r="I368" s="63"/>
      <c r="J368" s="76"/>
      <c r="K368" s="76"/>
      <c r="L368" s="37"/>
      <c r="M368" s="37"/>
      <c r="N368" s="76"/>
      <c r="O368" s="76"/>
      <c r="P368" s="37"/>
      <c r="Q368" s="37"/>
      <c r="R368" s="76"/>
      <c r="S368" s="63"/>
      <c r="T368" s="76"/>
    </row>
    <row r="369" spans="2:20" x14ac:dyDescent="0.35">
      <c r="B369" s="35"/>
      <c r="C369" s="74"/>
      <c r="D369" s="75"/>
      <c r="E369" s="75"/>
      <c r="F369" s="75"/>
      <c r="G369" s="76"/>
      <c r="H369" s="63"/>
      <c r="I369" s="63"/>
      <c r="J369" s="76"/>
      <c r="K369" s="76"/>
      <c r="L369" s="37"/>
      <c r="M369" s="37"/>
      <c r="N369" s="76"/>
      <c r="O369" s="76"/>
      <c r="P369" s="37"/>
      <c r="Q369" s="37"/>
      <c r="R369" s="76"/>
      <c r="S369" s="63"/>
      <c r="T369" s="76"/>
    </row>
    <row r="370" spans="2:20" x14ac:dyDescent="0.35">
      <c r="B370" s="35"/>
      <c r="C370" s="74"/>
      <c r="D370" s="75"/>
      <c r="E370" s="75"/>
      <c r="F370" s="75"/>
      <c r="G370" s="76"/>
      <c r="H370" s="63"/>
      <c r="I370" s="63"/>
      <c r="J370" s="76"/>
      <c r="K370" s="76"/>
      <c r="L370" s="37"/>
      <c r="M370" s="37"/>
      <c r="N370" s="76"/>
      <c r="O370" s="76"/>
      <c r="P370" s="37"/>
      <c r="Q370" s="37"/>
      <c r="R370" s="76"/>
      <c r="S370" s="63"/>
      <c r="T370" s="76"/>
    </row>
    <row r="371" spans="2:20" x14ac:dyDescent="0.35">
      <c r="B371" s="35"/>
      <c r="C371" s="74"/>
      <c r="D371" s="75"/>
      <c r="E371" s="75"/>
      <c r="F371" s="75"/>
      <c r="G371" s="76"/>
      <c r="H371" s="63"/>
      <c r="I371" s="63"/>
      <c r="J371" s="76"/>
      <c r="K371" s="76"/>
      <c r="L371" s="37"/>
      <c r="M371" s="37"/>
      <c r="N371" s="76"/>
      <c r="O371" s="76"/>
      <c r="P371" s="37"/>
      <c r="Q371" s="37"/>
      <c r="R371" s="76"/>
      <c r="S371" s="63"/>
      <c r="T371" s="76"/>
    </row>
    <row r="372" spans="2:20" x14ac:dyDescent="0.35">
      <c r="B372" s="35"/>
      <c r="C372" s="74"/>
      <c r="D372" s="75"/>
      <c r="E372" s="75"/>
      <c r="F372" s="75"/>
      <c r="G372" s="76"/>
      <c r="H372" s="63"/>
      <c r="I372" s="63"/>
      <c r="J372" s="76"/>
      <c r="K372" s="76"/>
      <c r="L372" s="37"/>
      <c r="M372" s="37"/>
      <c r="N372" s="76"/>
      <c r="O372" s="76"/>
      <c r="P372" s="37"/>
      <c r="Q372" s="37"/>
      <c r="R372" s="76"/>
      <c r="S372" s="63"/>
      <c r="T372" s="76"/>
    </row>
    <row r="373" spans="2:20" x14ac:dyDescent="0.35">
      <c r="B373" s="35"/>
      <c r="C373" s="74"/>
      <c r="D373" s="75"/>
      <c r="E373" s="75"/>
      <c r="F373" s="75"/>
      <c r="G373" s="76"/>
      <c r="H373" s="63"/>
      <c r="I373" s="63"/>
      <c r="J373" s="76"/>
      <c r="K373" s="76"/>
      <c r="L373" s="37"/>
      <c r="M373" s="37"/>
      <c r="N373" s="76"/>
      <c r="O373" s="76"/>
      <c r="P373" s="37"/>
      <c r="Q373" s="37"/>
      <c r="R373" s="76"/>
      <c r="S373" s="63"/>
      <c r="T373" s="76"/>
    </row>
    <row r="374" spans="2:20" x14ac:dyDescent="0.35">
      <c r="B374" s="35"/>
      <c r="C374" s="74"/>
      <c r="D374" s="75"/>
      <c r="E374" s="75"/>
      <c r="F374" s="75"/>
      <c r="G374" s="76"/>
      <c r="H374" s="63"/>
      <c r="I374" s="63"/>
      <c r="J374" s="76"/>
      <c r="K374" s="76"/>
      <c r="L374" s="37"/>
      <c r="M374" s="37"/>
      <c r="N374" s="76"/>
      <c r="O374" s="76"/>
      <c r="P374" s="37"/>
      <c r="Q374" s="37"/>
      <c r="R374" s="76"/>
      <c r="S374" s="63"/>
      <c r="T374" s="76"/>
    </row>
    <row r="375" spans="2:20" x14ac:dyDescent="0.35">
      <c r="B375" s="35"/>
      <c r="C375" s="74"/>
      <c r="D375" s="75"/>
      <c r="E375" s="75"/>
      <c r="F375" s="75"/>
      <c r="G375" s="76"/>
      <c r="H375" s="63"/>
      <c r="I375" s="63"/>
      <c r="J375" s="76"/>
      <c r="K375" s="76"/>
      <c r="L375" s="37"/>
      <c r="M375" s="37"/>
      <c r="N375" s="76"/>
      <c r="O375" s="76"/>
      <c r="P375" s="37"/>
      <c r="Q375" s="37"/>
      <c r="R375" s="76"/>
      <c r="S375" s="63"/>
      <c r="T375" s="76"/>
    </row>
    <row r="376" spans="2:20" x14ac:dyDescent="0.35">
      <c r="B376" s="35"/>
      <c r="C376" s="74"/>
      <c r="D376" s="75"/>
      <c r="E376" s="75"/>
      <c r="F376" s="75"/>
      <c r="G376" s="76"/>
      <c r="H376" s="63"/>
      <c r="I376" s="63"/>
      <c r="J376" s="76"/>
      <c r="K376" s="76"/>
      <c r="L376" s="37"/>
      <c r="M376" s="37"/>
      <c r="N376" s="76"/>
      <c r="O376" s="76"/>
      <c r="P376" s="37"/>
      <c r="Q376" s="37"/>
      <c r="R376" s="76"/>
      <c r="S376" s="63"/>
      <c r="T376" s="76"/>
    </row>
    <row r="377" spans="2:20" x14ac:dyDescent="0.35">
      <c r="B377" s="35"/>
      <c r="C377" s="74"/>
      <c r="D377" s="75"/>
      <c r="E377" s="75"/>
      <c r="F377" s="75"/>
      <c r="G377" s="76"/>
      <c r="H377" s="63"/>
      <c r="I377" s="63"/>
      <c r="J377" s="76"/>
      <c r="K377" s="76"/>
      <c r="L377" s="37"/>
      <c r="M377" s="37"/>
      <c r="N377" s="76"/>
      <c r="O377" s="76"/>
      <c r="P377" s="37"/>
      <c r="Q377" s="37"/>
      <c r="R377" s="76"/>
      <c r="S377" s="63"/>
      <c r="T377" s="76"/>
    </row>
    <row r="378" spans="2:20" x14ac:dyDescent="0.35">
      <c r="B378" s="35"/>
      <c r="C378" s="74"/>
      <c r="D378" s="75"/>
      <c r="E378" s="75"/>
      <c r="F378" s="75"/>
      <c r="G378" s="76"/>
      <c r="H378" s="63"/>
      <c r="I378" s="63"/>
      <c r="J378" s="76"/>
      <c r="K378" s="76"/>
      <c r="L378" s="37"/>
      <c r="M378" s="37"/>
      <c r="N378" s="76"/>
      <c r="O378" s="76"/>
      <c r="P378" s="37"/>
      <c r="Q378" s="37"/>
      <c r="R378" s="76"/>
      <c r="S378" s="63"/>
      <c r="T378" s="76"/>
    </row>
    <row r="379" spans="2:20" x14ac:dyDescent="0.35">
      <c r="B379" s="35"/>
      <c r="C379" s="74"/>
      <c r="D379" s="75"/>
      <c r="E379" s="75"/>
      <c r="F379" s="75"/>
      <c r="G379" s="76"/>
      <c r="H379" s="63"/>
      <c r="I379" s="63"/>
      <c r="J379" s="76"/>
      <c r="K379" s="76"/>
      <c r="L379" s="37"/>
      <c r="M379" s="37"/>
      <c r="N379" s="76"/>
      <c r="O379" s="76"/>
      <c r="P379" s="37"/>
      <c r="Q379" s="37"/>
      <c r="R379" s="76"/>
      <c r="S379" s="63"/>
      <c r="T379" s="76"/>
    </row>
    <row r="380" spans="2:20" x14ac:dyDescent="0.35">
      <c r="B380" s="35"/>
      <c r="C380" s="74"/>
      <c r="D380" s="75"/>
      <c r="E380" s="75"/>
      <c r="F380" s="75"/>
      <c r="G380" s="76"/>
      <c r="H380" s="63"/>
      <c r="I380" s="63"/>
      <c r="J380" s="76"/>
      <c r="K380" s="76"/>
      <c r="L380" s="37"/>
      <c r="M380" s="37"/>
      <c r="N380" s="76"/>
      <c r="O380" s="76"/>
      <c r="P380" s="37"/>
      <c r="Q380" s="37"/>
      <c r="R380" s="76"/>
      <c r="S380" s="63"/>
      <c r="T380" s="76"/>
    </row>
    <row r="381" spans="2:20" x14ac:dyDescent="0.35">
      <c r="B381" s="35"/>
      <c r="C381" s="74"/>
      <c r="D381" s="75"/>
      <c r="E381" s="75"/>
      <c r="F381" s="75"/>
      <c r="G381" s="76"/>
      <c r="H381" s="63"/>
      <c r="I381" s="63"/>
      <c r="J381" s="76"/>
      <c r="K381" s="76"/>
      <c r="L381" s="37"/>
      <c r="M381" s="37"/>
      <c r="N381" s="76"/>
      <c r="O381" s="76"/>
      <c r="P381" s="37"/>
      <c r="Q381" s="37"/>
      <c r="R381" s="76"/>
      <c r="S381" s="63"/>
      <c r="T381" s="76"/>
    </row>
    <row r="382" spans="2:20" x14ac:dyDescent="0.35">
      <c r="B382" s="35"/>
      <c r="C382" s="74"/>
      <c r="D382" s="75"/>
      <c r="E382" s="75"/>
      <c r="F382" s="75"/>
      <c r="G382" s="76"/>
      <c r="H382" s="63"/>
      <c r="I382" s="63"/>
      <c r="J382" s="76"/>
      <c r="K382" s="76"/>
      <c r="L382" s="37"/>
      <c r="M382" s="37"/>
      <c r="N382" s="76"/>
      <c r="O382" s="76"/>
      <c r="P382" s="37"/>
      <c r="Q382" s="37"/>
      <c r="R382" s="76"/>
      <c r="S382" s="63"/>
      <c r="T382" s="76"/>
    </row>
    <row r="383" spans="2:20" x14ac:dyDescent="0.35">
      <c r="B383" s="35"/>
      <c r="C383" s="74"/>
      <c r="D383" s="75"/>
      <c r="E383" s="75"/>
      <c r="F383" s="75"/>
      <c r="G383" s="76"/>
      <c r="H383" s="63"/>
      <c r="I383" s="63"/>
      <c r="J383" s="76"/>
      <c r="K383" s="76"/>
      <c r="L383" s="37"/>
      <c r="M383" s="37"/>
      <c r="N383" s="76"/>
      <c r="O383" s="76"/>
      <c r="P383" s="37"/>
      <c r="Q383" s="37"/>
      <c r="R383" s="76"/>
      <c r="S383" s="63"/>
      <c r="T383" s="76"/>
    </row>
    <row r="384" spans="2:20" x14ac:dyDescent="0.35">
      <c r="B384" s="35"/>
      <c r="C384" s="74"/>
      <c r="D384" s="75"/>
      <c r="E384" s="75"/>
      <c r="F384" s="75"/>
      <c r="G384" s="76"/>
      <c r="H384" s="63"/>
      <c r="I384" s="63"/>
      <c r="J384" s="76"/>
      <c r="K384" s="76"/>
      <c r="L384" s="37"/>
      <c r="M384" s="37"/>
      <c r="N384" s="76"/>
      <c r="O384" s="76"/>
      <c r="P384" s="37"/>
      <c r="Q384" s="37"/>
      <c r="R384" s="76"/>
      <c r="S384" s="63"/>
      <c r="T384" s="76"/>
    </row>
    <row r="385" spans="2:20" x14ac:dyDescent="0.35">
      <c r="B385" s="35"/>
      <c r="C385" s="74"/>
      <c r="D385" s="75"/>
      <c r="E385" s="75"/>
      <c r="F385" s="75"/>
      <c r="G385" s="76"/>
      <c r="H385" s="63"/>
      <c r="I385" s="63"/>
      <c r="J385" s="76"/>
      <c r="K385" s="76"/>
      <c r="L385" s="37"/>
      <c r="M385" s="37"/>
      <c r="N385" s="76"/>
      <c r="O385" s="76"/>
      <c r="P385" s="37"/>
      <c r="Q385" s="37"/>
      <c r="R385" s="76"/>
      <c r="S385" s="63"/>
      <c r="T385" s="76"/>
    </row>
    <row r="386" spans="2:20" x14ac:dyDescent="0.35">
      <c r="B386" s="35"/>
      <c r="C386" s="74"/>
      <c r="D386" s="75"/>
      <c r="E386" s="75"/>
      <c r="F386" s="75"/>
      <c r="G386" s="76"/>
      <c r="H386" s="63"/>
      <c r="I386" s="63"/>
      <c r="J386" s="76"/>
      <c r="K386" s="76"/>
      <c r="L386" s="37"/>
      <c r="M386" s="37"/>
      <c r="N386" s="76"/>
      <c r="O386" s="76"/>
      <c r="P386" s="37"/>
      <c r="Q386" s="37"/>
      <c r="R386" s="76"/>
      <c r="S386" s="63"/>
      <c r="T386" s="76"/>
    </row>
    <row r="387" spans="2:20" x14ac:dyDescent="0.35">
      <c r="B387" s="35"/>
      <c r="C387" s="74"/>
      <c r="D387" s="75"/>
      <c r="E387" s="75"/>
      <c r="F387" s="75"/>
      <c r="G387" s="76"/>
      <c r="H387" s="63"/>
      <c r="I387" s="63"/>
      <c r="J387" s="76"/>
      <c r="K387" s="76"/>
      <c r="L387" s="37"/>
      <c r="M387" s="37"/>
      <c r="N387" s="76"/>
      <c r="O387" s="76"/>
      <c r="P387" s="37"/>
      <c r="Q387" s="37"/>
      <c r="R387" s="76"/>
      <c r="S387" s="63"/>
      <c r="T387" s="76"/>
    </row>
    <row r="388" spans="2:20" x14ac:dyDescent="0.35">
      <c r="B388" s="35"/>
      <c r="C388" s="74"/>
      <c r="D388" s="75"/>
      <c r="E388" s="75"/>
      <c r="F388" s="75"/>
      <c r="G388" s="76"/>
      <c r="H388" s="63"/>
      <c r="I388" s="63"/>
      <c r="J388" s="76"/>
      <c r="K388" s="76"/>
      <c r="L388" s="37"/>
      <c r="M388" s="37"/>
      <c r="N388" s="76"/>
      <c r="O388" s="76"/>
      <c r="P388" s="37"/>
      <c r="Q388" s="37"/>
      <c r="R388" s="76"/>
      <c r="S388" s="63"/>
      <c r="T388" s="76"/>
    </row>
    <row r="389" spans="2:20" x14ac:dyDescent="0.35">
      <c r="B389" s="35"/>
      <c r="C389" s="74"/>
      <c r="D389" s="75"/>
      <c r="E389" s="75"/>
      <c r="F389" s="75"/>
      <c r="G389" s="76"/>
      <c r="H389" s="63"/>
      <c r="I389" s="63"/>
      <c r="J389" s="76"/>
      <c r="K389" s="76"/>
      <c r="L389" s="37"/>
      <c r="M389" s="37"/>
      <c r="N389" s="76"/>
      <c r="O389" s="76"/>
      <c r="P389" s="37"/>
      <c r="Q389" s="37"/>
      <c r="R389" s="76"/>
      <c r="S389" s="63"/>
      <c r="T389" s="76"/>
    </row>
    <row r="390" spans="2:20" x14ac:dyDescent="0.35">
      <c r="B390" s="35"/>
      <c r="C390" s="74"/>
      <c r="D390" s="75"/>
      <c r="E390" s="75"/>
      <c r="F390" s="75"/>
      <c r="G390" s="76"/>
      <c r="H390" s="63"/>
      <c r="I390" s="63"/>
      <c r="J390" s="76"/>
      <c r="K390" s="76"/>
      <c r="L390" s="37"/>
      <c r="M390" s="37"/>
      <c r="N390" s="76"/>
      <c r="O390" s="76"/>
      <c r="P390" s="37"/>
      <c r="Q390" s="37"/>
      <c r="R390" s="76"/>
      <c r="S390" s="63"/>
      <c r="T390" s="76"/>
    </row>
    <row r="391" spans="2:20" x14ac:dyDescent="0.35">
      <c r="B391" s="35"/>
      <c r="C391" s="74"/>
      <c r="D391" s="75"/>
      <c r="E391" s="75"/>
      <c r="F391" s="75"/>
      <c r="G391" s="76"/>
      <c r="H391" s="63"/>
      <c r="I391" s="63"/>
      <c r="J391" s="76"/>
      <c r="K391" s="76"/>
      <c r="L391" s="37"/>
      <c r="M391" s="37"/>
      <c r="N391" s="76"/>
      <c r="O391" s="76"/>
      <c r="P391" s="37"/>
      <c r="Q391" s="37"/>
      <c r="R391" s="76"/>
      <c r="S391" s="63"/>
      <c r="T391" s="76"/>
    </row>
    <row r="392" spans="2:20" x14ac:dyDescent="0.35">
      <c r="B392" s="35"/>
      <c r="C392" s="74"/>
      <c r="D392" s="75"/>
      <c r="E392" s="75"/>
      <c r="F392" s="75"/>
      <c r="G392" s="76"/>
      <c r="H392" s="63"/>
      <c r="I392" s="63"/>
      <c r="J392" s="76"/>
      <c r="K392" s="76"/>
      <c r="L392" s="37"/>
      <c r="M392" s="37"/>
      <c r="N392" s="76"/>
      <c r="O392" s="76"/>
      <c r="P392" s="37"/>
      <c r="Q392" s="37"/>
      <c r="R392" s="76"/>
      <c r="S392" s="63"/>
      <c r="T392" s="76"/>
    </row>
    <row r="393" spans="2:20" x14ac:dyDescent="0.35">
      <c r="B393" s="35"/>
      <c r="C393" s="74"/>
      <c r="D393" s="75"/>
      <c r="E393" s="75"/>
      <c r="F393" s="75"/>
      <c r="G393" s="76"/>
      <c r="H393" s="63"/>
      <c r="I393" s="63"/>
      <c r="J393" s="76"/>
      <c r="K393" s="76"/>
      <c r="L393" s="37"/>
      <c r="M393" s="37"/>
      <c r="N393" s="76"/>
      <c r="O393" s="76"/>
      <c r="P393" s="37"/>
      <c r="Q393" s="37"/>
      <c r="R393" s="76"/>
      <c r="S393" s="63"/>
      <c r="T393" s="76"/>
    </row>
    <row r="394" spans="2:20" x14ac:dyDescent="0.35">
      <c r="B394" s="35"/>
      <c r="C394" s="74"/>
      <c r="D394" s="75"/>
      <c r="E394" s="75"/>
      <c r="F394" s="75"/>
      <c r="G394" s="76"/>
      <c r="H394" s="63"/>
      <c r="I394" s="63"/>
      <c r="J394" s="76"/>
      <c r="K394" s="76"/>
      <c r="L394" s="37"/>
      <c r="M394" s="37"/>
      <c r="N394" s="76"/>
      <c r="O394" s="76"/>
      <c r="P394" s="37"/>
      <c r="Q394" s="37"/>
      <c r="R394" s="76"/>
      <c r="S394" s="63"/>
      <c r="T394" s="76"/>
    </row>
    <row r="395" spans="2:20" x14ac:dyDescent="0.35">
      <c r="B395" s="35"/>
      <c r="C395" s="74"/>
      <c r="D395" s="75"/>
      <c r="E395" s="75"/>
      <c r="F395" s="75"/>
      <c r="G395" s="76"/>
      <c r="H395" s="63"/>
      <c r="I395" s="63"/>
      <c r="J395" s="76"/>
      <c r="K395" s="76"/>
      <c r="L395" s="37"/>
      <c r="M395" s="37"/>
      <c r="N395" s="76"/>
      <c r="O395" s="76"/>
      <c r="P395" s="37"/>
      <c r="Q395" s="37"/>
      <c r="R395" s="76"/>
      <c r="S395" s="63"/>
      <c r="T395" s="76"/>
    </row>
    <row r="396" spans="2:20" x14ac:dyDescent="0.35">
      <c r="B396" s="35"/>
      <c r="C396" s="74"/>
      <c r="D396" s="75"/>
      <c r="E396" s="75"/>
      <c r="F396" s="75"/>
      <c r="G396" s="76"/>
      <c r="H396" s="63"/>
      <c r="I396" s="63"/>
      <c r="J396" s="76"/>
      <c r="K396" s="76"/>
      <c r="L396" s="37"/>
      <c r="M396" s="37"/>
      <c r="N396" s="76"/>
      <c r="O396" s="76"/>
      <c r="P396" s="37"/>
      <c r="Q396" s="37"/>
      <c r="R396" s="76"/>
      <c r="S396" s="63"/>
      <c r="T396" s="76"/>
    </row>
    <row r="397" spans="2:20" x14ac:dyDescent="0.35">
      <c r="B397" s="35"/>
      <c r="C397" s="74"/>
      <c r="D397" s="75"/>
      <c r="E397" s="75"/>
      <c r="F397" s="75"/>
      <c r="G397" s="76"/>
      <c r="H397" s="63"/>
      <c r="I397" s="63"/>
      <c r="J397" s="76"/>
      <c r="K397" s="76"/>
      <c r="L397" s="37"/>
      <c r="M397" s="37"/>
      <c r="N397" s="76"/>
      <c r="O397" s="76"/>
      <c r="P397" s="37"/>
      <c r="Q397" s="37"/>
      <c r="R397" s="76"/>
      <c r="S397" s="63"/>
      <c r="T397" s="76"/>
    </row>
    <row r="398" spans="2:20" x14ac:dyDescent="0.35">
      <c r="B398" s="35"/>
      <c r="C398" s="74"/>
      <c r="D398" s="75"/>
      <c r="E398" s="75"/>
      <c r="F398" s="75"/>
      <c r="G398" s="76"/>
      <c r="H398" s="63"/>
      <c r="I398" s="63"/>
      <c r="J398" s="76"/>
      <c r="K398" s="76"/>
      <c r="L398" s="37"/>
      <c r="M398" s="37"/>
      <c r="N398" s="76"/>
      <c r="O398" s="76"/>
      <c r="P398" s="37"/>
      <c r="Q398" s="37"/>
      <c r="R398" s="76"/>
      <c r="S398" s="63"/>
      <c r="T398" s="76"/>
    </row>
    <row r="399" spans="2:20" x14ac:dyDescent="0.35">
      <c r="B399" s="35"/>
      <c r="C399" s="74"/>
      <c r="D399" s="75"/>
      <c r="E399" s="75"/>
      <c r="F399" s="75"/>
      <c r="G399" s="76"/>
      <c r="H399" s="63"/>
      <c r="I399" s="63"/>
      <c r="J399" s="76"/>
      <c r="K399" s="76"/>
      <c r="L399" s="37"/>
      <c r="M399" s="37"/>
      <c r="N399" s="76"/>
      <c r="O399" s="76"/>
      <c r="P399" s="37"/>
      <c r="Q399" s="37"/>
      <c r="R399" s="76"/>
      <c r="S399" s="63"/>
      <c r="T399" s="76"/>
    </row>
    <row r="400" spans="2:20" x14ac:dyDescent="0.35">
      <c r="B400" s="35"/>
      <c r="C400" s="74"/>
      <c r="D400" s="75"/>
      <c r="E400" s="75"/>
      <c r="F400" s="75"/>
      <c r="G400" s="76"/>
      <c r="H400" s="63"/>
      <c r="I400" s="63"/>
      <c r="J400" s="76"/>
      <c r="K400" s="76"/>
      <c r="L400" s="37"/>
      <c r="M400" s="37"/>
      <c r="N400" s="76"/>
      <c r="O400" s="76"/>
      <c r="P400" s="37"/>
      <c r="Q400" s="37"/>
      <c r="R400" s="76"/>
      <c r="S400" s="63"/>
      <c r="T400" s="76"/>
    </row>
    <row r="401" spans="2:20" x14ac:dyDescent="0.35">
      <c r="B401" s="35"/>
      <c r="C401" s="74"/>
      <c r="D401" s="75"/>
      <c r="E401" s="75"/>
      <c r="F401" s="75"/>
      <c r="G401" s="76"/>
      <c r="H401" s="63"/>
      <c r="I401" s="63"/>
      <c r="J401" s="76"/>
      <c r="K401" s="76"/>
      <c r="L401" s="37"/>
      <c r="M401" s="37"/>
      <c r="N401" s="76"/>
      <c r="O401" s="76"/>
      <c r="P401" s="37"/>
      <c r="Q401" s="37"/>
      <c r="R401" s="76"/>
      <c r="S401" s="63"/>
      <c r="T401" s="76"/>
    </row>
    <row r="402" spans="2:20" x14ac:dyDescent="0.35">
      <c r="B402" s="35"/>
      <c r="C402" s="74"/>
      <c r="D402" s="75"/>
      <c r="E402" s="75"/>
      <c r="F402" s="75"/>
      <c r="G402" s="76"/>
      <c r="H402" s="63"/>
      <c r="I402" s="63"/>
      <c r="J402" s="76"/>
      <c r="K402" s="76"/>
      <c r="L402" s="37"/>
      <c r="M402" s="37"/>
      <c r="N402" s="76"/>
      <c r="O402" s="76"/>
      <c r="P402" s="37"/>
      <c r="Q402" s="37"/>
      <c r="R402" s="76"/>
      <c r="S402" s="63"/>
      <c r="T402" s="76"/>
    </row>
    <row r="403" spans="2:20" x14ac:dyDescent="0.35">
      <c r="B403" s="35"/>
      <c r="C403" s="74"/>
      <c r="D403" s="75"/>
      <c r="E403" s="75"/>
      <c r="F403" s="75"/>
      <c r="G403" s="76"/>
      <c r="H403" s="63"/>
      <c r="I403" s="63"/>
      <c r="J403" s="76"/>
      <c r="K403" s="76"/>
      <c r="L403" s="37"/>
      <c r="M403" s="37"/>
      <c r="N403" s="76"/>
      <c r="O403" s="76"/>
      <c r="P403" s="37"/>
      <c r="Q403" s="37"/>
      <c r="R403" s="76"/>
      <c r="S403" s="63"/>
      <c r="T403" s="76"/>
    </row>
    <row r="404" spans="2:20" x14ac:dyDescent="0.35">
      <c r="B404" s="35"/>
      <c r="C404" s="74"/>
      <c r="D404" s="75"/>
      <c r="E404" s="75"/>
      <c r="F404" s="75"/>
      <c r="G404" s="76"/>
      <c r="H404" s="63"/>
      <c r="I404" s="63"/>
      <c r="J404" s="76"/>
      <c r="K404" s="76"/>
      <c r="L404" s="37"/>
      <c r="M404" s="37"/>
      <c r="N404" s="76"/>
      <c r="O404" s="76"/>
      <c r="P404" s="37"/>
      <c r="Q404" s="37"/>
      <c r="R404" s="76"/>
      <c r="S404" s="63"/>
      <c r="T404" s="76"/>
    </row>
    <row r="405" spans="2:20" x14ac:dyDescent="0.35">
      <c r="B405" s="35"/>
      <c r="C405" s="74"/>
      <c r="D405" s="75"/>
      <c r="E405" s="75"/>
      <c r="F405" s="75"/>
      <c r="G405" s="76"/>
      <c r="H405" s="63"/>
      <c r="I405" s="63"/>
      <c r="J405" s="76"/>
      <c r="K405" s="76"/>
      <c r="L405" s="37"/>
      <c r="M405" s="37"/>
      <c r="N405" s="76"/>
      <c r="O405" s="76"/>
      <c r="P405" s="37"/>
      <c r="Q405" s="37"/>
      <c r="R405" s="76"/>
      <c r="S405" s="63"/>
      <c r="T405" s="76"/>
    </row>
    <row r="406" spans="2:20" x14ac:dyDescent="0.35">
      <c r="B406" s="35"/>
      <c r="C406" s="74"/>
      <c r="D406" s="75"/>
      <c r="E406" s="75"/>
      <c r="F406" s="75"/>
      <c r="G406" s="76"/>
      <c r="H406" s="63"/>
      <c r="I406" s="63"/>
      <c r="J406" s="76"/>
      <c r="K406" s="76"/>
      <c r="L406" s="37"/>
      <c r="M406" s="37"/>
      <c r="N406" s="76"/>
      <c r="O406" s="76"/>
      <c r="P406" s="37"/>
      <c r="Q406" s="37"/>
      <c r="R406" s="76"/>
      <c r="S406" s="63"/>
      <c r="T406" s="76"/>
    </row>
    <row r="407" spans="2:20" x14ac:dyDescent="0.35">
      <c r="B407" s="35"/>
      <c r="C407" s="74"/>
      <c r="D407" s="75"/>
      <c r="E407" s="75"/>
      <c r="F407" s="75"/>
      <c r="G407" s="76"/>
      <c r="H407" s="63"/>
      <c r="I407" s="63"/>
      <c r="J407" s="76"/>
      <c r="K407" s="76"/>
      <c r="L407" s="37"/>
      <c r="M407" s="37"/>
      <c r="N407" s="76"/>
      <c r="O407" s="76"/>
      <c r="P407" s="37"/>
      <c r="Q407" s="37"/>
      <c r="R407" s="76"/>
      <c r="S407" s="63"/>
      <c r="T407" s="76"/>
    </row>
    <row r="408" spans="2:20" x14ac:dyDescent="0.35">
      <c r="B408" s="35"/>
      <c r="C408" s="74"/>
      <c r="D408" s="75"/>
      <c r="E408" s="75"/>
      <c r="F408" s="75"/>
      <c r="G408" s="76"/>
      <c r="H408" s="63"/>
      <c r="I408" s="63"/>
      <c r="J408" s="76"/>
      <c r="K408" s="76"/>
      <c r="L408" s="37"/>
      <c r="M408" s="37"/>
      <c r="N408" s="76"/>
      <c r="O408" s="76"/>
      <c r="P408" s="37"/>
      <c r="Q408" s="37"/>
      <c r="R408" s="76"/>
      <c r="S408" s="63"/>
      <c r="T408" s="76"/>
    </row>
    <row r="409" spans="2:20" x14ac:dyDescent="0.35">
      <c r="B409" s="35"/>
      <c r="C409" s="74"/>
      <c r="D409" s="75"/>
      <c r="E409" s="75"/>
      <c r="F409" s="75"/>
      <c r="G409" s="76"/>
      <c r="H409" s="63"/>
      <c r="I409" s="63"/>
      <c r="J409" s="76"/>
      <c r="K409" s="76"/>
      <c r="L409" s="37"/>
      <c r="M409" s="37"/>
      <c r="N409" s="76"/>
      <c r="O409" s="76"/>
      <c r="P409" s="37"/>
      <c r="Q409" s="37"/>
      <c r="R409" s="76"/>
      <c r="S409" s="63"/>
      <c r="T409" s="76"/>
    </row>
    <row r="410" spans="2:20" x14ac:dyDescent="0.35">
      <c r="B410" s="35"/>
      <c r="C410" s="74"/>
      <c r="D410" s="75"/>
      <c r="E410" s="75"/>
      <c r="F410" s="75"/>
      <c r="G410" s="76"/>
      <c r="H410" s="63"/>
      <c r="I410" s="63"/>
      <c r="J410" s="76"/>
      <c r="K410" s="76"/>
      <c r="L410" s="37"/>
      <c r="M410" s="37"/>
      <c r="N410" s="76"/>
      <c r="O410" s="76"/>
      <c r="P410" s="37"/>
      <c r="Q410" s="37"/>
      <c r="R410" s="76"/>
      <c r="S410" s="63"/>
      <c r="T410" s="76"/>
    </row>
    <row r="411" spans="2:20" x14ac:dyDescent="0.35">
      <c r="B411" s="35"/>
      <c r="C411" s="74"/>
      <c r="D411" s="75"/>
      <c r="E411" s="75"/>
      <c r="F411" s="75"/>
      <c r="G411" s="76"/>
      <c r="H411" s="63"/>
      <c r="I411" s="63"/>
      <c r="J411" s="76"/>
      <c r="K411" s="76"/>
      <c r="L411" s="37"/>
      <c r="M411" s="37"/>
      <c r="N411" s="76"/>
      <c r="O411" s="76"/>
      <c r="P411" s="37"/>
      <c r="Q411" s="37"/>
      <c r="R411" s="76"/>
      <c r="S411" s="63"/>
      <c r="T411" s="76"/>
    </row>
    <row r="412" spans="2:20" x14ac:dyDescent="0.35">
      <c r="B412" s="35"/>
      <c r="C412" s="74"/>
      <c r="D412" s="75"/>
      <c r="E412" s="75"/>
      <c r="F412" s="75"/>
      <c r="G412" s="76"/>
      <c r="H412" s="63"/>
      <c r="I412" s="63"/>
      <c r="J412" s="76"/>
      <c r="K412" s="76"/>
      <c r="L412" s="37"/>
      <c r="M412" s="37"/>
      <c r="N412" s="76"/>
      <c r="O412" s="76"/>
      <c r="P412" s="37"/>
      <c r="Q412" s="37"/>
      <c r="R412" s="76"/>
      <c r="S412" s="63"/>
      <c r="T412" s="76"/>
    </row>
    <row r="413" spans="2:20" x14ac:dyDescent="0.35">
      <c r="B413" s="35"/>
      <c r="C413" s="74"/>
      <c r="D413" s="75"/>
      <c r="E413" s="75"/>
      <c r="F413" s="75"/>
      <c r="G413" s="76"/>
      <c r="H413" s="63"/>
      <c r="I413" s="63"/>
      <c r="J413" s="76"/>
      <c r="K413" s="76"/>
      <c r="L413" s="37"/>
      <c r="M413" s="37"/>
      <c r="N413" s="76"/>
      <c r="O413" s="76"/>
      <c r="P413" s="37"/>
      <c r="Q413" s="37"/>
      <c r="R413" s="76"/>
      <c r="S413" s="63"/>
      <c r="T413" s="76"/>
    </row>
    <row r="414" spans="2:20" x14ac:dyDescent="0.35">
      <c r="B414" s="35"/>
      <c r="C414" s="74"/>
      <c r="D414" s="75"/>
      <c r="E414" s="75"/>
      <c r="F414" s="75"/>
      <c r="G414" s="76"/>
      <c r="H414" s="63"/>
      <c r="I414" s="63"/>
      <c r="J414" s="76"/>
      <c r="K414" s="76"/>
      <c r="L414" s="37"/>
      <c r="M414" s="37"/>
      <c r="N414" s="76"/>
      <c r="O414" s="76"/>
      <c r="P414" s="37"/>
      <c r="Q414" s="37"/>
      <c r="R414" s="76"/>
      <c r="S414" s="63"/>
      <c r="T414" s="76"/>
    </row>
    <row r="415" spans="2:20" x14ac:dyDescent="0.35">
      <c r="B415" s="35"/>
      <c r="C415" s="74"/>
      <c r="D415" s="75"/>
      <c r="E415" s="75"/>
      <c r="F415" s="75"/>
      <c r="G415" s="76"/>
      <c r="H415" s="63"/>
      <c r="I415" s="63"/>
      <c r="J415" s="76"/>
      <c r="K415" s="76"/>
      <c r="L415" s="37"/>
      <c r="M415" s="37"/>
      <c r="N415" s="76"/>
      <c r="O415" s="76"/>
      <c r="P415" s="37"/>
      <c r="Q415" s="37"/>
      <c r="R415" s="76"/>
      <c r="S415" s="63"/>
      <c r="T415" s="76"/>
    </row>
    <row r="416" spans="2:20" x14ac:dyDescent="0.35">
      <c r="B416" s="35"/>
      <c r="C416" s="74"/>
      <c r="D416" s="75"/>
      <c r="E416" s="75"/>
      <c r="F416" s="75"/>
      <c r="G416" s="76"/>
      <c r="H416" s="63"/>
      <c r="I416" s="63"/>
      <c r="J416" s="76"/>
      <c r="K416" s="76"/>
      <c r="L416" s="37"/>
      <c r="M416" s="37"/>
      <c r="N416" s="76"/>
      <c r="O416" s="76"/>
      <c r="P416" s="37"/>
      <c r="Q416" s="37"/>
      <c r="R416" s="76"/>
      <c r="S416" s="63"/>
      <c r="T416" s="76"/>
    </row>
    <row r="417" spans="2:20" x14ac:dyDescent="0.35">
      <c r="B417" s="35"/>
      <c r="C417" s="74"/>
      <c r="D417" s="75"/>
      <c r="E417" s="75"/>
      <c r="F417" s="75"/>
      <c r="G417" s="76"/>
      <c r="H417" s="63"/>
      <c r="I417" s="63"/>
      <c r="J417" s="76"/>
      <c r="K417" s="76"/>
      <c r="L417" s="37"/>
      <c r="M417" s="37"/>
      <c r="N417" s="76"/>
      <c r="O417" s="76"/>
      <c r="P417" s="37"/>
      <c r="Q417" s="37"/>
      <c r="R417" s="76"/>
      <c r="S417" s="63"/>
      <c r="T417" s="76"/>
    </row>
    <row r="418" spans="2:20" x14ac:dyDescent="0.35">
      <c r="B418" s="35"/>
      <c r="C418" s="74"/>
      <c r="D418" s="75"/>
      <c r="E418" s="75"/>
      <c r="F418" s="75"/>
      <c r="G418" s="76"/>
      <c r="H418" s="63"/>
      <c r="I418" s="63"/>
      <c r="J418" s="76"/>
      <c r="K418" s="76"/>
      <c r="L418" s="37"/>
      <c r="M418" s="37"/>
      <c r="N418" s="76"/>
      <c r="O418" s="76"/>
      <c r="P418" s="37"/>
      <c r="Q418" s="37"/>
      <c r="R418" s="76"/>
      <c r="S418" s="63"/>
      <c r="T418" s="76"/>
    </row>
    <row r="419" spans="2:20" x14ac:dyDescent="0.35">
      <c r="B419" s="35"/>
      <c r="C419" s="74"/>
      <c r="D419" s="75"/>
      <c r="E419" s="75"/>
      <c r="F419" s="75"/>
      <c r="G419" s="76"/>
      <c r="H419" s="63"/>
      <c r="I419" s="63"/>
      <c r="J419" s="76"/>
      <c r="K419" s="76"/>
      <c r="L419" s="37"/>
      <c r="M419" s="37"/>
      <c r="N419" s="76"/>
      <c r="O419" s="76"/>
      <c r="P419" s="37"/>
      <c r="Q419" s="37"/>
      <c r="R419" s="76"/>
      <c r="S419" s="63"/>
      <c r="T419" s="76"/>
    </row>
    <row r="420" spans="2:20" x14ac:dyDescent="0.35">
      <c r="B420" s="35"/>
      <c r="C420" s="74"/>
      <c r="D420" s="75"/>
      <c r="E420" s="75"/>
      <c r="F420" s="75"/>
      <c r="G420" s="76"/>
      <c r="H420" s="63"/>
      <c r="I420" s="63"/>
      <c r="J420" s="76"/>
      <c r="K420" s="76"/>
      <c r="L420" s="37"/>
      <c r="M420" s="37"/>
      <c r="N420" s="76"/>
      <c r="O420" s="76"/>
      <c r="P420" s="37"/>
      <c r="Q420" s="37"/>
      <c r="R420" s="76"/>
      <c r="S420" s="63"/>
      <c r="T420" s="76"/>
    </row>
    <row r="421" spans="2:20" x14ac:dyDescent="0.35">
      <c r="B421" s="35"/>
      <c r="C421" s="74"/>
      <c r="D421" s="75"/>
      <c r="E421" s="75"/>
      <c r="F421" s="75"/>
      <c r="G421" s="76"/>
      <c r="H421" s="63"/>
      <c r="I421" s="63"/>
      <c r="J421" s="76"/>
      <c r="K421" s="76"/>
      <c r="L421" s="37"/>
      <c r="M421" s="37"/>
      <c r="N421" s="76"/>
      <c r="O421" s="76"/>
      <c r="P421" s="37"/>
      <c r="Q421" s="37"/>
      <c r="R421" s="76"/>
      <c r="S421" s="63"/>
      <c r="T421" s="76"/>
    </row>
    <row r="422" spans="2:20" x14ac:dyDescent="0.35">
      <c r="B422" s="35"/>
      <c r="C422" s="74"/>
      <c r="D422" s="75"/>
      <c r="E422" s="75"/>
      <c r="F422" s="75"/>
      <c r="G422" s="76"/>
      <c r="H422" s="63"/>
      <c r="I422" s="63"/>
      <c r="J422" s="76"/>
      <c r="K422" s="76"/>
      <c r="L422" s="37"/>
      <c r="M422" s="37"/>
      <c r="N422" s="76"/>
      <c r="O422" s="76"/>
      <c r="P422" s="37"/>
      <c r="Q422" s="37"/>
      <c r="R422" s="76"/>
      <c r="S422" s="63"/>
      <c r="T422" s="76"/>
    </row>
    <row r="423" spans="2:20" x14ac:dyDescent="0.35">
      <c r="B423" s="35"/>
      <c r="C423" s="74"/>
      <c r="D423" s="75"/>
      <c r="E423" s="75"/>
      <c r="F423" s="75"/>
      <c r="G423" s="76"/>
      <c r="H423" s="63"/>
      <c r="I423" s="63"/>
      <c r="J423" s="76"/>
      <c r="K423" s="76"/>
      <c r="L423" s="37"/>
      <c r="M423" s="37"/>
      <c r="N423" s="76"/>
      <c r="O423" s="76"/>
      <c r="P423" s="37"/>
      <c r="Q423" s="37"/>
      <c r="R423" s="76"/>
      <c r="S423" s="63"/>
      <c r="T423" s="76"/>
    </row>
    <row r="424" spans="2:20" x14ac:dyDescent="0.35">
      <c r="B424" s="35"/>
      <c r="C424" s="74"/>
      <c r="D424" s="75"/>
      <c r="E424" s="75"/>
      <c r="F424" s="75"/>
      <c r="G424" s="76"/>
      <c r="H424" s="63"/>
      <c r="I424" s="63"/>
      <c r="J424" s="76"/>
      <c r="K424" s="76"/>
      <c r="L424" s="37"/>
      <c r="M424" s="37"/>
      <c r="N424" s="76"/>
      <c r="O424" s="76"/>
      <c r="P424" s="37"/>
      <c r="Q424" s="37"/>
      <c r="R424" s="76"/>
      <c r="S424" s="63"/>
      <c r="T424" s="76"/>
    </row>
    <row r="425" spans="2:20" x14ac:dyDescent="0.35">
      <c r="B425" s="35"/>
      <c r="C425" s="74"/>
      <c r="D425" s="75"/>
      <c r="E425" s="75"/>
      <c r="F425" s="75"/>
      <c r="G425" s="76"/>
      <c r="H425" s="63"/>
      <c r="I425" s="63"/>
      <c r="J425" s="76"/>
      <c r="K425" s="76"/>
      <c r="L425" s="37"/>
      <c r="M425" s="37"/>
      <c r="N425" s="76"/>
      <c r="O425" s="76"/>
      <c r="P425" s="37"/>
      <c r="Q425" s="37"/>
      <c r="R425" s="76"/>
      <c r="S425" s="63"/>
      <c r="T425" s="76"/>
    </row>
    <row r="426" spans="2:20" x14ac:dyDescent="0.35">
      <c r="B426" s="35"/>
      <c r="C426" s="74"/>
      <c r="D426" s="75"/>
      <c r="E426" s="75"/>
      <c r="F426" s="75"/>
      <c r="G426" s="76"/>
      <c r="H426" s="63"/>
      <c r="I426" s="63"/>
      <c r="J426" s="76"/>
      <c r="K426" s="76"/>
      <c r="L426" s="37"/>
      <c r="M426" s="37"/>
      <c r="N426" s="76"/>
      <c r="O426" s="76"/>
      <c r="P426" s="37"/>
      <c r="Q426" s="37"/>
      <c r="R426" s="76"/>
      <c r="S426" s="63"/>
      <c r="T426" s="76"/>
    </row>
    <row r="427" spans="2:20" x14ac:dyDescent="0.35">
      <c r="B427" s="35"/>
      <c r="C427" s="74"/>
      <c r="D427" s="75"/>
      <c r="E427" s="75"/>
      <c r="F427" s="75"/>
      <c r="G427" s="76"/>
      <c r="H427" s="63"/>
      <c r="I427" s="63"/>
      <c r="J427" s="76"/>
      <c r="K427" s="76"/>
      <c r="L427" s="37"/>
      <c r="M427" s="37"/>
      <c r="N427" s="76"/>
      <c r="O427" s="76"/>
      <c r="P427" s="37"/>
      <c r="Q427" s="37"/>
      <c r="R427" s="76"/>
      <c r="S427" s="63"/>
      <c r="T427" s="76"/>
    </row>
    <row r="428" spans="2:20" x14ac:dyDescent="0.35">
      <c r="B428" s="35"/>
      <c r="C428" s="74"/>
      <c r="D428" s="75"/>
      <c r="E428" s="75"/>
      <c r="F428" s="75"/>
      <c r="G428" s="76"/>
      <c r="H428" s="63"/>
      <c r="I428" s="63"/>
      <c r="J428" s="76"/>
      <c r="K428" s="76"/>
      <c r="L428" s="37"/>
      <c r="M428" s="37"/>
      <c r="N428" s="76"/>
      <c r="O428" s="76"/>
      <c r="P428" s="37"/>
      <c r="Q428" s="37"/>
      <c r="R428" s="76"/>
      <c r="S428" s="63"/>
      <c r="T428" s="76"/>
    </row>
    <row r="429" spans="2:20" x14ac:dyDescent="0.35">
      <c r="B429" s="35"/>
      <c r="C429" s="74"/>
      <c r="D429" s="75"/>
      <c r="E429" s="75"/>
      <c r="F429" s="75"/>
      <c r="G429" s="76"/>
      <c r="H429" s="63"/>
      <c r="I429" s="63"/>
      <c r="J429" s="76"/>
      <c r="K429" s="76"/>
      <c r="L429" s="37"/>
      <c r="M429" s="37"/>
      <c r="N429" s="76"/>
      <c r="O429" s="76"/>
      <c r="P429" s="37"/>
      <c r="Q429" s="37"/>
      <c r="R429" s="76"/>
      <c r="S429" s="63"/>
      <c r="T429" s="76"/>
    </row>
    <row r="430" spans="2:20" x14ac:dyDescent="0.35">
      <c r="B430" s="35"/>
      <c r="C430" s="74"/>
      <c r="D430" s="75"/>
      <c r="E430" s="75"/>
      <c r="F430" s="75"/>
      <c r="G430" s="76"/>
      <c r="H430" s="63"/>
      <c r="I430" s="63"/>
      <c r="J430" s="76"/>
      <c r="K430" s="76"/>
      <c r="L430" s="37"/>
      <c r="M430" s="37"/>
      <c r="N430" s="76"/>
      <c r="O430" s="76"/>
      <c r="P430" s="37"/>
      <c r="Q430" s="37"/>
      <c r="R430" s="76"/>
      <c r="S430" s="63"/>
      <c r="T430" s="76"/>
    </row>
    <row r="431" spans="2:20" x14ac:dyDescent="0.35">
      <c r="B431" s="35"/>
      <c r="C431" s="74"/>
      <c r="D431" s="75"/>
      <c r="E431" s="75"/>
      <c r="F431" s="75"/>
      <c r="G431" s="76"/>
      <c r="H431" s="63"/>
      <c r="I431" s="63"/>
      <c r="J431" s="76"/>
      <c r="K431" s="76"/>
      <c r="L431" s="37"/>
      <c r="M431" s="37"/>
      <c r="N431" s="76"/>
      <c r="O431" s="76"/>
      <c r="P431" s="37"/>
      <c r="Q431" s="37"/>
      <c r="R431" s="76"/>
      <c r="S431" s="63"/>
      <c r="T431" s="76"/>
    </row>
    <row r="432" spans="2:20" x14ac:dyDescent="0.35">
      <c r="B432" s="35"/>
      <c r="C432" s="74"/>
      <c r="D432" s="75"/>
      <c r="E432" s="75"/>
      <c r="F432" s="75"/>
      <c r="G432" s="76"/>
      <c r="H432" s="63"/>
      <c r="I432" s="63"/>
      <c r="J432" s="76"/>
      <c r="K432" s="76"/>
      <c r="L432" s="37"/>
      <c r="M432" s="37"/>
      <c r="N432" s="76"/>
      <c r="O432" s="76"/>
      <c r="P432" s="37"/>
      <c r="Q432" s="37"/>
      <c r="R432" s="76"/>
      <c r="S432" s="63"/>
      <c r="T432" s="76"/>
    </row>
    <row r="433" spans="2:20" x14ac:dyDescent="0.35">
      <c r="B433" s="35"/>
      <c r="C433" s="74"/>
      <c r="D433" s="75"/>
      <c r="E433" s="75"/>
      <c r="F433" s="75"/>
      <c r="G433" s="76"/>
      <c r="H433" s="63"/>
      <c r="I433" s="63"/>
      <c r="J433" s="76"/>
      <c r="K433" s="76"/>
      <c r="L433" s="37"/>
      <c r="M433" s="37"/>
      <c r="N433" s="76"/>
      <c r="O433" s="76"/>
      <c r="P433" s="37"/>
      <c r="Q433" s="37"/>
      <c r="R433" s="76"/>
      <c r="S433" s="63"/>
      <c r="T433" s="76"/>
    </row>
    <row r="434" spans="2:20" x14ac:dyDescent="0.35">
      <c r="B434" s="35"/>
      <c r="C434" s="74"/>
      <c r="D434" s="75"/>
      <c r="E434" s="75"/>
      <c r="F434" s="75"/>
      <c r="G434" s="76"/>
      <c r="H434" s="63"/>
      <c r="I434" s="63"/>
      <c r="J434" s="76"/>
      <c r="K434" s="76"/>
      <c r="L434" s="37"/>
      <c r="M434" s="37"/>
      <c r="N434" s="76"/>
      <c r="O434" s="76"/>
      <c r="P434" s="37"/>
      <c r="Q434" s="37"/>
      <c r="R434" s="76"/>
      <c r="S434" s="63"/>
      <c r="T434" s="76"/>
    </row>
    <row r="435" spans="2:20" x14ac:dyDescent="0.35">
      <c r="B435" s="35"/>
      <c r="C435" s="74"/>
      <c r="D435" s="75"/>
      <c r="E435" s="75"/>
      <c r="F435" s="75"/>
      <c r="G435" s="76"/>
      <c r="H435" s="63"/>
      <c r="I435" s="63"/>
      <c r="J435" s="76"/>
      <c r="K435" s="76"/>
      <c r="L435" s="37"/>
      <c r="M435" s="37"/>
      <c r="N435" s="76"/>
      <c r="O435" s="76"/>
      <c r="P435" s="37"/>
      <c r="Q435" s="37"/>
      <c r="R435" s="76"/>
      <c r="S435" s="63"/>
      <c r="T435" s="76"/>
    </row>
    <row r="436" spans="2:20" x14ac:dyDescent="0.35">
      <c r="B436" s="35"/>
      <c r="C436" s="74"/>
      <c r="D436" s="75"/>
      <c r="E436" s="75"/>
      <c r="F436" s="75"/>
      <c r="G436" s="76"/>
      <c r="H436" s="63"/>
      <c r="I436" s="63"/>
      <c r="J436" s="76"/>
      <c r="K436" s="76"/>
      <c r="L436" s="37"/>
      <c r="M436" s="37"/>
      <c r="N436" s="76"/>
      <c r="O436" s="76"/>
      <c r="P436" s="37"/>
      <c r="Q436" s="37"/>
      <c r="R436" s="76"/>
      <c r="S436" s="63"/>
      <c r="T436" s="76"/>
    </row>
    <row r="437" spans="2:20" x14ac:dyDescent="0.35">
      <c r="B437" s="35"/>
      <c r="C437" s="74"/>
      <c r="D437" s="75"/>
      <c r="E437" s="75"/>
      <c r="F437" s="75"/>
      <c r="G437" s="76"/>
      <c r="H437" s="63"/>
      <c r="I437" s="63"/>
      <c r="J437" s="76"/>
      <c r="K437" s="76"/>
      <c r="L437" s="37"/>
      <c r="M437" s="37"/>
      <c r="N437" s="76"/>
      <c r="O437" s="76"/>
      <c r="P437" s="37"/>
      <c r="Q437" s="37"/>
      <c r="R437" s="76"/>
      <c r="S437" s="63"/>
      <c r="T437" s="76"/>
    </row>
    <row r="438" spans="2:20" x14ac:dyDescent="0.35">
      <c r="B438" s="35"/>
      <c r="C438" s="74"/>
      <c r="D438" s="75"/>
      <c r="E438" s="75"/>
      <c r="F438" s="75"/>
      <c r="G438" s="76"/>
      <c r="H438" s="63"/>
      <c r="I438" s="63"/>
      <c r="J438" s="76"/>
      <c r="K438" s="76"/>
      <c r="L438" s="37"/>
      <c r="M438" s="37"/>
      <c r="N438" s="76"/>
      <c r="O438" s="76"/>
      <c r="P438" s="37"/>
      <c r="Q438" s="37"/>
      <c r="R438" s="76"/>
      <c r="S438" s="63"/>
      <c r="T438" s="76"/>
    </row>
    <row r="439" spans="2:20" x14ac:dyDescent="0.35">
      <c r="B439" s="35"/>
      <c r="C439" s="74"/>
      <c r="D439" s="75"/>
      <c r="E439" s="75"/>
      <c r="F439" s="75"/>
      <c r="G439" s="76"/>
      <c r="H439" s="63"/>
      <c r="I439" s="63"/>
      <c r="J439" s="76"/>
      <c r="K439" s="76"/>
      <c r="L439" s="37"/>
      <c r="M439" s="37"/>
      <c r="N439" s="76"/>
      <c r="O439" s="76"/>
      <c r="P439" s="37"/>
      <c r="Q439" s="37"/>
      <c r="R439" s="76"/>
      <c r="S439" s="63"/>
      <c r="T439" s="76"/>
    </row>
    <row r="440" spans="2:20" x14ac:dyDescent="0.35">
      <c r="B440" s="35"/>
      <c r="C440" s="74"/>
      <c r="D440" s="75"/>
      <c r="E440" s="75"/>
      <c r="F440" s="75"/>
      <c r="G440" s="76"/>
      <c r="H440" s="63"/>
      <c r="I440" s="63"/>
      <c r="J440" s="76"/>
      <c r="K440" s="76"/>
      <c r="L440" s="37"/>
      <c r="M440" s="37"/>
      <c r="N440" s="76"/>
      <c r="O440" s="76"/>
      <c r="P440" s="37"/>
      <c r="Q440" s="37"/>
      <c r="R440" s="76"/>
      <c r="S440" s="63"/>
      <c r="T440" s="76"/>
    </row>
    <row r="441" spans="2:20" x14ac:dyDescent="0.35">
      <c r="B441" s="35"/>
      <c r="C441" s="74"/>
      <c r="D441" s="75"/>
      <c r="E441" s="75"/>
      <c r="F441" s="75"/>
      <c r="G441" s="76"/>
      <c r="H441" s="63"/>
      <c r="I441" s="63"/>
      <c r="J441" s="76"/>
      <c r="K441" s="76"/>
      <c r="L441" s="37"/>
      <c r="M441" s="37"/>
      <c r="N441" s="76"/>
      <c r="O441" s="76"/>
      <c r="P441" s="37"/>
      <c r="Q441" s="37"/>
      <c r="R441" s="76"/>
      <c r="S441" s="63"/>
      <c r="T441" s="76"/>
    </row>
    <row r="442" spans="2:20" x14ac:dyDescent="0.35">
      <c r="B442" s="35"/>
      <c r="C442" s="74"/>
      <c r="D442" s="75"/>
      <c r="E442" s="75"/>
      <c r="F442" s="75"/>
      <c r="G442" s="76"/>
      <c r="H442" s="63"/>
      <c r="I442" s="63"/>
      <c r="J442" s="76"/>
      <c r="K442" s="76"/>
      <c r="L442" s="37"/>
      <c r="M442" s="37"/>
      <c r="N442" s="76"/>
      <c r="O442" s="76"/>
      <c r="P442" s="37"/>
      <c r="Q442" s="37"/>
      <c r="R442" s="76"/>
      <c r="S442" s="63"/>
      <c r="T442" s="76"/>
    </row>
    <row r="443" spans="2:20" x14ac:dyDescent="0.35">
      <c r="B443" s="35"/>
      <c r="C443" s="74"/>
      <c r="D443" s="75"/>
      <c r="E443" s="75"/>
      <c r="F443" s="75"/>
      <c r="G443" s="76"/>
      <c r="H443" s="63"/>
      <c r="I443" s="63"/>
      <c r="J443" s="76"/>
      <c r="K443" s="76"/>
      <c r="L443" s="37"/>
      <c r="M443" s="37"/>
      <c r="N443" s="76"/>
      <c r="O443" s="76"/>
      <c r="P443" s="37"/>
      <c r="Q443" s="37"/>
      <c r="R443" s="76"/>
      <c r="S443" s="63"/>
      <c r="T443" s="76"/>
    </row>
    <row r="444" spans="2:20" x14ac:dyDescent="0.35">
      <c r="B444" s="35"/>
      <c r="C444" s="74"/>
      <c r="D444" s="75"/>
      <c r="E444" s="75"/>
      <c r="F444" s="75"/>
      <c r="G444" s="76"/>
      <c r="H444" s="63"/>
      <c r="I444" s="63"/>
      <c r="J444" s="76"/>
      <c r="K444" s="76"/>
      <c r="L444" s="37"/>
      <c r="M444" s="37"/>
      <c r="N444" s="76"/>
      <c r="O444" s="76"/>
      <c r="P444" s="37"/>
      <c r="Q444" s="37"/>
      <c r="R444" s="76"/>
      <c r="S444" s="63"/>
      <c r="T444" s="76"/>
    </row>
    <row r="445" spans="2:20" x14ac:dyDescent="0.35">
      <c r="B445" s="35"/>
      <c r="C445" s="74"/>
      <c r="D445" s="75"/>
      <c r="E445" s="75"/>
      <c r="F445" s="75"/>
      <c r="G445" s="76"/>
      <c r="H445" s="63"/>
      <c r="I445" s="63"/>
      <c r="J445" s="76"/>
      <c r="K445" s="76"/>
      <c r="L445" s="37"/>
      <c r="M445" s="37"/>
      <c r="N445" s="76"/>
      <c r="O445" s="76"/>
      <c r="P445" s="37"/>
      <c r="Q445" s="37"/>
      <c r="R445" s="76"/>
      <c r="S445" s="63"/>
      <c r="T445" s="76"/>
    </row>
    <row r="446" spans="2:20" x14ac:dyDescent="0.35">
      <c r="B446" s="35"/>
      <c r="C446" s="74"/>
      <c r="D446" s="75"/>
      <c r="E446" s="75"/>
      <c r="F446" s="75"/>
      <c r="G446" s="76"/>
      <c r="H446" s="63"/>
      <c r="I446" s="63"/>
      <c r="J446" s="76"/>
      <c r="K446" s="76"/>
      <c r="L446" s="37"/>
      <c r="M446" s="37"/>
      <c r="N446" s="76"/>
      <c r="O446" s="76"/>
      <c r="P446" s="37"/>
      <c r="Q446" s="37"/>
      <c r="R446" s="76"/>
      <c r="S446" s="63"/>
      <c r="T446" s="76"/>
    </row>
    <row r="447" spans="2:20" x14ac:dyDescent="0.35">
      <c r="B447" s="35"/>
      <c r="C447" s="74"/>
      <c r="D447" s="75"/>
      <c r="E447" s="75"/>
      <c r="F447" s="75"/>
      <c r="G447" s="76"/>
      <c r="H447" s="63"/>
      <c r="I447" s="63"/>
      <c r="J447" s="76"/>
      <c r="K447" s="76"/>
      <c r="L447" s="37"/>
      <c r="M447" s="37"/>
      <c r="N447" s="76"/>
      <c r="O447" s="76"/>
      <c r="P447" s="37"/>
      <c r="Q447" s="37"/>
      <c r="R447" s="76"/>
      <c r="S447" s="63"/>
      <c r="T447" s="76"/>
    </row>
    <row r="448" spans="2:20" x14ac:dyDescent="0.35">
      <c r="B448" s="35"/>
      <c r="C448" s="74"/>
      <c r="D448" s="75"/>
      <c r="E448" s="75"/>
      <c r="F448" s="75"/>
      <c r="G448" s="76"/>
      <c r="H448" s="63"/>
      <c r="I448" s="63"/>
      <c r="J448" s="76"/>
      <c r="K448" s="76"/>
      <c r="L448" s="37"/>
      <c r="M448" s="37"/>
      <c r="N448" s="76"/>
      <c r="O448" s="76"/>
      <c r="P448" s="37"/>
      <c r="Q448" s="37"/>
      <c r="R448" s="76"/>
      <c r="S448" s="63"/>
      <c r="T448" s="76"/>
    </row>
    <row r="449" spans="2:20" x14ac:dyDescent="0.35">
      <c r="B449" s="35"/>
      <c r="C449" s="74"/>
      <c r="D449" s="75"/>
      <c r="E449" s="75"/>
      <c r="F449" s="75"/>
      <c r="G449" s="76"/>
      <c r="H449" s="63"/>
      <c r="I449" s="63"/>
      <c r="J449" s="76"/>
      <c r="K449" s="76"/>
      <c r="L449" s="37"/>
      <c r="M449" s="37"/>
      <c r="N449" s="76"/>
      <c r="O449" s="76"/>
      <c r="P449" s="37"/>
      <c r="Q449" s="37"/>
      <c r="R449" s="76"/>
      <c r="S449" s="63"/>
      <c r="T449" s="76"/>
    </row>
    <row r="450" spans="2:20" x14ac:dyDescent="0.35">
      <c r="B450" s="35"/>
      <c r="C450" s="74"/>
      <c r="D450" s="75"/>
      <c r="E450" s="75"/>
      <c r="F450" s="75"/>
      <c r="G450" s="76"/>
      <c r="H450" s="63"/>
      <c r="I450" s="63"/>
      <c r="J450" s="76"/>
      <c r="K450" s="76"/>
      <c r="L450" s="37"/>
      <c r="M450" s="37"/>
      <c r="N450" s="76"/>
      <c r="O450" s="76"/>
      <c r="P450" s="37"/>
      <c r="Q450" s="37"/>
      <c r="R450" s="76"/>
      <c r="S450" s="63"/>
      <c r="T450" s="76"/>
    </row>
    <row r="451" spans="2:20" x14ac:dyDescent="0.35">
      <c r="B451" s="35"/>
      <c r="C451" s="74"/>
      <c r="D451" s="75"/>
      <c r="E451" s="75"/>
      <c r="F451" s="75"/>
      <c r="G451" s="76"/>
      <c r="H451" s="63"/>
      <c r="I451" s="63"/>
      <c r="J451" s="76"/>
      <c r="K451" s="76"/>
      <c r="L451" s="37"/>
      <c r="M451" s="37"/>
      <c r="N451" s="76"/>
      <c r="O451" s="76"/>
      <c r="P451" s="37"/>
      <c r="Q451" s="37"/>
      <c r="R451" s="76"/>
      <c r="S451" s="63"/>
      <c r="T451" s="76"/>
    </row>
    <row r="452" spans="2:20" x14ac:dyDescent="0.35">
      <c r="B452" s="35"/>
      <c r="C452" s="74"/>
      <c r="D452" s="75"/>
      <c r="E452" s="75"/>
      <c r="F452" s="75"/>
      <c r="G452" s="76"/>
      <c r="H452" s="63"/>
      <c r="I452" s="63"/>
      <c r="J452" s="76"/>
      <c r="K452" s="76"/>
      <c r="L452" s="37"/>
      <c r="M452" s="37"/>
      <c r="N452" s="76"/>
      <c r="O452" s="76"/>
      <c r="P452" s="37"/>
      <c r="Q452" s="37"/>
      <c r="R452" s="76"/>
      <c r="S452" s="63"/>
      <c r="T452" s="76"/>
    </row>
    <row r="453" spans="2:20" x14ac:dyDescent="0.35">
      <c r="B453" s="35"/>
      <c r="C453" s="74"/>
      <c r="D453" s="75"/>
      <c r="E453" s="75"/>
      <c r="F453" s="75"/>
      <c r="G453" s="76"/>
      <c r="H453" s="63"/>
      <c r="I453" s="63"/>
      <c r="J453" s="76"/>
      <c r="K453" s="76"/>
      <c r="L453" s="37"/>
      <c r="M453" s="37"/>
      <c r="N453" s="76"/>
      <c r="O453" s="76"/>
      <c r="P453" s="37"/>
      <c r="Q453" s="37"/>
      <c r="R453" s="76"/>
      <c r="S453" s="63"/>
      <c r="T453" s="76"/>
    </row>
    <row r="454" spans="2:20" x14ac:dyDescent="0.35">
      <c r="B454" s="35"/>
      <c r="C454" s="74"/>
      <c r="D454" s="75"/>
      <c r="E454" s="75"/>
      <c r="F454" s="75"/>
      <c r="G454" s="76"/>
      <c r="H454" s="63"/>
      <c r="I454" s="63"/>
      <c r="J454" s="76"/>
      <c r="K454" s="76"/>
      <c r="L454" s="37"/>
      <c r="M454" s="37"/>
      <c r="N454" s="76"/>
      <c r="O454" s="76"/>
      <c r="P454" s="37"/>
      <c r="Q454" s="37"/>
      <c r="R454" s="76"/>
      <c r="S454" s="63"/>
      <c r="T454" s="76"/>
    </row>
    <row r="455" spans="2:20" x14ac:dyDescent="0.35">
      <c r="B455" s="35"/>
      <c r="C455" s="74"/>
      <c r="D455" s="75"/>
      <c r="E455" s="75"/>
      <c r="F455" s="75"/>
      <c r="G455" s="76"/>
      <c r="H455" s="63"/>
      <c r="I455" s="63"/>
      <c r="J455" s="76"/>
      <c r="K455" s="76"/>
      <c r="L455" s="37"/>
      <c r="M455" s="37"/>
      <c r="N455" s="76"/>
      <c r="O455" s="76"/>
      <c r="P455" s="37"/>
      <c r="Q455" s="37"/>
      <c r="R455" s="76"/>
      <c r="S455" s="63"/>
      <c r="T455" s="76"/>
    </row>
    <row r="456" spans="2:20" x14ac:dyDescent="0.35">
      <c r="B456" s="35"/>
      <c r="C456" s="74"/>
      <c r="D456" s="75"/>
      <c r="E456" s="75"/>
      <c r="F456" s="75"/>
      <c r="G456" s="76"/>
      <c r="H456" s="63"/>
      <c r="I456" s="63"/>
      <c r="J456" s="76"/>
      <c r="K456" s="76"/>
      <c r="L456" s="37"/>
      <c r="M456" s="37"/>
      <c r="N456" s="76"/>
      <c r="O456" s="76"/>
      <c r="P456" s="37"/>
      <c r="Q456" s="37"/>
      <c r="R456" s="76"/>
      <c r="S456" s="63"/>
      <c r="T456" s="76"/>
    </row>
    <row r="457" spans="2:20" x14ac:dyDescent="0.35">
      <c r="B457" s="35"/>
      <c r="C457" s="74"/>
      <c r="D457" s="75"/>
      <c r="E457" s="75"/>
      <c r="F457" s="75"/>
      <c r="G457" s="76"/>
      <c r="H457" s="63"/>
      <c r="I457" s="63"/>
      <c r="J457" s="76"/>
      <c r="K457" s="76"/>
      <c r="L457" s="37"/>
      <c r="M457" s="37"/>
      <c r="N457" s="76"/>
      <c r="O457" s="76"/>
      <c r="P457" s="37"/>
      <c r="Q457" s="37"/>
      <c r="R457" s="76"/>
      <c r="S457" s="63"/>
      <c r="T457" s="76"/>
    </row>
    <row r="458" spans="2:20" x14ac:dyDescent="0.35">
      <c r="B458" s="35"/>
      <c r="C458" s="74"/>
      <c r="D458" s="75"/>
      <c r="E458" s="75"/>
      <c r="F458" s="75"/>
      <c r="G458" s="76"/>
      <c r="H458" s="63"/>
      <c r="I458" s="63"/>
      <c r="J458" s="76"/>
      <c r="K458" s="76"/>
      <c r="L458" s="37"/>
      <c r="M458" s="37"/>
      <c r="N458" s="76"/>
      <c r="O458" s="76"/>
      <c r="P458" s="37"/>
      <c r="Q458" s="37"/>
      <c r="R458" s="76"/>
      <c r="S458" s="63"/>
      <c r="T458" s="76"/>
    </row>
    <row r="459" spans="2:20" x14ac:dyDescent="0.35">
      <c r="B459" s="35"/>
      <c r="C459" s="74"/>
      <c r="D459" s="75"/>
      <c r="E459" s="75"/>
      <c r="F459" s="75"/>
      <c r="G459" s="76"/>
      <c r="H459" s="63"/>
      <c r="I459" s="63"/>
      <c r="J459" s="76"/>
      <c r="K459" s="76"/>
      <c r="L459" s="37"/>
      <c r="M459" s="37"/>
      <c r="N459" s="76"/>
      <c r="O459" s="76"/>
      <c r="P459" s="37"/>
      <c r="Q459" s="37"/>
      <c r="R459" s="76"/>
      <c r="S459" s="63"/>
      <c r="T459" s="76"/>
    </row>
    <row r="460" spans="2:20" x14ac:dyDescent="0.35">
      <c r="B460" s="35"/>
      <c r="C460" s="74"/>
      <c r="D460" s="75"/>
      <c r="E460" s="75"/>
      <c r="F460" s="75"/>
      <c r="G460" s="76"/>
      <c r="H460" s="63"/>
      <c r="I460" s="63"/>
      <c r="J460" s="76"/>
      <c r="K460" s="76"/>
      <c r="L460" s="37"/>
      <c r="M460" s="37"/>
      <c r="N460" s="76"/>
      <c r="O460" s="76"/>
      <c r="P460" s="37"/>
      <c r="Q460" s="37"/>
      <c r="R460" s="76"/>
      <c r="S460" s="63"/>
      <c r="T460" s="76"/>
    </row>
    <row r="461" spans="2:20" x14ac:dyDescent="0.35">
      <c r="B461" s="35"/>
      <c r="C461" s="74"/>
      <c r="D461" s="75"/>
      <c r="E461" s="75"/>
      <c r="F461" s="75"/>
      <c r="G461" s="76"/>
      <c r="H461" s="63"/>
      <c r="I461" s="63"/>
      <c r="J461" s="76"/>
      <c r="K461" s="76"/>
      <c r="L461" s="37"/>
      <c r="M461" s="37"/>
      <c r="N461" s="76"/>
      <c r="O461" s="76"/>
      <c r="P461" s="37"/>
      <c r="Q461" s="37"/>
      <c r="R461" s="76"/>
      <c r="S461" s="63"/>
      <c r="T461" s="76"/>
    </row>
    <row r="462" spans="2:20" x14ac:dyDescent="0.35">
      <c r="B462" s="35"/>
      <c r="C462" s="74"/>
      <c r="D462" s="75"/>
      <c r="E462" s="75"/>
      <c r="F462" s="75"/>
      <c r="G462" s="76"/>
      <c r="H462" s="63"/>
      <c r="I462" s="63"/>
      <c r="J462" s="76"/>
      <c r="K462" s="76"/>
      <c r="L462" s="37"/>
      <c r="M462" s="37"/>
      <c r="N462" s="76"/>
      <c r="O462" s="76"/>
      <c r="P462" s="37"/>
      <c r="Q462" s="37"/>
      <c r="R462" s="76"/>
      <c r="S462" s="63"/>
      <c r="T462" s="76"/>
    </row>
    <row r="463" spans="2:20" x14ac:dyDescent="0.35">
      <c r="B463" s="35"/>
      <c r="C463" s="74"/>
      <c r="D463" s="75"/>
      <c r="E463" s="75"/>
      <c r="F463" s="75"/>
      <c r="G463" s="76"/>
      <c r="H463" s="63"/>
      <c r="I463" s="63"/>
      <c r="J463" s="76"/>
      <c r="K463" s="76"/>
      <c r="L463" s="37"/>
      <c r="M463" s="37"/>
      <c r="N463" s="76"/>
      <c r="O463" s="76"/>
      <c r="P463" s="37"/>
      <c r="Q463" s="37"/>
      <c r="R463" s="76"/>
      <c r="S463" s="63"/>
      <c r="T463" s="76"/>
    </row>
    <row r="464" spans="2:20" x14ac:dyDescent="0.35">
      <c r="B464" s="35"/>
      <c r="C464" s="74"/>
      <c r="D464" s="75"/>
      <c r="E464" s="75"/>
      <c r="F464" s="75"/>
      <c r="G464" s="76"/>
      <c r="H464" s="63"/>
      <c r="I464" s="63"/>
      <c r="J464" s="76"/>
      <c r="K464" s="76"/>
      <c r="L464" s="37"/>
      <c r="M464" s="37"/>
      <c r="N464" s="76"/>
      <c r="O464" s="76"/>
      <c r="P464" s="37"/>
      <c r="Q464" s="37"/>
      <c r="R464" s="76"/>
      <c r="S464" s="63"/>
      <c r="T464" s="76"/>
    </row>
    <row r="465" spans="2:20" x14ac:dyDescent="0.35">
      <c r="B465" s="35"/>
      <c r="C465" s="74"/>
      <c r="D465" s="75"/>
      <c r="E465" s="75"/>
      <c r="F465" s="75"/>
      <c r="G465" s="76"/>
      <c r="H465" s="63"/>
      <c r="I465" s="63"/>
      <c r="J465" s="76"/>
      <c r="K465" s="76"/>
      <c r="L465" s="37"/>
      <c r="M465" s="37"/>
      <c r="N465" s="76"/>
      <c r="O465" s="76"/>
      <c r="P465" s="37"/>
      <c r="Q465" s="37"/>
      <c r="R465" s="76"/>
      <c r="S465" s="63"/>
      <c r="T465" s="76"/>
    </row>
    <row r="466" spans="2:20" x14ac:dyDescent="0.35">
      <c r="B466" s="35"/>
      <c r="C466" s="74"/>
      <c r="D466" s="75"/>
      <c r="E466" s="75"/>
      <c r="F466" s="75"/>
      <c r="G466" s="76"/>
      <c r="H466" s="63"/>
      <c r="I466" s="63"/>
      <c r="J466" s="76"/>
      <c r="K466" s="76"/>
      <c r="L466" s="37"/>
      <c r="M466" s="37"/>
      <c r="N466" s="76"/>
      <c r="O466" s="76"/>
      <c r="P466" s="37"/>
      <c r="Q466" s="37"/>
      <c r="R466" s="76"/>
      <c r="S466" s="63"/>
      <c r="T466" s="76"/>
    </row>
    <row r="467" spans="2:20" x14ac:dyDescent="0.35">
      <c r="B467" s="35"/>
      <c r="C467" s="74"/>
      <c r="D467" s="75"/>
      <c r="E467" s="75"/>
      <c r="F467" s="75"/>
      <c r="G467" s="76"/>
      <c r="H467" s="63"/>
      <c r="I467" s="63"/>
      <c r="J467" s="76"/>
      <c r="K467" s="76"/>
      <c r="L467" s="37"/>
      <c r="M467" s="37"/>
      <c r="N467" s="76"/>
      <c r="O467" s="76"/>
      <c r="P467" s="37"/>
      <c r="Q467" s="37"/>
      <c r="R467" s="76"/>
      <c r="S467" s="63"/>
      <c r="T467" s="76"/>
    </row>
    <row r="468" spans="2:20" x14ac:dyDescent="0.35">
      <c r="B468" s="35"/>
      <c r="C468" s="74"/>
      <c r="D468" s="75"/>
      <c r="E468" s="75"/>
      <c r="F468" s="75"/>
      <c r="G468" s="76"/>
      <c r="H468" s="63"/>
      <c r="I468" s="63"/>
      <c r="J468" s="76"/>
      <c r="K468" s="76"/>
      <c r="L468" s="37"/>
      <c r="M468" s="37"/>
      <c r="N468" s="76"/>
      <c r="O468" s="76"/>
      <c r="P468" s="37"/>
      <c r="Q468" s="37"/>
      <c r="R468" s="76"/>
      <c r="S468" s="63"/>
      <c r="T468" s="76"/>
    </row>
    <row r="469" spans="2:20" x14ac:dyDescent="0.35">
      <c r="B469" s="35"/>
      <c r="C469" s="74"/>
      <c r="D469" s="75"/>
      <c r="E469" s="75"/>
      <c r="F469" s="75"/>
      <c r="G469" s="76"/>
      <c r="H469" s="63"/>
      <c r="I469" s="63"/>
      <c r="J469" s="76"/>
      <c r="K469" s="76"/>
      <c r="L469" s="37"/>
      <c r="M469" s="37"/>
      <c r="N469" s="76"/>
      <c r="O469" s="76"/>
      <c r="P469" s="37"/>
      <c r="Q469" s="37"/>
      <c r="R469" s="76"/>
      <c r="S469" s="63"/>
      <c r="T469" s="76"/>
    </row>
    <row r="470" spans="2:20" x14ac:dyDescent="0.35">
      <c r="B470" s="35"/>
      <c r="C470" s="74"/>
      <c r="D470" s="75"/>
      <c r="E470" s="75"/>
      <c r="F470" s="75"/>
      <c r="G470" s="76"/>
      <c r="H470" s="63"/>
      <c r="I470" s="63"/>
      <c r="J470" s="76"/>
      <c r="K470" s="76"/>
      <c r="L470" s="37"/>
      <c r="M470" s="37"/>
      <c r="N470" s="76"/>
      <c r="O470" s="76"/>
      <c r="P470" s="37"/>
      <c r="Q470" s="37"/>
      <c r="R470" s="76"/>
      <c r="S470" s="63"/>
      <c r="T470" s="76"/>
    </row>
    <row r="471" spans="2:20" x14ac:dyDescent="0.35">
      <c r="B471" s="35"/>
      <c r="C471" s="74"/>
      <c r="D471" s="75"/>
      <c r="E471" s="75"/>
      <c r="F471" s="75"/>
      <c r="G471" s="76"/>
      <c r="H471" s="63"/>
      <c r="I471" s="63"/>
      <c r="J471" s="76"/>
      <c r="K471" s="76"/>
      <c r="L471" s="37"/>
      <c r="M471" s="37"/>
      <c r="N471" s="76"/>
      <c r="O471" s="76"/>
      <c r="P471" s="37"/>
      <c r="Q471" s="37"/>
      <c r="R471" s="76"/>
      <c r="S471" s="63"/>
      <c r="T471" s="76"/>
    </row>
    <row r="472" spans="2:20" x14ac:dyDescent="0.35">
      <c r="B472" s="35"/>
      <c r="C472" s="74"/>
      <c r="D472" s="75"/>
      <c r="E472" s="75"/>
      <c r="F472" s="75"/>
      <c r="G472" s="76"/>
      <c r="H472" s="63"/>
      <c r="I472" s="63"/>
      <c r="J472" s="76"/>
      <c r="K472" s="76"/>
      <c r="L472" s="37"/>
      <c r="M472" s="37"/>
      <c r="N472" s="76"/>
      <c r="O472" s="76"/>
      <c r="P472" s="37"/>
      <c r="Q472" s="37"/>
      <c r="R472" s="76"/>
      <c r="S472" s="63"/>
      <c r="T472" s="76"/>
    </row>
    <row r="473" spans="2:20" x14ac:dyDescent="0.35">
      <c r="B473" s="35"/>
      <c r="C473" s="74"/>
      <c r="D473" s="75"/>
      <c r="E473" s="75"/>
      <c r="F473" s="75"/>
      <c r="G473" s="76"/>
      <c r="H473" s="63"/>
      <c r="I473" s="63"/>
      <c r="J473" s="76"/>
      <c r="K473" s="76"/>
      <c r="L473" s="37"/>
      <c r="M473" s="37"/>
      <c r="N473" s="76"/>
      <c r="O473" s="76"/>
      <c r="P473" s="37"/>
      <c r="Q473" s="37"/>
      <c r="R473" s="76"/>
      <c r="S473" s="63"/>
      <c r="T473" s="76"/>
    </row>
    <row r="474" spans="2:20" x14ac:dyDescent="0.35">
      <c r="B474" s="35"/>
      <c r="C474" s="74"/>
      <c r="D474" s="75"/>
      <c r="E474" s="75"/>
      <c r="F474" s="75"/>
      <c r="G474" s="76"/>
      <c r="H474" s="63"/>
      <c r="I474" s="63"/>
      <c r="J474" s="76"/>
      <c r="K474" s="76"/>
      <c r="L474" s="37"/>
      <c r="M474" s="37"/>
      <c r="N474" s="76"/>
      <c r="O474" s="76"/>
      <c r="P474" s="37"/>
      <c r="Q474" s="37"/>
      <c r="R474" s="76"/>
      <c r="S474" s="63"/>
      <c r="T474" s="76"/>
    </row>
    <row r="475" spans="2:20" x14ac:dyDescent="0.35">
      <c r="B475" s="35"/>
      <c r="C475" s="74"/>
      <c r="D475" s="75"/>
      <c r="E475" s="75"/>
      <c r="F475" s="75"/>
      <c r="G475" s="76"/>
      <c r="H475" s="63"/>
      <c r="I475" s="63"/>
      <c r="J475" s="76"/>
      <c r="K475" s="76"/>
      <c r="L475" s="37"/>
      <c r="M475" s="37"/>
      <c r="N475" s="76"/>
      <c r="O475" s="76"/>
      <c r="P475" s="37"/>
      <c r="Q475" s="37"/>
      <c r="R475" s="76"/>
      <c r="S475" s="63"/>
      <c r="T475" s="76"/>
    </row>
    <row r="476" spans="2:20" x14ac:dyDescent="0.35">
      <c r="B476" s="35"/>
      <c r="C476" s="74"/>
      <c r="D476" s="75"/>
      <c r="E476" s="75"/>
      <c r="F476" s="75"/>
      <c r="G476" s="76"/>
      <c r="H476" s="63"/>
      <c r="I476" s="63"/>
      <c r="J476" s="76"/>
      <c r="K476" s="76"/>
      <c r="L476" s="37"/>
      <c r="M476" s="37"/>
      <c r="N476" s="76"/>
      <c r="O476" s="76"/>
      <c r="P476" s="37"/>
      <c r="Q476" s="37"/>
      <c r="R476" s="76"/>
      <c r="S476" s="63"/>
      <c r="T476" s="76"/>
    </row>
    <row r="477" spans="2:20" x14ac:dyDescent="0.35">
      <c r="B477" s="35"/>
      <c r="C477" s="74"/>
      <c r="D477" s="75"/>
      <c r="E477" s="75"/>
      <c r="F477" s="75"/>
      <c r="G477" s="76"/>
      <c r="H477" s="63"/>
      <c r="I477" s="63"/>
      <c r="J477" s="76"/>
      <c r="K477" s="76"/>
      <c r="L477" s="37"/>
      <c r="M477" s="37"/>
      <c r="N477" s="76"/>
      <c r="O477" s="76"/>
      <c r="P477" s="37"/>
      <c r="Q477" s="37"/>
      <c r="R477" s="76"/>
      <c r="S477" s="63"/>
      <c r="T477" s="76"/>
    </row>
    <row r="478" spans="2:20" x14ac:dyDescent="0.35">
      <c r="B478" s="35"/>
      <c r="C478" s="74"/>
      <c r="D478" s="75"/>
      <c r="E478" s="75"/>
      <c r="F478" s="75"/>
      <c r="G478" s="76"/>
      <c r="H478" s="63"/>
      <c r="I478" s="63"/>
      <c r="J478" s="76"/>
      <c r="K478" s="76"/>
      <c r="L478" s="37"/>
      <c r="M478" s="37"/>
      <c r="N478" s="76"/>
      <c r="O478" s="76"/>
      <c r="P478" s="37"/>
      <c r="Q478" s="37"/>
      <c r="R478" s="76"/>
      <c r="S478" s="63"/>
      <c r="T478" s="76"/>
    </row>
    <row r="479" spans="2:20" x14ac:dyDescent="0.35">
      <c r="B479" s="35"/>
      <c r="C479" s="74"/>
      <c r="D479" s="75"/>
      <c r="E479" s="75"/>
      <c r="F479" s="75"/>
      <c r="G479" s="76"/>
      <c r="H479" s="63"/>
      <c r="I479" s="63"/>
      <c r="J479" s="76"/>
      <c r="K479" s="76"/>
      <c r="L479" s="37"/>
      <c r="M479" s="37"/>
      <c r="N479" s="76"/>
      <c r="O479" s="76"/>
      <c r="P479" s="37"/>
      <c r="Q479" s="37"/>
      <c r="R479" s="76"/>
      <c r="S479" s="63"/>
      <c r="T479" s="76"/>
    </row>
    <row r="480" spans="2:20" x14ac:dyDescent="0.35">
      <c r="B480" s="35"/>
      <c r="C480" s="74"/>
      <c r="D480" s="75"/>
      <c r="E480" s="75"/>
      <c r="F480" s="75"/>
      <c r="G480" s="76"/>
      <c r="H480" s="63"/>
      <c r="I480" s="63"/>
      <c r="J480" s="76"/>
      <c r="K480" s="76"/>
      <c r="L480" s="37"/>
      <c r="M480" s="37"/>
      <c r="N480" s="76"/>
      <c r="O480" s="76"/>
      <c r="P480" s="37"/>
      <c r="Q480" s="37"/>
      <c r="R480" s="76"/>
      <c r="S480" s="63"/>
      <c r="T480" s="76"/>
    </row>
    <row r="481" spans="2:20" x14ac:dyDescent="0.35">
      <c r="B481" s="35"/>
      <c r="C481" s="74"/>
      <c r="D481" s="75"/>
      <c r="E481" s="75"/>
      <c r="F481" s="75"/>
      <c r="G481" s="76"/>
      <c r="H481" s="63"/>
      <c r="I481" s="63"/>
      <c r="J481" s="76"/>
      <c r="K481" s="76"/>
      <c r="L481" s="37"/>
      <c r="M481" s="37"/>
      <c r="N481" s="76"/>
      <c r="O481" s="76"/>
      <c r="P481" s="37"/>
      <c r="Q481" s="37"/>
      <c r="R481" s="76"/>
      <c r="S481" s="63"/>
      <c r="T481" s="76"/>
    </row>
    <row r="482" spans="2:20" x14ac:dyDescent="0.35">
      <c r="B482" s="35"/>
      <c r="C482" s="74"/>
      <c r="D482" s="75"/>
      <c r="E482" s="75"/>
      <c r="F482" s="75"/>
      <c r="G482" s="76"/>
      <c r="H482" s="63"/>
      <c r="I482" s="63"/>
      <c r="J482" s="76"/>
      <c r="K482" s="76"/>
      <c r="L482" s="37"/>
      <c r="M482" s="37"/>
      <c r="N482" s="76"/>
      <c r="O482" s="76"/>
      <c r="P482" s="37"/>
      <c r="Q482" s="37"/>
      <c r="R482" s="76"/>
      <c r="S482" s="63"/>
      <c r="T482" s="76"/>
    </row>
    <row r="483" spans="2:20" x14ac:dyDescent="0.35">
      <c r="B483" s="35"/>
      <c r="C483" s="74"/>
      <c r="D483" s="75"/>
      <c r="E483" s="75"/>
      <c r="F483" s="75"/>
      <c r="G483" s="76"/>
      <c r="H483" s="63"/>
      <c r="I483" s="63"/>
      <c r="J483" s="76"/>
      <c r="K483" s="76"/>
      <c r="L483" s="37"/>
      <c r="M483" s="37"/>
      <c r="N483" s="76"/>
      <c r="O483" s="76"/>
      <c r="P483" s="37"/>
      <c r="Q483" s="37"/>
      <c r="R483" s="76"/>
      <c r="S483" s="63"/>
      <c r="T483" s="76"/>
    </row>
    <row r="484" spans="2:20" x14ac:dyDescent="0.35">
      <c r="B484" s="35"/>
      <c r="C484" s="74"/>
      <c r="D484" s="75"/>
      <c r="E484" s="75"/>
      <c r="F484" s="75"/>
      <c r="G484" s="76"/>
      <c r="H484" s="63"/>
      <c r="I484" s="63"/>
      <c r="J484" s="76"/>
      <c r="K484" s="76"/>
      <c r="L484" s="37"/>
      <c r="M484" s="37"/>
      <c r="N484" s="76"/>
      <c r="O484" s="76"/>
      <c r="P484" s="37"/>
      <c r="Q484" s="37"/>
      <c r="R484" s="76"/>
      <c r="S484" s="63"/>
      <c r="T484" s="76"/>
    </row>
    <row r="485" spans="2:20" x14ac:dyDescent="0.35">
      <c r="B485" s="35"/>
      <c r="C485" s="74"/>
      <c r="D485" s="75"/>
      <c r="E485" s="75"/>
      <c r="F485" s="75"/>
      <c r="G485" s="76"/>
      <c r="H485" s="63"/>
      <c r="I485" s="63"/>
      <c r="J485" s="76"/>
      <c r="K485" s="76"/>
      <c r="L485" s="37"/>
      <c r="M485" s="37"/>
      <c r="N485" s="76"/>
      <c r="O485" s="76"/>
      <c r="P485" s="37"/>
      <c r="Q485" s="37"/>
      <c r="R485" s="76"/>
      <c r="S485" s="63"/>
      <c r="T485" s="76"/>
    </row>
    <row r="486" spans="2:20" x14ac:dyDescent="0.35">
      <c r="B486" s="35"/>
      <c r="C486" s="74"/>
      <c r="D486" s="75"/>
      <c r="E486" s="75"/>
      <c r="F486" s="75"/>
      <c r="G486" s="76"/>
      <c r="H486" s="63"/>
      <c r="I486" s="63"/>
      <c r="J486" s="76"/>
      <c r="K486" s="76"/>
      <c r="L486" s="37"/>
      <c r="M486" s="37"/>
      <c r="N486" s="76"/>
      <c r="O486" s="76"/>
      <c r="P486" s="37"/>
      <c r="Q486" s="37"/>
      <c r="R486" s="76"/>
      <c r="S486" s="63"/>
      <c r="T486" s="76"/>
    </row>
    <row r="487" spans="2:20" x14ac:dyDescent="0.35">
      <c r="B487" s="35"/>
      <c r="C487" s="74"/>
      <c r="D487" s="75"/>
      <c r="E487" s="75"/>
      <c r="F487" s="75"/>
      <c r="G487" s="76"/>
      <c r="H487" s="63"/>
      <c r="I487" s="63"/>
      <c r="J487" s="76"/>
      <c r="K487" s="76"/>
      <c r="L487" s="37"/>
      <c r="M487" s="37"/>
      <c r="N487" s="76"/>
      <c r="O487" s="76"/>
      <c r="P487" s="37"/>
      <c r="Q487" s="37"/>
      <c r="R487" s="76"/>
      <c r="S487" s="63"/>
      <c r="T487" s="76"/>
    </row>
    <row r="488" spans="2:20" x14ac:dyDescent="0.35">
      <c r="B488" s="35"/>
      <c r="C488" s="74"/>
      <c r="D488" s="75"/>
      <c r="E488" s="75"/>
      <c r="F488" s="75"/>
      <c r="G488" s="76"/>
      <c r="H488" s="63"/>
      <c r="I488" s="63"/>
      <c r="J488" s="76"/>
      <c r="K488" s="76"/>
      <c r="L488" s="37"/>
      <c r="M488" s="37"/>
      <c r="N488" s="76"/>
      <c r="O488" s="76"/>
      <c r="P488" s="37"/>
      <c r="Q488" s="37"/>
      <c r="R488" s="76"/>
      <c r="S488" s="63"/>
      <c r="T488" s="76"/>
    </row>
    <row r="489" spans="2:20" x14ac:dyDescent="0.35">
      <c r="B489" s="35"/>
      <c r="C489" s="74"/>
      <c r="D489" s="75"/>
      <c r="E489" s="75"/>
      <c r="F489" s="75"/>
      <c r="G489" s="76"/>
      <c r="H489" s="63"/>
      <c r="I489" s="63"/>
      <c r="J489" s="76"/>
      <c r="K489" s="76"/>
      <c r="L489" s="37"/>
      <c r="M489" s="37"/>
      <c r="N489" s="76"/>
      <c r="O489" s="76"/>
      <c r="P489" s="37"/>
      <c r="Q489" s="37"/>
      <c r="R489" s="76"/>
      <c r="S489" s="63"/>
      <c r="T489" s="76"/>
    </row>
    <row r="490" spans="2:20" x14ac:dyDescent="0.35">
      <c r="B490" s="35"/>
      <c r="C490" s="74"/>
      <c r="D490" s="75"/>
      <c r="E490" s="75"/>
      <c r="F490" s="75"/>
      <c r="G490" s="76"/>
      <c r="H490" s="63"/>
      <c r="I490" s="63"/>
      <c r="J490" s="76"/>
      <c r="K490" s="76"/>
      <c r="L490" s="37"/>
      <c r="M490" s="37"/>
      <c r="N490" s="76"/>
      <c r="O490" s="76"/>
      <c r="P490" s="37"/>
      <c r="Q490" s="37"/>
      <c r="R490" s="76"/>
      <c r="S490" s="63"/>
      <c r="T490" s="76"/>
    </row>
    <row r="491" spans="2:20" x14ac:dyDescent="0.35">
      <c r="B491" s="35"/>
      <c r="C491" s="74"/>
      <c r="D491" s="75"/>
      <c r="E491" s="75"/>
      <c r="F491" s="75"/>
      <c r="G491" s="76"/>
      <c r="H491" s="63"/>
      <c r="I491" s="63"/>
      <c r="J491" s="76"/>
      <c r="K491" s="76"/>
      <c r="L491" s="37"/>
      <c r="M491" s="37"/>
      <c r="N491" s="76"/>
      <c r="O491" s="76"/>
      <c r="P491" s="37"/>
      <c r="Q491" s="37"/>
      <c r="R491" s="76"/>
      <c r="S491" s="63"/>
      <c r="T491" s="76"/>
    </row>
    <row r="492" spans="2:20" x14ac:dyDescent="0.35">
      <c r="B492" s="35"/>
      <c r="C492" s="74"/>
      <c r="D492" s="75"/>
      <c r="E492" s="75"/>
      <c r="F492" s="75"/>
      <c r="G492" s="76"/>
      <c r="H492" s="63"/>
      <c r="I492" s="63"/>
      <c r="J492" s="76"/>
      <c r="K492" s="76"/>
      <c r="L492" s="37"/>
      <c r="M492" s="37"/>
      <c r="N492" s="76"/>
      <c r="O492" s="76"/>
      <c r="P492" s="37"/>
      <c r="Q492" s="37"/>
      <c r="R492" s="76"/>
      <c r="S492" s="63"/>
      <c r="T492" s="76"/>
    </row>
    <row r="493" spans="2:20" x14ac:dyDescent="0.35">
      <c r="B493" s="35"/>
      <c r="C493" s="74"/>
      <c r="D493" s="75"/>
      <c r="E493" s="75"/>
      <c r="F493" s="75"/>
      <c r="G493" s="76"/>
      <c r="H493" s="63"/>
      <c r="I493" s="63"/>
      <c r="J493" s="76"/>
      <c r="K493" s="76"/>
      <c r="L493" s="37"/>
      <c r="M493" s="37"/>
      <c r="N493" s="76"/>
      <c r="O493" s="76"/>
      <c r="P493" s="37"/>
      <c r="Q493" s="37"/>
      <c r="R493" s="76"/>
      <c r="S493" s="63"/>
      <c r="T493" s="76"/>
    </row>
    <row r="494" spans="2:20" x14ac:dyDescent="0.35">
      <c r="B494" s="35"/>
      <c r="C494" s="74"/>
      <c r="D494" s="75"/>
      <c r="E494" s="75"/>
      <c r="F494" s="75"/>
      <c r="G494" s="76"/>
      <c r="H494" s="63"/>
      <c r="I494" s="63"/>
      <c r="J494" s="76"/>
      <c r="K494" s="76"/>
      <c r="L494" s="37"/>
      <c r="M494" s="37"/>
      <c r="N494" s="76"/>
      <c r="O494" s="76"/>
      <c r="P494" s="37"/>
      <c r="Q494" s="37"/>
      <c r="R494" s="76"/>
      <c r="S494" s="63"/>
      <c r="T494" s="76"/>
    </row>
    <row r="495" spans="2:20" x14ac:dyDescent="0.35">
      <c r="B495" s="35"/>
      <c r="C495" s="74"/>
      <c r="D495" s="75"/>
      <c r="E495" s="75"/>
      <c r="F495" s="75"/>
      <c r="G495" s="76"/>
      <c r="H495" s="63"/>
      <c r="I495" s="63"/>
      <c r="J495" s="76"/>
      <c r="K495" s="76"/>
      <c r="L495" s="37"/>
      <c r="M495" s="37"/>
      <c r="N495" s="76"/>
      <c r="O495" s="76"/>
      <c r="P495" s="37"/>
      <c r="Q495" s="37"/>
      <c r="R495" s="76"/>
      <c r="S495" s="63"/>
      <c r="T495" s="76"/>
    </row>
    <row r="496" spans="2:20" x14ac:dyDescent="0.35">
      <c r="B496" s="35"/>
      <c r="C496" s="74"/>
      <c r="D496" s="75"/>
      <c r="E496" s="75"/>
      <c r="F496" s="75"/>
      <c r="G496" s="76"/>
      <c r="H496" s="63"/>
      <c r="I496" s="63"/>
      <c r="J496" s="76"/>
      <c r="K496" s="76"/>
      <c r="L496" s="37"/>
      <c r="M496" s="37"/>
      <c r="N496" s="76"/>
      <c r="O496" s="76"/>
      <c r="P496" s="37"/>
      <c r="Q496" s="37"/>
      <c r="R496" s="76"/>
      <c r="S496" s="63"/>
      <c r="T496" s="76"/>
    </row>
    <row r="497" spans="2:20" x14ac:dyDescent="0.35">
      <c r="B497" s="35"/>
      <c r="C497" s="74"/>
      <c r="D497" s="75"/>
      <c r="E497" s="75"/>
      <c r="F497" s="75"/>
      <c r="G497" s="76"/>
      <c r="H497" s="63"/>
      <c r="I497" s="63"/>
      <c r="J497" s="76"/>
      <c r="K497" s="76"/>
      <c r="L497" s="37"/>
      <c r="M497" s="37"/>
      <c r="N497" s="76"/>
      <c r="O497" s="76"/>
      <c r="P497" s="37"/>
      <c r="Q497" s="37"/>
      <c r="R497" s="76"/>
      <c r="S497" s="63"/>
      <c r="T497" s="76"/>
    </row>
    <row r="498" spans="2:20" x14ac:dyDescent="0.35">
      <c r="B498" s="35"/>
      <c r="C498" s="74"/>
      <c r="D498" s="75"/>
      <c r="E498" s="75"/>
      <c r="F498" s="75"/>
      <c r="G498" s="76"/>
      <c r="H498" s="63"/>
      <c r="I498" s="63"/>
      <c r="J498" s="76"/>
      <c r="K498" s="76"/>
      <c r="L498" s="37"/>
      <c r="M498" s="37"/>
      <c r="N498" s="76"/>
      <c r="O498" s="76"/>
      <c r="P498" s="37"/>
      <c r="Q498" s="37"/>
      <c r="R498" s="76"/>
      <c r="S498" s="63"/>
      <c r="T498" s="76"/>
    </row>
    <row r="499" spans="2:20" x14ac:dyDescent="0.35">
      <c r="B499" s="35"/>
      <c r="C499" s="74"/>
      <c r="D499" s="75"/>
      <c r="E499" s="75"/>
      <c r="F499" s="75"/>
      <c r="G499" s="76"/>
      <c r="H499" s="63"/>
      <c r="I499" s="63"/>
      <c r="J499" s="76"/>
      <c r="K499" s="76"/>
      <c r="L499" s="37"/>
      <c r="M499" s="37"/>
      <c r="N499" s="76"/>
      <c r="O499" s="76"/>
      <c r="P499" s="37"/>
      <c r="Q499" s="37"/>
      <c r="R499" s="76"/>
      <c r="S499" s="63"/>
      <c r="T499" s="76"/>
    </row>
    <row r="500" spans="2:20" x14ac:dyDescent="0.35">
      <c r="B500" s="35"/>
      <c r="C500" s="74"/>
      <c r="D500" s="75"/>
      <c r="E500" s="75"/>
      <c r="F500" s="75"/>
      <c r="G500" s="76"/>
      <c r="H500" s="63"/>
      <c r="I500" s="63"/>
      <c r="J500" s="76"/>
      <c r="K500" s="76"/>
      <c r="L500" s="37"/>
      <c r="M500" s="37"/>
      <c r="N500" s="76"/>
      <c r="O500" s="76"/>
      <c r="P500" s="37"/>
      <c r="Q500" s="37"/>
      <c r="R500" s="76"/>
      <c r="S500" s="63"/>
      <c r="T500" s="76"/>
    </row>
    <row r="501" spans="2:20" x14ac:dyDescent="0.35">
      <c r="B501" s="35"/>
      <c r="C501" s="74"/>
      <c r="D501" s="75"/>
      <c r="E501" s="75"/>
      <c r="F501" s="75"/>
      <c r="G501" s="76"/>
      <c r="H501" s="63"/>
      <c r="I501" s="63"/>
      <c r="J501" s="76"/>
      <c r="K501" s="76"/>
      <c r="L501" s="37"/>
      <c r="M501" s="37"/>
      <c r="N501" s="76"/>
      <c r="O501" s="76"/>
      <c r="P501" s="37"/>
      <c r="Q501" s="37"/>
      <c r="R501" s="76"/>
      <c r="S501" s="63"/>
      <c r="T501" s="76"/>
    </row>
    <row r="502" spans="2:20" x14ac:dyDescent="0.35">
      <c r="B502" s="35"/>
      <c r="C502" s="74"/>
      <c r="D502" s="75"/>
      <c r="E502" s="75"/>
      <c r="F502" s="75"/>
      <c r="G502" s="76"/>
      <c r="H502" s="63"/>
      <c r="I502" s="63"/>
      <c r="J502" s="76"/>
      <c r="K502" s="76"/>
      <c r="L502" s="37"/>
      <c r="M502" s="37"/>
      <c r="N502" s="76"/>
      <c r="O502" s="76"/>
      <c r="P502" s="37"/>
      <c r="Q502" s="37"/>
      <c r="R502" s="76"/>
      <c r="S502" s="63"/>
      <c r="T502" s="76"/>
    </row>
    <row r="503" spans="2:20" x14ac:dyDescent="0.35">
      <c r="B503" s="35"/>
      <c r="C503" s="74"/>
      <c r="D503" s="75"/>
      <c r="E503" s="75"/>
      <c r="F503" s="75"/>
      <c r="G503" s="76"/>
      <c r="H503" s="63"/>
      <c r="I503" s="63"/>
      <c r="J503" s="76"/>
      <c r="K503" s="76"/>
      <c r="L503" s="37"/>
      <c r="M503" s="37"/>
      <c r="N503" s="76"/>
      <c r="O503" s="76"/>
      <c r="P503" s="37"/>
      <c r="Q503" s="37"/>
      <c r="R503" s="76"/>
      <c r="S503" s="63"/>
      <c r="T503" s="76"/>
    </row>
    <row r="504" spans="2:20" x14ac:dyDescent="0.35">
      <c r="B504" s="35"/>
      <c r="C504" s="74"/>
      <c r="D504" s="75"/>
      <c r="E504" s="75"/>
      <c r="F504" s="75"/>
      <c r="G504" s="76"/>
      <c r="H504" s="63"/>
      <c r="I504" s="63"/>
      <c r="J504" s="76"/>
      <c r="K504" s="76"/>
      <c r="L504" s="37"/>
      <c r="M504" s="37"/>
      <c r="N504" s="76"/>
      <c r="O504" s="76"/>
      <c r="P504" s="37"/>
      <c r="Q504" s="37"/>
      <c r="R504" s="76"/>
      <c r="S504" s="63"/>
      <c r="T504" s="76"/>
    </row>
    <row r="505" spans="2:20" x14ac:dyDescent="0.35">
      <c r="B505" s="35"/>
      <c r="C505" s="74"/>
      <c r="D505" s="75"/>
      <c r="E505" s="75"/>
      <c r="F505" s="75"/>
      <c r="G505" s="76"/>
      <c r="H505" s="63"/>
      <c r="I505" s="63"/>
      <c r="J505" s="76"/>
      <c r="K505" s="76"/>
      <c r="L505" s="37"/>
      <c r="M505" s="37"/>
      <c r="N505" s="76"/>
      <c r="O505" s="76"/>
      <c r="P505" s="37"/>
      <c r="Q505" s="37"/>
      <c r="R505" s="76"/>
      <c r="S505" s="63"/>
      <c r="T505" s="76"/>
    </row>
    <row r="506" spans="2:20" x14ac:dyDescent="0.35">
      <c r="B506" s="35"/>
      <c r="C506" s="74"/>
      <c r="D506" s="75"/>
      <c r="E506" s="75"/>
      <c r="F506" s="75"/>
      <c r="G506" s="76"/>
      <c r="H506" s="63"/>
      <c r="I506" s="63"/>
      <c r="J506" s="76"/>
      <c r="K506" s="76"/>
      <c r="L506" s="37"/>
      <c r="M506" s="37"/>
      <c r="N506" s="76"/>
      <c r="O506" s="76"/>
      <c r="P506" s="37"/>
      <c r="Q506" s="37"/>
      <c r="R506" s="76"/>
      <c r="S506" s="63"/>
      <c r="T506" s="76"/>
    </row>
    <row r="507" spans="2:20" x14ac:dyDescent="0.35">
      <c r="B507" s="35"/>
      <c r="C507" s="74"/>
      <c r="D507" s="75"/>
      <c r="E507" s="75"/>
      <c r="F507" s="75"/>
      <c r="G507" s="76"/>
      <c r="H507" s="63"/>
      <c r="I507" s="63"/>
      <c r="J507" s="76"/>
      <c r="K507" s="76"/>
      <c r="L507" s="37"/>
      <c r="M507" s="37"/>
      <c r="N507" s="76"/>
      <c r="O507" s="76"/>
      <c r="P507" s="37"/>
      <c r="Q507" s="37"/>
      <c r="R507" s="76"/>
      <c r="S507" s="63"/>
      <c r="T507" s="76"/>
    </row>
    <row r="508" spans="2:20" x14ac:dyDescent="0.35">
      <c r="B508" s="35"/>
      <c r="C508" s="74"/>
      <c r="D508" s="75"/>
      <c r="E508" s="75"/>
      <c r="F508" s="75"/>
      <c r="G508" s="76"/>
      <c r="H508" s="63"/>
      <c r="I508" s="63"/>
      <c r="J508" s="76"/>
      <c r="K508" s="76"/>
      <c r="L508" s="37"/>
      <c r="M508" s="37"/>
      <c r="N508" s="76"/>
      <c r="O508" s="76"/>
      <c r="P508" s="37"/>
      <c r="Q508" s="37"/>
      <c r="R508" s="76"/>
      <c r="S508" s="63"/>
      <c r="T508" s="76"/>
    </row>
    <row r="509" spans="2:20" x14ac:dyDescent="0.35">
      <c r="B509" s="35"/>
      <c r="C509" s="74"/>
      <c r="D509" s="75"/>
      <c r="E509" s="75"/>
      <c r="F509" s="75"/>
      <c r="G509" s="76"/>
      <c r="H509" s="63"/>
      <c r="I509" s="63"/>
      <c r="J509" s="76"/>
      <c r="K509" s="76"/>
      <c r="L509" s="37"/>
      <c r="M509" s="37"/>
      <c r="N509" s="76"/>
      <c r="O509" s="76"/>
      <c r="P509" s="37"/>
      <c r="Q509" s="37"/>
      <c r="R509" s="76"/>
      <c r="S509" s="63"/>
      <c r="T509" s="76"/>
    </row>
    <row r="510" spans="2:20" x14ac:dyDescent="0.35">
      <c r="B510" s="35"/>
      <c r="C510" s="74"/>
      <c r="D510" s="75"/>
      <c r="E510" s="75"/>
      <c r="F510" s="75"/>
      <c r="G510" s="76"/>
      <c r="H510" s="63"/>
      <c r="I510" s="63"/>
      <c r="J510" s="76"/>
      <c r="K510" s="76"/>
      <c r="L510" s="37"/>
      <c r="M510" s="37"/>
      <c r="N510" s="76"/>
      <c r="O510" s="76"/>
      <c r="P510" s="37"/>
      <c r="Q510" s="37"/>
      <c r="R510" s="76"/>
      <c r="S510" s="63"/>
      <c r="T510" s="76"/>
    </row>
    <row r="511" spans="2:20" x14ac:dyDescent="0.35">
      <c r="B511" s="35"/>
      <c r="C511" s="74"/>
      <c r="D511" s="75"/>
      <c r="E511" s="75"/>
      <c r="F511" s="75"/>
      <c r="G511" s="76"/>
      <c r="H511" s="63"/>
      <c r="I511" s="63"/>
      <c r="J511" s="76"/>
      <c r="K511" s="76"/>
      <c r="L511" s="37"/>
      <c r="M511" s="37"/>
      <c r="N511" s="76"/>
      <c r="O511" s="76"/>
      <c r="P511" s="37"/>
      <c r="Q511" s="37"/>
      <c r="R511" s="76"/>
      <c r="S511" s="63"/>
      <c r="T511" s="76"/>
    </row>
    <row r="512" spans="2:20" x14ac:dyDescent="0.35">
      <c r="B512" s="35"/>
      <c r="C512" s="74"/>
      <c r="D512" s="75"/>
      <c r="E512" s="75"/>
      <c r="F512" s="75"/>
      <c r="G512" s="76"/>
      <c r="H512" s="63"/>
      <c r="I512" s="63"/>
      <c r="J512" s="76"/>
      <c r="K512" s="76"/>
      <c r="L512" s="37"/>
      <c r="M512" s="37"/>
      <c r="N512" s="76"/>
      <c r="O512" s="76"/>
      <c r="P512" s="37"/>
      <c r="Q512" s="37"/>
      <c r="R512" s="76"/>
      <c r="S512" s="63"/>
      <c r="T512" s="76"/>
    </row>
    <row r="513" spans="2:20" x14ac:dyDescent="0.35">
      <c r="B513" s="35"/>
      <c r="C513" s="74"/>
      <c r="D513" s="75"/>
      <c r="E513" s="75"/>
      <c r="F513" s="75"/>
      <c r="G513" s="76"/>
      <c r="H513" s="63"/>
      <c r="I513" s="63"/>
      <c r="J513" s="76"/>
      <c r="K513" s="76"/>
      <c r="L513" s="37"/>
      <c r="M513" s="37"/>
      <c r="N513" s="76"/>
      <c r="O513" s="76"/>
      <c r="P513" s="37"/>
      <c r="Q513" s="37"/>
      <c r="R513" s="76"/>
      <c r="S513" s="63"/>
      <c r="T513" s="76"/>
    </row>
    <row r="514" spans="2:20" x14ac:dyDescent="0.35">
      <c r="B514" s="35"/>
      <c r="C514" s="74"/>
      <c r="D514" s="75"/>
      <c r="E514" s="75"/>
      <c r="F514" s="75"/>
      <c r="G514" s="76"/>
      <c r="H514" s="63"/>
      <c r="I514" s="63"/>
      <c r="J514" s="76"/>
      <c r="K514" s="76"/>
      <c r="L514" s="37"/>
      <c r="M514" s="37"/>
      <c r="N514" s="76"/>
      <c r="O514" s="76"/>
      <c r="P514" s="37"/>
      <c r="Q514" s="37"/>
      <c r="R514" s="76"/>
      <c r="S514" s="63"/>
      <c r="T514" s="76"/>
    </row>
    <row r="515" spans="2:20" x14ac:dyDescent="0.35">
      <c r="B515" s="35"/>
      <c r="C515" s="74"/>
      <c r="D515" s="75"/>
      <c r="E515" s="75"/>
      <c r="F515" s="75"/>
      <c r="G515" s="76"/>
      <c r="H515" s="63"/>
      <c r="I515" s="63"/>
      <c r="J515" s="76"/>
      <c r="K515" s="76"/>
      <c r="L515" s="37"/>
      <c r="M515" s="37"/>
      <c r="N515" s="76"/>
      <c r="O515" s="76"/>
      <c r="P515" s="37"/>
      <c r="Q515" s="37"/>
      <c r="R515" s="76"/>
      <c r="S515" s="63"/>
      <c r="T515" s="76"/>
    </row>
    <row r="516" spans="2:20" x14ac:dyDescent="0.35">
      <c r="B516" s="35"/>
      <c r="C516" s="74"/>
      <c r="D516" s="75"/>
      <c r="E516" s="75"/>
      <c r="F516" s="75"/>
      <c r="G516" s="76"/>
      <c r="H516" s="63"/>
      <c r="I516" s="63"/>
      <c r="J516" s="76"/>
      <c r="K516" s="76"/>
      <c r="L516" s="37"/>
      <c r="M516" s="37"/>
      <c r="N516" s="76"/>
      <c r="O516" s="76"/>
      <c r="P516" s="37"/>
      <c r="Q516" s="37"/>
      <c r="R516" s="76"/>
      <c r="S516" s="63"/>
      <c r="T516" s="76"/>
    </row>
    <row r="517" spans="2:20" x14ac:dyDescent="0.35">
      <c r="B517" s="35"/>
      <c r="C517" s="74"/>
      <c r="D517" s="75"/>
      <c r="E517" s="75"/>
      <c r="F517" s="75"/>
      <c r="G517" s="76"/>
      <c r="H517" s="63"/>
      <c r="I517" s="63"/>
      <c r="J517" s="76"/>
      <c r="K517" s="76"/>
      <c r="L517" s="37"/>
      <c r="M517" s="37"/>
      <c r="N517" s="76"/>
      <c r="O517" s="76"/>
      <c r="P517" s="37"/>
      <c r="Q517" s="37"/>
      <c r="R517" s="76"/>
      <c r="S517" s="63"/>
      <c r="T517" s="76"/>
    </row>
    <row r="518" spans="2:20" x14ac:dyDescent="0.35">
      <c r="B518" s="35"/>
      <c r="C518" s="74"/>
      <c r="D518" s="75"/>
      <c r="E518" s="75"/>
      <c r="F518" s="75"/>
      <c r="G518" s="76"/>
      <c r="H518" s="63"/>
      <c r="I518" s="63"/>
      <c r="J518" s="76"/>
      <c r="K518" s="76"/>
      <c r="L518" s="37"/>
      <c r="M518" s="37"/>
      <c r="N518" s="76"/>
      <c r="O518" s="76"/>
      <c r="P518" s="37"/>
      <c r="Q518" s="37"/>
      <c r="R518" s="76"/>
      <c r="S518" s="63"/>
      <c r="T518" s="76"/>
    </row>
    <row r="519" spans="2:20" x14ac:dyDescent="0.35">
      <c r="B519" s="35"/>
      <c r="C519" s="74"/>
      <c r="D519" s="75"/>
      <c r="E519" s="75"/>
      <c r="F519" s="75"/>
      <c r="G519" s="76"/>
      <c r="H519" s="63"/>
      <c r="I519" s="63"/>
      <c r="J519" s="76"/>
      <c r="K519" s="76"/>
      <c r="L519" s="37"/>
      <c r="M519" s="37"/>
      <c r="N519" s="76"/>
      <c r="O519" s="76"/>
      <c r="P519" s="37"/>
      <c r="Q519" s="37"/>
      <c r="R519" s="76"/>
      <c r="S519" s="63"/>
      <c r="T519" s="76"/>
    </row>
    <row r="520" spans="2:20" x14ac:dyDescent="0.35">
      <c r="B520" s="35"/>
      <c r="C520" s="74"/>
      <c r="D520" s="75"/>
      <c r="E520" s="75"/>
      <c r="F520" s="75"/>
      <c r="G520" s="76"/>
      <c r="H520" s="63"/>
      <c r="I520" s="63"/>
      <c r="J520" s="76"/>
      <c r="K520" s="76"/>
      <c r="L520" s="37"/>
      <c r="M520" s="37"/>
      <c r="N520" s="76"/>
      <c r="O520" s="76"/>
      <c r="P520" s="37"/>
      <c r="Q520" s="37"/>
      <c r="R520" s="76"/>
      <c r="S520" s="63"/>
      <c r="T520" s="76"/>
    </row>
    <row r="521" spans="2:20" x14ac:dyDescent="0.35">
      <c r="B521" s="35"/>
      <c r="C521" s="74"/>
      <c r="D521" s="75"/>
      <c r="E521" s="75"/>
      <c r="F521" s="75"/>
      <c r="G521" s="76"/>
      <c r="H521" s="63"/>
      <c r="I521" s="63"/>
      <c r="J521" s="76"/>
      <c r="K521" s="76"/>
      <c r="L521" s="37"/>
      <c r="M521" s="37"/>
      <c r="N521" s="76"/>
      <c r="O521" s="76"/>
      <c r="P521" s="37"/>
      <c r="Q521" s="37"/>
      <c r="R521" s="76"/>
      <c r="S521" s="63"/>
      <c r="T521" s="76"/>
    </row>
    <row r="522" spans="2:20" x14ac:dyDescent="0.35">
      <c r="B522" s="35"/>
      <c r="C522" s="74"/>
      <c r="D522" s="75"/>
      <c r="E522" s="75"/>
      <c r="F522" s="75"/>
      <c r="G522" s="76"/>
      <c r="H522" s="63"/>
      <c r="I522" s="63"/>
      <c r="J522" s="76"/>
      <c r="K522" s="76"/>
      <c r="L522" s="37"/>
      <c r="M522" s="37"/>
      <c r="N522" s="76"/>
      <c r="O522" s="76"/>
      <c r="P522" s="37"/>
      <c r="Q522" s="37"/>
      <c r="R522" s="76"/>
      <c r="S522" s="63"/>
      <c r="T522" s="76"/>
    </row>
    <row r="523" spans="2:20" x14ac:dyDescent="0.35">
      <c r="B523" s="35"/>
      <c r="C523" s="74"/>
      <c r="D523" s="75"/>
      <c r="E523" s="75"/>
      <c r="F523" s="75"/>
      <c r="G523" s="76"/>
      <c r="H523" s="63"/>
      <c r="I523" s="63"/>
      <c r="J523" s="76"/>
      <c r="K523" s="76"/>
      <c r="L523" s="37"/>
      <c r="M523" s="37"/>
      <c r="N523" s="76"/>
      <c r="O523" s="76"/>
      <c r="P523" s="37"/>
      <c r="Q523" s="37"/>
      <c r="R523" s="76"/>
      <c r="S523" s="63"/>
      <c r="T523" s="76"/>
    </row>
    <row r="524" spans="2:20" x14ac:dyDescent="0.35">
      <c r="B524" s="35"/>
      <c r="C524" s="74"/>
      <c r="D524" s="75"/>
      <c r="E524" s="75"/>
      <c r="F524" s="75"/>
      <c r="G524" s="76"/>
      <c r="H524" s="63"/>
      <c r="I524" s="63"/>
      <c r="J524" s="76"/>
      <c r="K524" s="76"/>
      <c r="L524" s="37"/>
      <c r="M524" s="37"/>
      <c r="N524" s="76"/>
      <c r="O524" s="76"/>
      <c r="P524" s="37"/>
      <c r="Q524" s="37"/>
      <c r="R524" s="76"/>
      <c r="S524" s="63"/>
      <c r="T524" s="76"/>
    </row>
    <row r="525" spans="2:20" x14ac:dyDescent="0.35">
      <c r="B525" s="35"/>
      <c r="C525" s="74"/>
      <c r="D525" s="75"/>
      <c r="E525" s="75"/>
      <c r="F525" s="75"/>
      <c r="G525" s="76"/>
      <c r="H525" s="63"/>
      <c r="I525" s="63"/>
      <c r="J525" s="76"/>
      <c r="K525" s="76"/>
      <c r="L525" s="37"/>
      <c r="M525" s="37"/>
      <c r="N525" s="76"/>
      <c r="O525" s="76"/>
      <c r="P525" s="37"/>
      <c r="Q525" s="37"/>
      <c r="R525" s="76"/>
      <c r="S525" s="63"/>
      <c r="T525" s="76"/>
    </row>
    <row r="526" spans="2:20" x14ac:dyDescent="0.35">
      <c r="B526" s="35"/>
      <c r="C526" s="74"/>
      <c r="D526" s="75"/>
      <c r="E526" s="75"/>
      <c r="F526" s="75"/>
      <c r="G526" s="76"/>
      <c r="H526" s="63"/>
      <c r="I526" s="63"/>
      <c r="J526" s="76"/>
      <c r="K526" s="76"/>
      <c r="L526" s="37"/>
      <c r="M526" s="37"/>
      <c r="N526" s="76"/>
      <c r="O526" s="76"/>
      <c r="P526" s="37"/>
      <c r="Q526" s="37"/>
      <c r="R526" s="76"/>
      <c r="S526" s="63"/>
      <c r="T526" s="76"/>
    </row>
    <row r="527" spans="2:20" x14ac:dyDescent="0.35">
      <c r="B527" s="35"/>
      <c r="C527" s="74"/>
      <c r="D527" s="75"/>
      <c r="E527" s="75"/>
      <c r="F527" s="75"/>
      <c r="G527" s="76"/>
      <c r="H527" s="63"/>
      <c r="I527" s="63"/>
      <c r="J527" s="76"/>
      <c r="K527" s="76"/>
      <c r="L527" s="37"/>
      <c r="M527" s="37"/>
      <c r="N527" s="76"/>
      <c r="O527" s="76"/>
      <c r="P527" s="37"/>
      <c r="Q527" s="37"/>
      <c r="R527" s="76"/>
      <c r="S527" s="63"/>
      <c r="T527" s="76"/>
    </row>
    <row r="528" spans="2:20" x14ac:dyDescent="0.35">
      <c r="B528" s="35"/>
      <c r="C528" s="74"/>
      <c r="D528" s="75"/>
      <c r="E528" s="75"/>
      <c r="F528" s="75"/>
      <c r="G528" s="76"/>
      <c r="H528" s="63"/>
      <c r="I528" s="63"/>
      <c r="J528" s="76"/>
      <c r="K528" s="76"/>
      <c r="L528" s="37"/>
      <c r="M528" s="37"/>
      <c r="N528" s="76"/>
      <c r="O528" s="76"/>
      <c r="P528" s="37"/>
      <c r="Q528" s="37"/>
      <c r="R528" s="76"/>
      <c r="S528" s="63"/>
      <c r="T528" s="76"/>
    </row>
    <row r="529" spans="2:20" x14ac:dyDescent="0.35">
      <c r="B529" s="35"/>
      <c r="C529" s="74"/>
      <c r="D529" s="75"/>
      <c r="E529" s="75"/>
      <c r="F529" s="75"/>
      <c r="G529" s="76"/>
      <c r="H529" s="63"/>
      <c r="I529" s="63"/>
      <c r="J529" s="76"/>
      <c r="K529" s="76"/>
      <c r="L529" s="37"/>
      <c r="M529" s="37"/>
      <c r="N529" s="76"/>
      <c r="O529" s="76"/>
      <c r="P529" s="37"/>
      <c r="Q529" s="37"/>
      <c r="R529" s="76"/>
      <c r="S529" s="63"/>
      <c r="T529" s="76"/>
    </row>
    <row r="530" spans="2:20" x14ac:dyDescent="0.35">
      <c r="B530" s="35"/>
      <c r="C530" s="74"/>
      <c r="D530" s="75"/>
      <c r="E530" s="75"/>
      <c r="F530" s="75"/>
      <c r="G530" s="76"/>
      <c r="H530" s="63"/>
      <c r="I530" s="63"/>
      <c r="J530" s="76"/>
      <c r="K530" s="76"/>
      <c r="L530" s="37"/>
      <c r="M530" s="37"/>
      <c r="N530" s="76"/>
      <c r="O530" s="76"/>
      <c r="P530" s="37"/>
      <c r="Q530" s="37"/>
      <c r="R530" s="76"/>
      <c r="S530" s="63"/>
      <c r="T530" s="76"/>
    </row>
    <row r="531" spans="2:20" x14ac:dyDescent="0.35">
      <c r="B531" s="35"/>
      <c r="C531" s="74"/>
      <c r="D531" s="75"/>
      <c r="E531" s="75"/>
      <c r="F531" s="75"/>
      <c r="G531" s="76"/>
      <c r="H531" s="63"/>
      <c r="I531" s="63"/>
      <c r="J531" s="76"/>
      <c r="K531" s="76"/>
      <c r="L531" s="37"/>
      <c r="M531" s="37"/>
      <c r="N531" s="76"/>
      <c r="O531" s="76"/>
      <c r="P531" s="37"/>
      <c r="Q531" s="37"/>
      <c r="R531" s="76"/>
      <c r="S531" s="63"/>
      <c r="T531" s="76"/>
    </row>
    <row r="532" spans="2:20" x14ac:dyDescent="0.35">
      <c r="B532" s="35"/>
      <c r="C532" s="74"/>
      <c r="D532" s="75"/>
      <c r="E532" s="75"/>
      <c r="F532" s="75"/>
      <c r="G532" s="76"/>
      <c r="H532" s="63"/>
      <c r="I532" s="63"/>
      <c r="J532" s="76"/>
      <c r="K532" s="76"/>
      <c r="L532" s="37"/>
      <c r="M532" s="37"/>
      <c r="N532" s="76"/>
      <c r="O532" s="76"/>
      <c r="P532" s="37"/>
      <c r="Q532" s="37"/>
      <c r="R532" s="76"/>
      <c r="S532" s="63"/>
      <c r="T532" s="76"/>
    </row>
    <row r="533" spans="2:20" x14ac:dyDescent="0.35">
      <c r="B533" s="35"/>
      <c r="C533" s="74"/>
      <c r="D533" s="75"/>
      <c r="E533" s="75"/>
      <c r="F533" s="75"/>
      <c r="G533" s="76"/>
      <c r="H533" s="63"/>
      <c r="I533" s="63"/>
      <c r="J533" s="76"/>
      <c r="K533" s="76"/>
      <c r="L533" s="37"/>
      <c r="M533" s="37"/>
      <c r="N533" s="76"/>
      <c r="O533" s="76"/>
      <c r="P533" s="37"/>
      <c r="Q533" s="37"/>
      <c r="R533" s="76"/>
      <c r="S533" s="63"/>
      <c r="T533" s="76"/>
    </row>
    <row r="534" spans="2:20" x14ac:dyDescent="0.35">
      <c r="B534" s="35"/>
      <c r="C534" s="74"/>
      <c r="D534" s="75"/>
      <c r="E534" s="75"/>
      <c r="F534" s="75"/>
      <c r="G534" s="76"/>
      <c r="H534" s="63"/>
      <c r="I534" s="63"/>
      <c r="J534" s="76"/>
      <c r="K534" s="76"/>
      <c r="L534" s="37"/>
      <c r="M534" s="37"/>
      <c r="N534" s="76"/>
      <c r="O534" s="76"/>
      <c r="P534" s="37"/>
      <c r="Q534" s="37"/>
      <c r="R534" s="76"/>
      <c r="S534" s="63"/>
      <c r="T534" s="76"/>
    </row>
    <row r="535" spans="2:20" x14ac:dyDescent="0.35">
      <c r="B535" s="35"/>
      <c r="C535" s="74"/>
      <c r="D535" s="75"/>
      <c r="E535" s="75"/>
      <c r="F535" s="75"/>
      <c r="G535" s="76"/>
      <c r="H535" s="63"/>
      <c r="I535" s="63"/>
      <c r="J535" s="76"/>
      <c r="K535" s="76"/>
      <c r="L535" s="37"/>
      <c r="M535" s="37"/>
      <c r="N535" s="76"/>
      <c r="O535" s="76"/>
      <c r="P535" s="37"/>
      <c r="Q535" s="37"/>
      <c r="R535" s="76"/>
      <c r="S535" s="63"/>
      <c r="T535" s="76"/>
    </row>
    <row r="536" spans="2:20" x14ac:dyDescent="0.35">
      <c r="B536" s="35"/>
      <c r="C536" s="74"/>
      <c r="D536" s="75"/>
      <c r="E536" s="75"/>
      <c r="F536" s="75"/>
      <c r="G536" s="76"/>
      <c r="H536" s="63"/>
      <c r="I536" s="63"/>
      <c r="J536" s="76"/>
      <c r="K536" s="76"/>
      <c r="L536" s="37"/>
      <c r="M536" s="37"/>
      <c r="N536" s="76"/>
      <c r="O536" s="76"/>
      <c r="P536" s="37"/>
      <c r="Q536" s="37"/>
      <c r="R536" s="76"/>
      <c r="S536" s="63"/>
      <c r="T536" s="76"/>
    </row>
    <row r="537" spans="2:20" x14ac:dyDescent="0.35">
      <c r="B537" s="35"/>
      <c r="C537" s="74"/>
      <c r="D537" s="75"/>
      <c r="E537" s="75"/>
      <c r="F537" s="75"/>
      <c r="G537" s="76"/>
      <c r="H537" s="63"/>
      <c r="I537" s="63"/>
      <c r="J537" s="76"/>
      <c r="K537" s="76"/>
      <c r="L537" s="37"/>
      <c r="M537" s="37"/>
      <c r="N537" s="76"/>
      <c r="O537" s="76"/>
      <c r="P537" s="37"/>
      <c r="Q537" s="37"/>
      <c r="R537" s="76"/>
      <c r="S537" s="63"/>
      <c r="T537" s="76"/>
    </row>
    <row r="538" spans="2:20" x14ac:dyDescent="0.35">
      <c r="B538" s="35"/>
      <c r="C538" s="74"/>
      <c r="D538" s="75"/>
      <c r="E538" s="75"/>
      <c r="F538" s="75"/>
      <c r="G538" s="76"/>
      <c r="H538" s="63"/>
      <c r="I538" s="63"/>
      <c r="J538" s="76"/>
      <c r="K538" s="76"/>
      <c r="L538" s="37"/>
      <c r="M538" s="37"/>
      <c r="N538" s="76"/>
      <c r="O538" s="76"/>
      <c r="P538" s="37"/>
      <c r="Q538" s="37"/>
      <c r="R538" s="76"/>
      <c r="S538" s="63"/>
      <c r="T538" s="76"/>
    </row>
    <row r="539" spans="2:20" x14ac:dyDescent="0.35">
      <c r="B539" s="35"/>
      <c r="C539" s="74"/>
      <c r="D539" s="75"/>
      <c r="E539" s="75"/>
      <c r="F539" s="75"/>
      <c r="G539" s="76"/>
      <c r="H539" s="63"/>
      <c r="I539" s="63"/>
      <c r="J539" s="76"/>
      <c r="K539" s="76"/>
      <c r="L539" s="37"/>
      <c r="M539" s="37"/>
      <c r="N539" s="76"/>
      <c r="O539" s="76"/>
      <c r="P539" s="37"/>
      <c r="Q539" s="37"/>
      <c r="R539" s="76"/>
      <c r="S539" s="63"/>
      <c r="T539" s="76"/>
    </row>
    <row r="540" spans="2:20" x14ac:dyDescent="0.35">
      <c r="B540" s="35"/>
      <c r="C540" s="74"/>
      <c r="D540" s="75"/>
      <c r="E540" s="75"/>
      <c r="F540" s="75"/>
      <c r="G540" s="76"/>
      <c r="H540" s="63"/>
      <c r="I540" s="63"/>
      <c r="J540" s="76"/>
      <c r="K540" s="76"/>
      <c r="L540" s="37"/>
      <c r="M540" s="37"/>
      <c r="N540" s="76"/>
      <c r="O540" s="76"/>
      <c r="P540" s="37"/>
      <c r="Q540" s="37"/>
      <c r="R540" s="76"/>
      <c r="S540" s="63"/>
      <c r="T540" s="76"/>
    </row>
    <row r="541" spans="2:20" x14ac:dyDescent="0.35">
      <c r="B541" s="35"/>
      <c r="C541" s="74"/>
      <c r="D541" s="75"/>
      <c r="E541" s="75"/>
      <c r="F541" s="75"/>
      <c r="G541" s="76"/>
      <c r="H541" s="63"/>
      <c r="I541" s="63"/>
      <c r="J541" s="76"/>
      <c r="K541" s="76"/>
      <c r="L541" s="37"/>
      <c r="M541" s="37"/>
      <c r="N541" s="76"/>
      <c r="O541" s="76"/>
      <c r="P541" s="37"/>
      <c r="Q541" s="37"/>
      <c r="R541" s="76"/>
      <c r="S541" s="63"/>
      <c r="T541" s="76"/>
    </row>
    <row r="542" spans="2:20" x14ac:dyDescent="0.35">
      <c r="B542" s="35"/>
      <c r="C542" s="74"/>
      <c r="D542" s="75"/>
      <c r="E542" s="75"/>
      <c r="F542" s="75"/>
      <c r="G542" s="76"/>
      <c r="H542" s="63"/>
      <c r="I542" s="63"/>
      <c r="J542" s="76"/>
      <c r="K542" s="76"/>
      <c r="L542" s="37"/>
      <c r="M542" s="37"/>
      <c r="N542" s="76"/>
      <c r="O542" s="76"/>
      <c r="P542" s="37"/>
      <c r="Q542" s="37"/>
      <c r="R542" s="76"/>
      <c r="S542" s="63"/>
      <c r="T542" s="76"/>
    </row>
    <row r="543" spans="2:20" x14ac:dyDescent="0.35">
      <c r="B543" s="35"/>
      <c r="C543" s="74"/>
      <c r="D543" s="75"/>
      <c r="E543" s="75"/>
      <c r="F543" s="75"/>
      <c r="G543" s="76"/>
      <c r="H543" s="63"/>
      <c r="I543" s="63"/>
      <c r="J543" s="76"/>
      <c r="K543" s="76"/>
      <c r="L543" s="37"/>
      <c r="M543" s="37"/>
      <c r="N543" s="76"/>
      <c r="O543" s="76"/>
      <c r="P543" s="37"/>
      <c r="Q543" s="37"/>
      <c r="R543" s="76"/>
      <c r="S543" s="63"/>
      <c r="T543" s="76"/>
    </row>
    <row r="544" spans="2:20" x14ac:dyDescent="0.35">
      <c r="B544" s="35"/>
      <c r="C544" s="74"/>
      <c r="D544" s="75"/>
      <c r="E544" s="75"/>
      <c r="F544" s="75"/>
      <c r="G544" s="76"/>
      <c r="H544" s="63"/>
      <c r="I544" s="63"/>
      <c r="J544" s="76"/>
      <c r="K544" s="76"/>
      <c r="L544" s="37"/>
      <c r="M544" s="37"/>
      <c r="N544" s="76"/>
      <c r="O544" s="76"/>
      <c r="P544" s="37"/>
      <c r="Q544" s="37"/>
      <c r="R544" s="76"/>
      <c r="S544" s="63"/>
      <c r="T544" s="76"/>
    </row>
    <row r="545" spans="2:20" x14ac:dyDescent="0.35">
      <c r="B545" s="35"/>
      <c r="C545" s="74"/>
      <c r="D545" s="75"/>
      <c r="E545" s="75"/>
      <c r="F545" s="75"/>
      <c r="G545" s="76"/>
      <c r="H545" s="63"/>
      <c r="I545" s="63"/>
      <c r="J545" s="76"/>
      <c r="K545" s="76"/>
      <c r="L545" s="37"/>
      <c r="M545" s="37"/>
      <c r="N545" s="76"/>
      <c r="O545" s="76"/>
      <c r="P545" s="37"/>
      <c r="Q545" s="37"/>
      <c r="R545" s="76"/>
      <c r="S545" s="63"/>
      <c r="T545" s="76"/>
    </row>
    <row r="546" spans="2:20" x14ac:dyDescent="0.35">
      <c r="B546" s="35"/>
      <c r="C546" s="74"/>
      <c r="D546" s="75"/>
      <c r="E546" s="75"/>
      <c r="F546" s="75"/>
      <c r="G546" s="76"/>
      <c r="H546" s="63"/>
      <c r="I546" s="63"/>
      <c r="J546" s="76"/>
      <c r="K546" s="76"/>
      <c r="L546" s="37"/>
      <c r="M546" s="37"/>
      <c r="N546" s="76"/>
      <c r="O546" s="76"/>
      <c r="P546" s="37"/>
      <c r="Q546" s="37"/>
      <c r="R546" s="76"/>
      <c r="S546" s="63"/>
      <c r="T546" s="76"/>
    </row>
    <row r="547" spans="2:20" x14ac:dyDescent="0.35">
      <c r="B547" s="35"/>
      <c r="C547" s="74"/>
      <c r="D547" s="75"/>
      <c r="E547" s="75"/>
      <c r="F547" s="75"/>
      <c r="G547" s="76"/>
      <c r="H547" s="63"/>
      <c r="I547" s="63"/>
      <c r="J547" s="76"/>
      <c r="K547" s="76"/>
      <c r="L547" s="37"/>
      <c r="M547" s="37"/>
      <c r="N547" s="76"/>
      <c r="O547" s="76"/>
      <c r="P547" s="37"/>
      <c r="Q547" s="37"/>
      <c r="R547" s="76"/>
      <c r="S547" s="63"/>
      <c r="T547" s="76"/>
    </row>
    <row r="548" spans="2:20" x14ac:dyDescent="0.35">
      <c r="B548" s="35"/>
      <c r="C548" s="74"/>
      <c r="D548" s="75"/>
      <c r="E548" s="75"/>
      <c r="F548" s="75"/>
      <c r="G548" s="76"/>
      <c r="H548" s="63"/>
      <c r="I548" s="63"/>
      <c r="J548" s="76"/>
      <c r="K548" s="76"/>
      <c r="L548" s="37"/>
      <c r="M548" s="37"/>
      <c r="N548" s="76"/>
      <c r="O548" s="76"/>
      <c r="P548" s="37"/>
      <c r="Q548" s="37"/>
      <c r="R548" s="76"/>
      <c r="S548" s="63"/>
      <c r="T548" s="76"/>
    </row>
    <row r="549" spans="2:20" x14ac:dyDescent="0.35">
      <c r="B549" s="35"/>
      <c r="C549" s="74"/>
      <c r="D549" s="75"/>
      <c r="E549" s="75"/>
      <c r="F549" s="75"/>
      <c r="G549" s="76"/>
      <c r="H549" s="63"/>
      <c r="I549" s="63"/>
      <c r="J549" s="76"/>
      <c r="K549" s="76"/>
      <c r="L549" s="37"/>
      <c r="M549" s="37"/>
      <c r="N549" s="76"/>
      <c r="O549" s="76"/>
      <c r="P549" s="37"/>
      <c r="Q549" s="37"/>
      <c r="R549" s="76"/>
      <c r="S549" s="63"/>
      <c r="T549" s="76"/>
    </row>
    <row r="550" spans="2:20" x14ac:dyDescent="0.35">
      <c r="B550" s="35"/>
      <c r="C550" s="74"/>
      <c r="D550" s="75"/>
      <c r="E550" s="75"/>
      <c r="F550" s="75"/>
      <c r="G550" s="76"/>
      <c r="H550" s="63"/>
      <c r="I550" s="63"/>
      <c r="J550" s="76"/>
      <c r="K550" s="76"/>
      <c r="L550" s="37"/>
      <c r="M550" s="37"/>
      <c r="N550" s="76"/>
      <c r="O550" s="76"/>
      <c r="P550" s="37"/>
      <c r="Q550" s="37"/>
      <c r="R550" s="76"/>
      <c r="S550" s="63"/>
      <c r="T550" s="76"/>
    </row>
    <row r="551" spans="2:20" x14ac:dyDescent="0.35">
      <c r="B551" s="35"/>
      <c r="C551" s="74"/>
      <c r="D551" s="75"/>
      <c r="E551" s="75"/>
      <c r="F551" s="75"/>
      <c r="G551" s="76"/>
      <c r="H551" s="63"/>
      <c r="I551" s="63"/>
      <c r="J551" s="76"/>
      <c r="K551" s="76"/>
      <c r="L551" s="37"/>
      <c r="M551" s="37"/>
      <c r="N551" s="76"/>
      <c r="O551" s="76"/>
      <c r="P551" s="37"/>
      <c r="Q551" s="37"/>
      <c r="R551" s="76"/>
      <c r="S551" s="63"/>
      <c r="T551" s="76"/>
    </row>
    <row r="552" spans="2:20" x14ac:dyDescent="0.35">
      <c r="B552" s="35"/>
      <c r="C552" s="74"/>
      <c r="D552" s="75"/>
      <c r="E552" s="75"/>
      <c r="F552" s="75"/>
      <c r="G552" s="76"/>
      <c r="H552" s="63"/>
      <c r="I552" s="63"/>
      <c r="J552" s="76"/>
      <c r="K552" s="76"/>
      <c r="L552" s="37"/>
      <c r="M552" s="37"/>
      <c r="N552" s="76"/>
      <c r="O552" s="76"/>
      <c r="P552" s="37"/>
      <c r="Q552" s="37"/>
      <c r="R552" s="76"/>
      <c r="S552" s="63"/>
      <c r="T552" s="76"/>
    </row>
    <row r="553" spans="2:20" x14ac:dyDescent="0.35">
      <c r="B553" s="35"/>
      <c r="C553" s="74"/>
      <c r="D553" s="75"/>
      <c r="E553" s="75"/>
      <c r="F553" s="75"/>
      <c r="G553" s="76"/>
      <c r="H553" s="63"/>
      <c r="I553" s="63"/>
      <c r="J553" s="76"/>
      <c r="K553" s="76"/>
      <c r="L553" s="37"/>
      <c r="M553" s="37"/>
      <c r="N553" s="76"/>
      <c r="O553" s="76"/>
      <c r="P553" s="37"/>
      <c r="Q553" s="37"/>
      <c r="R553" s="76"/>
      <c r="S553" s="63"/>
      <c r="T553" s="76"/>
    </row>
    <row r="554" spans="2:20" x14ac:dyDescent="0.35">
      <c r="B554" s="35"/>
      <c r="C554" s="74"/>
      <c r="D554" s="75"/>
      <c r="E554" s="75"/>
      <c r="F554" s="75"/>
      <c r="G554" s="76"/>
      <c r="H554" s="63"/>
      <c r="I554" s="63"/>
      <c r="J554" s="76"/>
      <c r="K554" s="76"/>
      <c r="L554" s="37"/>
      <c r="M554" s="37"/>
      <c r="N554" s="76"/>
      <c r="O554" s="76"/>
      <c r="P554" s="37"/>
      <c r="Q554" s="37"/>
      <c r="R554" s="76"/>
      <c r="S554" s="63"/>
      <c r="T554" s="76"/>
    </row>
    <row r="555" spans="2:20" x14ac:dyDescent="0.35">
      <c r="B555" s="35"/>
      <c r="C555" s="74"/>
      <c r="D555" s="75"/>
      <c r="E555" s="75"/>
      <c r="F555" s="75"/>
      <c r="G555" s="76"/>
      <c r="H555" s="63"/>
      <c r="I555" s="63"/>
      <c r="J555" s="76"/>
      <c r="K555" s="76"/>
      <c r="L555" s="37"/>
      <c r="M555" s="37"/>
      <c r="N555" s="76"/>
      <c r="O555" s="76"/>
      <c r="P555" s="37"/>
      <c r="Q555" s="37"/>
      <c r="R555" s="76"/>
      <c r="S555" s="63"/>
      <c r="T555" s="76"/>
    </row>
    <row r="556" spans="2:20" x14ac:dyDescent="0.35">
      <c r="B556" s="35"/>
      <c r="C556" s="74"/>
      <c r="D556" s="75"/>
      <c r="E556" s="75"/>
      <c r="F556" s="75"/>
      <c r="G556" s="76"/>
      <c r="H556" s="63"/>
      <c r="I556" s="63"/>
      <c r="J556" s="76"/>
      <c r="K556" s="76"/>
      <c r="L556" s="37"/>
      <c r="M556" s="37"/>
      <c r="N556" s="76"/>
      <c r="O556" s="76"/>
      <c r="P556" s="37"/>
      <c r="Q556" s="37"/>
      <c r="R556" s="76"/>
      <c r="S556" s="63"/>
      <c r="T556" s="76"/>
    </row>
    <row r="557" spans="2:20" x14ac:dyDescent="0.35">
      <c r="B557" s="35"/>
      <c r="C557" s="74"/>
      <c r="D557" s="75"/>
      <c r="E557" s="75"/>
      <c r="F557" s="75"/>
      <c r="G557" s="76"/>
      <c r="H557" s="63"/>
      <c r="I557" s="63"/>
      <c r="J557" s="76"/>
      <c r="K557" s="76"/>
      <c r="L557" s="37"/>
      <c r="M557" s="37"/>
      <c r="N557" s="76"/>
      <c r="O557" s="76"/>
      <c r="P557" s="37"/>
      <c r="Q557" s="37"/>
      <c r="R557" s="76"/>
      <c r="S557" s="63"/>
      <c r="T557" s="76"/>
    </row>
    <row r="558" spans="2:20" x14ac:dyDescent="0.35">
      <c r="B558" s="35"/>
      <c r="C558" s="74"/>
      <c r="D558" s="75"/>
      <c r="E558" s="75"/>
      <c r="F558" s="75"/>
      <c r="G558" s="76"/>
      <c r="H558" s="63"/>
      <c r="I558" s="63"/>
      <c r="J558" s="76"/>
      <c r="K558" s="76"/>
      <c r="L558" s="37"/>
      <c r="M558" s="37"/>
      <c r="N558" s="76"/>
      <c r="O558" s="76"/>
      <c r="P558" s="37"/>
      <c r="Q558" s="37"/>
      <c r="R558" s="76"/>
      <c r="S558" s="63"/>
      <c r="T558" s="76"/>
    </row>
    <row r="559" spans="2:20" x14ac:dyDescent="0.35">
      <c r="B559" s="35"/>
      <c r="C559" s="74"/>
      <c r="D559" s="75"/>
      <c r="E559" s="75"/>
      <c r="F559" s="75"/>
      <c r="G559" s="76"/>
      <c r="H559" s="63"/>
      <c r="I559" s="63"/>
      <c r="J559" s="76"/>
      <c r="K559" s="76"/>
      <c r="L559" s="37"/>
      <c r="M559" s="37"/>
      <c r="N559" s="76"/>
      <c r="O559" s="76"/>
      <c r="P559" s="37"/>
      <c r="Q559" s="37"/>
      <c r="R559" s="76"/>
      <c r="S559" s="63"/>
      <c r="T559" s="76"/>
    </row>
    <row r="560" spans="2:20" x14ac:dyDescent="0.35">
      <c r="B560" s="35"/>
      <c r="C560" s="74"/>
      <c r="D560" s="75"/>
      <c r="E560" s="75"/>
      <c r="F560" s="75"/>
      <c r="G560" s="76"/>
      <c r="H560" s="63"/>
      <c r="I560" s="63"/>
      <c r="J560" s="76"/>
      <c r="K560" s="76"/>
      <c r="L560" s="37"/>
      <c r="M560" s="37"/>
      <c r="N560" s="76"/>
      <c r="O560" s="76"/>
      <c r="P560" s="37"/>
      <c r="Q560" s="37"/>
      <c r="R560" s="76"/>
      <c r="S560" s="63"/>
      <c r="T560" s="76"/>
    </row>
    <row r="561" spans="2:20" x14ac:dyDescent="0.35">
      <c r="B561" s="35"/>
      <c r="C561" s="74"/>
      <c r="D561" s="75"/>
      <c r="E561" s="75"/>
      <c r="F561" s="75"/>
      <c r="G561" s="76"/>
      <c r="H561" s="63"/>
      <c r="I561" s="63"/>
      <c r="J561" s="76"/>
      <c r="K561" s="76"/>
      <c r="L561" s="37"/>
      <c r="M561" s="37"/>
      <c r="N561" s="76"/>
      <c r="O561" s="76"/>
      <c r="P561" s="37"/>
      <c r="Q561" s="37"/>
      <c r="R561" s="76"/>
      <c r="S561" s="63"/>
      <c r="T561" s="76"/>
    </row>
    <row r="562" spans="2:20" x14ac:dyDescent="0.35">
      <c r="B562" s="35"/>
      <c r="C562" s="74"/>
      <c r="D562" s="75"/>
      <c r="E562" s="75"/>
      <c r="F562" s="75"/>
      <c r="G562" s="76"/>
      <c r="H562" s="63"/>
      <c r="I562" s="63"/>
      <c r="J562" s="76"/>
      <c r="K562" s="76"/>
      <c r="L562" s="37"/>
      <c r="M562" s="37"/>
      <c r="N562" s="76"/>
      <c r="O562" s="76"/>
      <c r="P562" s="37"/>
      <c r="Q562" s="37"/>
      <c r="R562" s="76"/>
      <c r="S562" s="63"/>
      <c r="T562" s="76"/>
    </row>
    <row r="563" spans="2:20" x14ac:dyDescent="0.35">
      <c r="B563" s="35"/>
      <c r="C563" s="74"/>
      <c r="D563" s="75"/>
      <c r="E563" s="75"/>
      <c r="F563" s="75"/>
      <c r="G563" s="76"/>
      <c r="H563" s="63"/>
      <c r="I563" s="63"/>
      <c r="J563" s="76"/>
      <c r="K563" s="76"/>
      <c r="L563" s="37"/>
      <c r="M563" s="37"/>
      <c r="N563" s="76"/>
      <c r="O563" s="76"/>
      <c r="P563" s="37"/>
      <c r="Q563" s="37"/>
      <c r="R563" s="76"/>
      <c r="S563" s="63"/>
      <c r="T563" s="76"/>
    </row>
    <row r="564" spans="2:20" x14ac:dyDescent="0.35">
      <c r="B564" s="35"/>
      <c r="C564" s="74"/>
      <c r="D564" s="75"/>
      <c r="E564" s="75"/>
      <c r="F564" s="75"/>
      <c r="G564" s="76"/>
      <c r="H564" s="63"/>
      <c r="I564" s="63"/>
      <c r="J564" s="76"/>
      <c r="K564" s="76"/>
      <c r="L564" s="37"/>
      <c r="M564" s="37"/>
      <c r="N564" s="76"/>
      <c r="O564" s="76"/>
      <c r="P564" s="37"/>
      <c r="Q564" s="37"/>
      <c r="R564" s="76"/>
      <c r="S564" s="63"/>
      <c r="T564" s="76"/>
    </row>
    <row r="565" spans="2:20" x14ac:dyDescent="0.35">
      <c r="B565" s="35"/>
      <c r="C565" s="74"/>
      <c r="D565" s="75"/>
      <c r="E565" s="75"/>
      <c r="F565" s="75"/>
      <c r="G565" s="76"/>
      <c r="H565" s="63"/>
      <c r="I565" s="63"/>
      <c r="J565" s="76"/>
      <c r="K565" s="76"/>
      <c r="L565" s="37"/>
      <c r="M565" s="37"/>
      <c r="N565" s="76"/>
      <c r="O565" s="76"/>
      <c r="P565" s="37"/>
      <c r="Q565" s="37"/>
      <c r="R565" s="76"/>
      <c r="S565" s="63"/>
      <c r="T565" s="76"/>
    </row>
    <row r="566" spans="2:20" x14ac:dyDescent="0.35">
      <c r="B566" s="35"/>
      <c r="C566" s="74"/>
      <c r="D566" s="75"/>
      <c r="E566" s="75"/>
      <c r="F566" s="75"/>
      <c r="G566" s="76"/>
      <c r="H566" s="63"/>
      <c r="I566" s="63"/>
      <c r="J566" s="76"/>
      <c r="K566" s="76"/>
      <c r="L566" s="37"/>
      <c r="M566" s="37"/>
      <c r="N566" s="76"/>
      <c r="O566" s="76"/>
      <c r="P566" s="37"/>
      <c r="Q566" s="37"/>
      <c r="R566" s="76"/>
      <c r="S566" s="63"/>
      <c r="T566" s="76"/>
    </row>
    <row r="567" spans="2:20" x14ac:dyDescent="0.35">
      <c r="B567" s="35"/>
      <c r="C567" s="74"/>
      <c r="D567" s="75"/>
      <c r="E567" s="75"/>
      <c r="F567" s="75"/>
      <c r="G567" s="76"/>
      <c r="H567" s="63"/>
      <c r="I567" s="63"/>
      <c r="J567" s="76"/>
      <c r="K567" s="76"/>
      <c r="L567" s="37"/>
      <c r="M567" s="37"/>
      <c r="N567" s="76"/>
      <c r="O567" s="76"/>
      <c r="P567" s="37"/>
      <c r="Q567" s="37"/>
      <c r="R567" s="76"/>
      <c r="S567" s="63"/>
      <c r="T567" s="76"/>
    </row>
    <row r="568" spans="2:20" x14ac:dyDescent="0.35">
      <c r="B568" s="35"/>
      <c r="C568" s="74"/>
      <c r="D568" s="75"/>
      <c r="E568" s="75"/>
      <c r="F568" s="75"/>
      <c r="G568" s="76"/>
      <c r="H568" s="63"/>
      <c r="I568" s="63"/>
      <c r="J568" s="76"/>
      <c r="K568" s="76"/>
      <c r="L568" s="37"/>
      <c r="M568" s="37"/>
      <c r="N568" s="76"/>
      <c r="O568" s="76"/>
      <c r="P568" s="37"/>
      <c r="Q568" s="37"/>
      <c r="R568" s="76"/>
      <c r="S568" s="63"/>
      <c r="T568" s="76"/>
    </row>
    <row r="569" spans="2:20" x14ac:dyDescent="0.35">
      <c r="B569" s="35"/>
      <c r="C569" s="74"/>
      <c r="D569" s="75"/>
      <c r="E569" s="75"/>
      <c r="F569" s="75"/>
      <c r="G569" s="76"/>
      <c r="H569" s="63"/>
      <c r="I569" s="63"/>
      <c r="J569" s="76"/>
      <c r="K569" s="76"/>
      <c r="L569" s="37"/>
      <c r="M569" s="37"/>
      <c r="N569" s="76"/>
      <c r="O569" s="76"/>
      <c r="P569" s="37"/>
      <c r="Q569" s="37"/>
      <c r="R569" s="76"/>
      <c r="S569" s="63"/>
      <c r="T569" s="76"/>
    </row>
    <row r="570" spans="2:20" x14ac:dyDescent="0.35">
      <c r="B570" s="35"/>
      <c r="C570" s="74"/>
      <c r="D570" s="75"/>
      <c r="E570" s="75"/>
      <c r="F570" s="75"/>
      <c r="G570" s="76"/>
      <c r="H570" s="63"/>
      <c r="I570" s="63"/>
      <c r="J570" s="76"/>
      <c r="K570" s="76"/>
      <c r="L570" s="37"/>
      <c r="M570" s="37"/>
      <c r="N570" s="76"/>
      <c r="O570" s="76"/>
      <c r="P570" s="37"/>
      <c r="Q570" s="37"/>
      <c r="R570" s="76"/>
      <c r="S570" s="63"/>
      <c r="T570" s="76"/>
    </row>
    <row r="571" spans="2:20" x14ac:dyDescent="0.35">
      <c r="B571" s="35"/>
      <c r="C571" s="74"/>
      <c r="D571" s="75"/>
      <c r="E571" s="75"/>
      <c r="F571" s="75"/>
      <c r="G571" s="76"/>
      <c r="H571" s="63"/>
      <c r="I571" s="63"/>
      <c r="J571" s="76"/>
      <c r="K571" s="76"/>
      <c r="L571" s="37"/>
      <c r="M571" s="37"/>
      <c r="N571" s="76"/>
      <c r="O571" s="76"/>
      <c r="P571" s="37"/>
      <c r="Q571" s="37"/>
      <c r="R571" s="76"/>
      <c r="S571" s="63"/>
      <c r="T571" s="76"/>
    </row>
    <row r="572" spans="2:20" x14ac:dyDescent="0.35">
      <c r="B572" s="35"/>
      <c r="C572" s="74"/>
      <c r="D572" s="75"/>
      <c r="E572" s="75"/>
      <c r="F572" s="75"/>
      <c r="G572" s="76"/>
      <c r="H572" s="63"/>
      <c r="I572" s="63"/>
      <c r="J572" s="76"/>
      <c r="K572" s="76"/>
      <c r="L572" s="37"/>
      <c r="M572" s="37"/>
      <c r="N572" s="76"/>
      <c r="O572" s="76"/>
      <c r="P572" s="37"/>
      <c r="Q572" s="37"/>
      <c r="R572" s="76"/>
      <c r="S572" s="63"/>
      <c r="T572" s="76"/>
    </row>
    <row r="573" spans="2:20" x14ac:dyDescent="0.35">
      <c r="B573" s="35"/>
      <c r="C573" s="74"/>
      <c r="D573" s="75"/>
      <c r="E573" s="75"/>
      <c r="F573" s="75"/>
      <c r="G573" s="76"/>
      <c r="H573" s="63"/>
      <c r="I573" s="63"/>
      <c r="J573" s="76"/>
      <c r="K573" s="76"/>
      <c r="L573" s="37"/>
      <c r="M573" s="37"/>
      <c r="N573" s="76"/>
      <c r="O573" s="76"/>
      <c r="P573" s="37"/>
      <c r="Q573" s="37"/>
      <c r="R573" s="76"/>
      <c r="S573" s="63"/>
      <c r="T573" s="76"/>
    </row>
    <row r="574" spans="2:20" x14ac:dyDescent="0.35">
      <c r="B574" s="35"/>
      <c r="C574" s="74"/>
      <c r="D574" s="75"/>
      <c r="E574" s="75"/>
      <c r="F574" s="75"/>
      <c r="G574" s="76"/>
      <c r="H574" s="63"/>
      <c r="I574" s="63"/>
      <c r="J574" s="76"/>
      <c r="K574" s="76"/>
      <c r="L574" s="37"/>
      <c r="M574" s="37"/>
      <c r="N574" s="76"/>
      <c r="O574" s="76"/>
      <c r="P574" s="37"/>
      <c r="Q574" s="37"/>
      <c r="R574" s="76"/>
      <c r="S574" s="63"/>
      <c r="T574" s="76"/>
    </row>
    <row r="575" spans="2:20" x14ac:dyDescent="0.35">
      <c r="B575" s="35"/>
      <c r="C575" s="74"/>
      <c r="D575" s="75"/>
      <c r="E575" s="75"/>
      <c r="F575" s="75"/>
      <c r="G575" s="76"/>
      <c r="H575" s="63"/>
      <c r="I575" s="63"/>
      <c r="J575" s="76"/>
      <c r="K575" s="76"/>
      <c r="L575" s="37"/>
      <c r="M575" s="37"/>
      <c r="N575" s="76"/>
      <c r="O575" s="76"/>
      <c r="P575" s="37"/>
      <c r="Q575" s="37"/>
      <c r="R575" s="76"/>
      <c r="S575" s="63"/>
      <c r="T575" s="76"/>
    </row>
    <row r="576" spans="2:20" x14ac:dyDescent="0.35">
      <c r="B576" s="35"/>
      <c r="C576" s="74"/>
      <c r="D576" s="75"/>
      <c r="E576" s="75"/>
      <c r="F576" s="75"/>
      <c r="G576" s="76"/>
      <c r="H576" s="63"/>
      <c r="I576" s="63"/>
      <c r="J576" s="76"/>
      <c r="K576" s="76"/>
      <c r="L576" s="37"/>
      <c r="M576" s="37"/>
      <c r="N576" s="76"/>
      <c r="O576" s="76"/>
      <c r="P576" s="37"/>
      <c r="Q576" s="37"/>
      <c r="R576" s="76"/>
      <c r="S576" s="63"/>
      <c r="T576" s="76"/>
    </row>
    <row r="577" spans="2:20" x14ac:dyDescent="0.35">
      <c r="B577" s="35"/>
      <c r="C577" s="74"/>
      <c r="D577" s="75"/>
      <c r="E577" s="75"/>
      <c r="F577" s="75"/>
      <c r="G577" s="76"/>
      <c r="H577" s="63"/>
      <c r="I577" s="63"/>
      <c r="J577" s="76"/>
      <c r="K577" s="76"/>
      <c r="L577" s="37"/>
      <c r="M577" s="37"/>
      <c r="N577" s="76"/>
      <c r="O577" s="76"/>
      <c r="P577" s="37"/>
      <c r="Q577" s="37"/>
      <c r="R577" s="76"/>
      <c r="S577" s="63"/>
      <c r="T577" s="76"/>
    </row>
    <row r="578" spans="2:20" x14ac:dyDescent="0.35">
      <c r="B578" s="35"/>
      <c r="C578" s="74"/>
      <c r="D578" s="75"/>
      <c r="E578" s="75"/>
      <c r="F578" s="75"/>
      <c r="G578" s="76"/>
      <c r="H578" s="63"/>
      <c r="I578" s="63"/>
      <c r="J578" s="76"/>
      <c r="K578" s="76"/>
      <c r="L578" s="37"/>
      <c r="M578" s="37"/>
      <c r="N578" s="76"/>
      <c r="O578" s="76"/>
      <c r="P578" s="37"/>
      <c r="Q578" s="37"/>
      <c r="R578" s="76"/>
      <c r="S578" s="63"/>
      <c r="T578" s="76"/>
    </row>
    <row r="579" spans="2:20" x14ac:dyDescent="0.35">
      <c r="B579" s="35"/>
      <c r="C579" s="74"/>
      <c r="D579" s="75"/>
      <c r="E579" s="75"/>
      <c r="F579" s="75"/>
      <c r="G579" s="76"/>
      <c r="H579" s="63"/>
      <c r="I579" s="63"/>
      <c r="J579" s="76"/>
      <c r="K579" s="76"/>
      <c r="L579" s="37"/>
      <c r="M579" s="37"/>
      <c r="N579" s="76"/>
      <c r="O579" s="76"/>
      <c r="P579" s="37"/>
      <c r="Q579" s="37"/>
      <c r="R579" s="76"/>
      <c r="S579" s="63"/>
      <c r="T579" s="76"/>
    </row>
    <row r="580" spans="2:20" x14ac:dyDescent="0.35">
      <c r="B580" s="35"/>
      <c r="C580" s="74"/>
      <c r="D580" s="75"/>
      <c r="E580" s="75"/>
      <c r="F580" s="75"/>
      <c r="G580" s="76"/>
      <c r="H580" s="63"/>
      <c r="I580" s="63"/>
      <c r="J580" s="76"/>
      <c r="K580" s="76"/>
      <c r="L580" s="37"/>
      <c r="M580" s="37"/>
      <c r="N580" s="76"/>
      <c r="O580" s="76"/>
      <c r="P580" s="37"/>
      <c r="Q580" s="37"/>
      <c r="R580" s="76"/>
      <c r="S580" s="63"/>
      <c r="T580" s="76"/>
    </row>
    <row r="581" spans="2:20" x14ac:dyDescent="0.35">
      <c r="B581" s="35"/>
      <c r="C581" s="74"/>
      <c r="D581" s="75"/>
      <c r="E581" s="75"/>
      <c r="F581" s="75"/>
      <c r="G581" s="76"/>
      <c r="H581" s="63"/>
      <c r="I581" s="63"/>
      <c r="J581" s="76"/>
      <c r="K581" s="76"/>
      <c r="L581" s="37"/>
      <c r="M581" s="37"/>
      <c r="N581" s="76"/>
      <c r="O581" s="76"/>
      <c r="P581" s="37"/>
      <c r="Q581" s="37"/>
      <c r="R581" s="76"/>
      <c r="S581" s="63"/>
      <c r="T581" s="76"/>
    </row>
    <row r="582" spans="2:20" x14ac:dyDescent="0.35">
      <c r="B582" s="35"/>
      <c r="C582" s="74"/>
      <c r="D582" s="75"/>
      <c r="E582" s="75"/>
      <c r="F582" s="75"/>
      <c r="G582" s="76"/>
      <c r="H582" s="63"/>
      <c r="I582" s="63"/>
      <c r="J582" s="76"/>
      <c r="K582" s="76"/>
      <c r="L582" s="37"/>
      <c r="M582" s="37"/>
      <c r="N582" s="76"/>
      <c r="O582" s="76"/>
      <c r="P582" s="37"/>
      <c r="Q582" s="37"/>
      <c r="R582" s="76"/>
      <c r="S582" s="63"/>
      <c r="T582" s="76"/>
    </row>
    <row r="583" spans="2:20" x14ac:dyDescent="0.35">
      <c r="B583" s="35"/>
      <c r="C583" s="74"/>
      <c r="D583" s="75"/>
      <c r="E583" s="75"/>
      <c r="F583" s="75"/>
      <c r="G583" s="76"/>
      <c r="H583" s="63"/>
      <c r="I583" s="63"/>
      <c r="J583" s="76"/>
      <c r="K583" s="76"/>
      <c r="L583" s="37"/>
      <c r="M583" s="37"/>
      <c r="N583" s="76"/>
      <c r="O583" s="76"/>
      <c r="P583" s="37"/>
      <c r="Q583" s="37"/>
      <c r="R583" s="76"/>
      <c r="S583" s="63"/>
      <c r="T583" s="76"/>
    </row>
    <row r="584" spans="2:20" x14ac:dyDescent="0.35">
      <c r="B584" s="35"/>
      <c r="C584" s="74"/>
      <c r="D584" s="75"/>
      <c r="E584" s="75"/>
      <c r="F584" s="75"/>
      <c r="G584" s="76"/>
      <c r="H584" s="63"/>
      <c r="I584" s="63"/>
      <c r="J584" s="76"/>
      <c r="K584" s="76"/>
      <c r="L584" s="37"/>
      <c r="M584" s="37"/>
      <c r="N584" s="76"/>
      <c r="O584" s="76"/>
      <c r="P584" s="37"/>
      <c r="Q584" s="37"/>
      <c r="R584" s="76"/>
      <c r="S584" s="63"/>
      <c r="T584" s="76"/>
    </row>
    <row r="585" spans="2:20" x14ac:dyDescent="0.35">
      <c r="B585" s="35"/>
      <c r="C585" s="74"/>
      <c r="D585" s="75"/>
      <c r="E585" s="75"/>
      <c r="F585" s="75"/>
      <c r="G585" s="76"/>
      <c r="H585" s="63"/>
      <c r="I585" s="63"/>
      <c r="J585" s="76"/>
      <c r="K585" s="76"/>
      <c r="L585" s="37"/>
      <c r="M585" s="37"/>
      <c r="N585" s="76"/>
      <c r="O585" s="76"/>
      <c r="P585" s="37"/>
      <c r="Q585" s="37"/>
      <c r="R585" s="76"/>
      <c r="S585" s="63"/>
      <c r="T585" s="76"/>
    </row>
    <row r="586" spans="2:20" x14ac:dyDescent="0.35">
      <c r="B586" s="35"/>
      <c r="C586" s="74"/>
      <c r="D586" s="75"/>
      <c r="E586" s="75"/>
      <c r="F586" s="75"/>
      <c r="G586" s="76"/>
      <c r="H586" s="63"/>
      <c r="I586" s="63"/>
      <c r="J586" s="76"/>
      <c r="K586" s="76"/>
      <c r="L586" s="37"/>
      <c r="M586" s="37"/>
      <c r="N586" s="76"/>
      <c r="O586" s="76"/>
      <c r="P586" s="37"/>
      <c r="Q586" s="37"/>
      <c r="R586" s="76"/>
      <c r="S586" s="63"/>
      <c r="T586" s="76"/>
    </row>
    <row r="587" spans="2:20" x14ac:dyDescent="0.35">
      <c r="B587" s="35"/>
      <c r="C587" s="74"/>
      <c r="D587" s="75"/>
      <c r="E587" s="75"/>
      <c r="F587" s="75"/>
      <c r="G587" s="76"/>
      <c r="H587" s="63"/>
      <c r="I587" s="63"/>
      <c r="J587" s="76"/>
      <c r="K587" s="76"/>
      <c r="L587" s="37"/>
      <c r="M587" s="37"/>
      <c r="N587" s="76"/>
      <c r="O587" s="76"/>
      <c r="P587" s="37"/>
      <c r="Q587" s="37"/>
      <c r="R587" s="76"/>
      <c r="S587" s="63"/>
      <c r="T587" s="76"/>
    </row>
    <row r="588" spans="2:20" x14ac:dyDescent="0.35">
      <c r="B588" s="35"/>
      <c r="C588" s="74"/>
      <c r="D588" s="75"/>
      <c r="E588" s="75"/>
      <c r="F588" s="75"/>
      <c r="G588" s="76"/>
      <c r="H588" s="63"/>
      <c r="I588" s="63"/>
      <c r="J588" s="76"/>
      <c r="K588" s="76"/>
      <c r="L588" s="37"/>
      <c r="M588" s="37"/>
      <c r="N588" s="76"/>
      <c r="O588" s="76"/>
      <c r="P588" s="37"/>
      <c r="Q588" s="37"/>
      <c r="R588" s="76"/>
      <c r="S588" s="63"/>
      <c r="T588" s="76"/>
    </row>
    <row r="589" spans="2:20" x14ac:dyDescent="0.35">
      <c r="B589" s="35"/>
      <c r="C589" s="74"/>
      <c r="D589" s="75"/>
      <c r="E589" s="75"/>
      <c r="F589" s="75"/>
      <c r="G589" s="76"/>
      <c r="H589" s="63"/>
      <c r="I589" s="63"/>
      <c r="J589" s="76"/>
      <c r="K589" s="76"/>
      <c r="L589" s="37"/>
      <c r="M589" s="37"/>
      <c r="N589" s="76"/>
      <c r="O589" s="76"/>
      <c r="P589" s="37"/>
      <c r="Q589" s="37"/>
      <c r="R589" s="76"/>
      <c r="S589" s="63"/>
      <c r="T589" s="76"/>
    </row>
    <row r="590" spans="2:20" x14ac:dyDescent="0.35">
      <c r="B590" s="35"/>
      <c r="C590" s="74"/>
      <c r="D590" s="75"/>
      <c r="E590" s="75"/>
      <c r="F590" s="75"/>
      <c r="G590" s="76"/>
      <c r="H590" s="63"/>
      <c r="I590" s="63"/>
      <c r="J590" s="76"/>
      <c r="K590" s="76"/>
      <c r="L590" s="37"/>
      <c r="M590" s="37"/>
      <c r="N590" s="76"/>
      <c r="O590" s="76"/>
      <c r="P590" s="37"/>
      <c r="Q590" s="37"/>
      <c r="R590" s="76"/>
      <c r="S590" s="63"/>
      <c r="T590" s="76"/>
    </row>
    <row r="591" spans="2:20" x14ac:dyDescent="0.35">
      <c r="B591" s="35"/>
      <c r="C591" s="74"/>
      <c r="D591" s="75"/>
      <c r="E591" s="75"/>
      <c r="F591" s="75"/>
      <c r="G591" s="76"/>
      <c r="H591" s="63"/>
      <c r="I591" s="63"/>
      <c r="J591" s="76"/>
      <c r="K591" s="76"/>
      <c r="L591" s="37"/>
      <c r="M591" s="37"/>
      <c r="N591" s="76"/>
      <c r="O591" s="76"/>
      <c r="P591" s="37"/>
      <c r="Q591" s="37"/>
      <c r="R591" s="76"/>
      <c r="S591" s="63"/>
      <c r="T591" s="76"/>
    </row>
    <row r="592" spans="2:20" x14ac:dyDescent="0.35">
      <c r="B592" s="35"/>
      <c r="C592" s="74"/>
      <c r="D592" s="75"/>
      <c r="E592" s="75"/>
      <c r="F592" s="75"/>
      <c r="G592" s="76"/>
      <c r="H592" s="63"/>
      <c r="I592" s="63"/>
      <c r="J592" s="76"/>
      <c r="K592" s="76"/>
      <c r="L592" s="37"/>
      <c r="M592" s="37"/>
      <c r="N592" s="76"/>
      <c r="O592" s="76"/>
      <c r="P592" s="37"/>
      <c r="Q592" s="37"/>
      <c r="R592" s="76"/>
      <c r="S592" s="63"/>
      <c r="T592" s="76"/>
    </row>
    <row r="593" spans="2:20" x14ac:dyDescent="0.35">
      <c r="B593" s="35"/>
      <c r="C593" s="74"/>
      <c r="D593" s="75"/>
      <c r="E593" s="75"/>
      <c r="F593" s="75"/>
      <c r="G593" s="76"/>
      <c r="H593" s="63"/>
      <c r="I593" s="63"/>
      <c r="J593" s="76"/>
      <c r="K593" s="76"/>
      <c r="L593" s="37"/>
      <c r="M593" s="37"/>
      <c r="N593" s="76"/>
      <c r="O593" s="76"/>
      <c r="P593" s="37"/>
      <c r="Q593" s="37"/>
      <c r="R593" s="76"/>
      <c r="S593" s="63"/>
      <c r="T593" s="76"/>
    </row>
    <row r="594" spans="2:20" x14ac:dyDescent="0.35">
      <c r="B594" s="35"/>
      <c r="C594" s="74"/>
      <c r="D594" s="75"/>
      <c r="E594" s="75"/>
      <c r="F594" s="75"/>
      <c r="G594" s="76"/>
      <c r="H594" s="63"/>
      <c r="I594" s="63"/>
      <c r="J594" s="76"/>
      <c r="K594" s="76"/>
      <c r="L594" s="37"/>
      <c r="M594" s="37"/>
      <c r="N594" s="76"/>
      <c r="O594" s="76"/>
      <c r="P594" s="37"/>
      <c r="Q594" s="37"/>
      <c r="R594" s="76"/>
      <c r="S594" s="63"/>
      <c r="T594" s="76"/>
    </row>
    <row r="595" spans="2:20" x14ac:dyDescent="0.35">
      <c r="B595" s="35"/>
      <c r="C595" s="74"/>
      <c r="D595" s="75"/>
      <c r="E595" s="75"/>
      <c r="F595" s="75"/>
      <c r="G595" s="76"/>
      <c r="H595" s="63"/>
      <c r="I595" s="63"/>
      <c r="J595" s="76"/>
      <c r="K595" s="76"/>
      <c r="L595" s="37"/>
      <c r="M595" s="37"/>
      <c r="N595" s="76"/>
      <c r="O595" s="76"/>
      <c r="P595" s="37"/>
      <c r="Q595" s="37"/>
      <c r="R595" s="76"/>
      <c r="S595" s="63"/>
      <c r="T595" s="76"/>
    </row>
    <row r="596" spans="2:20" x14ac:dyDescent="0.35">
      <c r="B596" s="35"/>
      <c r="C596" s="74"/>
      <c r="D596" s="75"/>
      <c r="E596" s="75"/>
      <c r="F596" s="75"/>
      <c r="G596" s="76"/>
      <c r="H596" s="63"/>
      <c r="I596" s="63"/>
      <c r="J596" s="76"/>
      <c r="K596" s="76"/>
      <c r="L596" s="37"/>
      <c r="M596" s="37"/>
      <c r="N596" s="76"/>
      <c r="O596" s="76"/>
      <c r="P596" s="37"/>
      <c r="Q596" s="37"/>
      <c r="R596" s="76"/>
      <c r="S596" s="63"/>
      <c r="T596" s="76"/>
    </row>
    <row r="597" spans="2:20" x14ac:dyDescent="0.35">
      <c r="B597" s="35"/>
      <c r="C597" s="74"/>
      <c r="D597" s="75"/>
      <c r="E597" s="75"/>
      <c r="F597" s="75"/>
      <c r="G597" s="76"/>
      <c r="H597" s="63"/>
      <c r="I597" s="63"/>
      <c r="J597" s="76"/>
      <c r="K597" s="76"/>
      <c r="L597" s="37"/>
      <c r="M597" s="37"/>
      <c r="N597" s="76"/>
      <c r="O597" s="76"/>
      <c r="P597" s="37"/>
      <c r="Q597" s="37"/>
      <c r="R597" s="76"/>
      <c r="S597" s="63"/>
      <c r="T597" s="76"/>
    </row>
    <row r="598" spans="2:20" x14ac:dyDescent="0.35">
      <c r="B598" s="35"/>
      <c r="C598" s="74"/>
      <c r="D598" s="75"/>
      <c r="E598" s="75"/>
      <c r="F598" s="75"/>
      <c r="G598" s="76"/>
      <c r="H598" s="63"/>
      <c r="I598" s="63"/>
      <c r="J598" s="76"/>
      <c r="K598" s="76"/>
      <c r="L598" s="37"/>
      <c r="M598" s="37"/>
      <c r="N598" s="76"/>
      <c r="O598" s="76"/>
      <c r="P598" s="37"/>
      <c r="Q598" s="37"/>
      <c r="R598" s="76"/>
      <c r="S598" s="63"/>
      <c r="T598" s="76"/>
    </row>
    <row r="599" spans="2:20" x14ac:dyDescent="0.35">
      <c r="B599" s="35"/>
      <c r="C599" s="74"/>
      <c r="D599" s="75"/>
      <c r="E599" s="75"/>
      <c r="F599" s="75"/>
      <c r="G599" s="76"/>
      <c r="H599" s="63"/>
      <c r="I599" s="63"/>
      <c r="J599" s="76"/>
      <c r="K599" s="76"/>
      <c r="L599" s="37"/>
      <c r="M599" s="37"/>
      <c r="N599" s="76"/>
      <c r="O599" s="76"/>
      <c r="P599" s="37"/>
      <c r="Q599" s="37"/>
      <c r="R599" s="76"/>
      <c r="S599" s="63"/>
      <c r="T599" s="76"/>
    </row>
    <row r="600" spans="2:20" x14ac:dyDescent="0.35">
      <c r="B600" s="35"/>
      <c r="C600" s="74"/>
      <c r="D600" s="75"/>
      <c r="E600" s="75"/>
      <c r="F600" s="75"/>
      <c r="G600" s="76"/>
      <c r="H600" s="63"/>
      <c r="I600" s="63"/>
      <c r="J600" s="76"/>
      <c r="K600" s="76"/>
      <c r="L600" s="37"/>
      <c r="M600" s="37"/>
      <c r="N600" s="76"/>
      <c r="O600" s="76"/>
      <c r="P600" s="37"/>
      <c r="Q600" s="37"/>
      <c r="R600" s="76"/>
      <c r="S600" s="63"/>
      <c r="T600" s="76"/>
    </row>
    <row r="601" spans="2:20" x14ac:dyDescent="0.35">
      <c r="B601" s="35"/>
      <c r="C601" s="74"/>
      <c r="D601" s="75"/>
      <c r="E601" s="75"/>
      <c r="F601" s="75"/>
      <c r="G601" s="76"/>
      <c r="H601" s="63"/>
      <c r="I601" s="63"/>
      <c r="J601" s="76"/>
      <c r="K601" s="76"/>
      <c r="L601" s="37"/>
      <c r="M601" s="37"/>
      <c r="N601" s="76"/>
      <c r="O601" s="76"/>
      <c r="P601" s="37"/>
      <c r="Q601" s="37"/>
      <c r="R601" s="76"/>
      <c r="S601" s="63"/>
      <c r="T601" s="76"/>
    </row>
    <row r="602" spans="2:20" x14ac:dyDescent="0.35">
      <c r="B602" s="35"/>
      <c r="C602" s="74"/>
      <c r="D602" s="75"/>
      <c r="E602" s="75"/>
      <c r="F602" s="75"/>
      <c r="G602" s="76"/>
      <c r="H602" s="63"/>
      <c r="I602" s="63"/>
      <c r="J602" s="76"/>
      <c r="K602" s="76"/>
      <c r="L602" s="37"/>
      <c r="M602" s="37"/>
      <c r="N602" s="76"/>
      <c r="O602" s="76"/>
      <c r="P602" s="37"/>
      <c r="Q602" s="37"/>
      <c r="R602" s="76"/>
      <c r="S602" s="63"/>
      <c r="T602" s="76"/>
    </row>
    <row r="603" spans="2:20" x14ac:dyDescent="0.35">
      <c r="B603" s="35"/>
      <c r="C603" s="74"/>
      <c r="D603" s="75"/>
      <c r="E603" s="75"/>
      <c r="F603" s="75"/>
      <c r="G603" s="76"/>
      <c r="H603" s="63"/>
      <c r="I603" s="63"/>
      <c r="J603" s="76"/>
      <c r="K603" s="76"/>
      <c r="L603" s="37"/>
      <c r="M603" s="37"/>
      <c r="N603" s="76"/>
      <c r="O603" s="76"/>
      <c r="P603" s="37"/>
      <c r="Q603" s="37"/>
      <c r="R603" s="76"/>
      <c r="S603" s="63"/>
      <c r="T603" s="76"/>
    </row>
    <row r="604" spans="2:20" x14ac:dyDescent="0.35">
      <c r="B604" s="35"/>
      <c r="C604" s="74"/>
      <c r="D604" s="75"/>
      <c r="E604" s="75"/>
      <c r="F604" s="75"/>
      <c r="G604" s="76"/>
      <c r="H604" s="63"/>
      <c r="I604" s="63"/>
      <c r="J604" s="76"/>
      <c r="K604" s="76"/>
      <c r="L604" s="37"/>
      <c r="M604" s="37"/>
      <c r="N604" s="76"/>
      <c r="O604" s="76"/>
      <c r="P604" s="37"/>
      <c r="Q604" s="37"/>
      <c r="R604" s="76"/>
      <c r="S604" s="63"/>
      <c r="T604" s="76"/>
    </row>
    <row r="605" spans="2:20" x14ac:dyDescent="0.35">
      <c r="B605" s="35"/>
      <c r="C605" s="74"/>
      <c r="D605" s="75"/>
      <c r="E605" s="75"/>
      <c r="F605" s="75"/>
      <c r="G605" s="76"/>
      <c r="H605" s="63"/>
      <c r="I605" s="63"/>
      <c r="J605" s="76"/>
      <c r="K605" s="76"/>
      <c r="L605" s="37"/>
      <c r="M605" s="37"/>
      <c r="N605" s="76"/>
      <c r="O605" s="76"/>
      <c r="P605" s="37"/>
      <c r="Q605" s="37"/>
      <c r="R605" s="76"/>
      <c r="S605" s="63"/>
      <c r="T605" s="76"/>
    </row>
    <row r="606" spans="2:20" x14ac:dyDescent="0.35">
      <c r="B606" s="35"/>
      <c r="C606" s="74"/>
      <c r="D606" s="75"/>
      <c r="E606" s="75"/>
      <c r="F606" s="75"/>
      <c r="G606" s="76"/>
      <c r="H606" s="63"/>
      <c r="I606" s="63"/>
      <c r="J606" s="76"/>
      <c r="K606" s="76"/>
      <c r="L606" s="37"/>
      <c r="M606" s="37"/>
      <c r="N606" s="76"/>
      <c r="O606" s="76"/>
      <c r="P606" s="37"/>
      <c r="Q606" s="37"/>
      <c r="R606" s="76"/>
      <c r="S606" s="63"/>
      <c r="T606" s="76"/>
    </row>
    <row r="607" spans="2:20" x14ac:dyDescent="0.35">
      <c r="B607" s="35"/>
      <c r="C607" s="74"/>
      <c r="D607" s="75"/>
      <c r="E607" s="75"/>
      <c r="F607" s="75"/>
      <c r="G607" s="76"/>
      <c r="H607" s="63"/>
      <c r="I607" s="63"/>
      <c r="J607" s="76"/>
      <c r="K607" s="76"/>
      <c r="L607" s="37"/>
      <c r="M607" s="37"/>
      <c r="N607" s="76"/>
      <c r="O607" s="76"/>
      <c r="P607" s="37"/>
      <c r="Q607" s="37"/>
      <c r="R607" s="76"/>
      <c r="S607" s="63"/>
      <c r="T607" s="76"/>
    </row>
    <row r="608" spans="2:20" x14ac:dyDescent="0.35">
      <c r="B608" s="35"/>
      <c r="C608" s="74"/>
      <c r="D608" s="75"/>
      <c r="E608" s="75"/>
      <c r="F608" s="75"/>
      <c r="G608" s="76"/>
      <c r="H608" s="63"/>
      <c r="I608" s="63"/>
      <c r="J608" s="76"/>
      <c r="K608" s="76"/>
      <c r="L608" s="37"/>
      <c r="M608" s="37"/>
      <c r="N608" s="76"/>
      <c r="O608" s="76"/>
      <c r="P608" s="37"/>
      <c r="Q608" s="37"/>
      <c r="R608" s="76"/>
      <c r="S608" s="63"/>
      <c r="T608" s="76"/>
    </row>
    <row r="609" spans="2:20" x14ac:dyDescent="0.35">
      <c r="B609" s="35"/>
      <c r="C609" s="74"/>
      <c r="D609" s="75"/>
      <c r="E609" s="75"/>
      <c r="F609" s="75"/>
      <c r="G609" s="76"/>
      <c r="H609" s="63"/>
      <c r="I609" s="63"/>
      <c r="J609" s="76"/>
      <c r="K609" s="76"/>
      <c r="L609" s="37"/>
      <c r="M609" s="37"/>
      <c r="N609" s="76"/>
      <c r="O609" s="76"/>
      <c r="P609" s="37"/>
      <c r="Q609" s="37"/>
      <c r="R609" s="76"/>
      <c r="S609" s="63"/>
      <c r="T609" s="76"/>
    </row>
    <row r="610" spans="2:20" x14ac:dyDescent="0.35">
      <c r="B610" s="35"/>
      <c r="C610" s="74"/>
      <c r="D610" s="75"/>
      <c r="E610" s="75"/>
      <c r="F610" s="75"/>
      <c r="G610" s="76"/>
      <c r="H610" s="63"/>
      <c r="I610" s="63"/>
      <c r="J610" s="76"/>
      <c r="K610" s="76"/>
      <c r="L610" s="37"/>
      <c r="M610" s="37"/>
      <c r="N610" s="76"/>
      <c r="O610" s="76"/>
      <c r="P610" s="37"/>
      <c r="Q610" s="37"/>
      <c r="R610" s="76"/>
      <c r="S610" s="63"/>
      <c r="T610" s="76"/>
    </row>
    <row r="611" spans="2:20" x14ac:dyDescent="0.35">
      <c r="B611" s="35"/>
      <c r="C611" s="74"/>
      <c r="D611" s="75"/>
      <c r="E611" s="75"/>
      <c r="F611" s="75"/>
      <c r="G611" s="76"/>
      <c r="H611" s="63"/>
      <c r="I611" s="63"/>
      <c r="J611" s="76"/>
      <c r="K611" s="76"/>
      <c r="L611" s="37"/>
      <c r="M611" s="37"/>
      <c r="N611" s="76"/>
      <c r="O611" s="76"/>
      <c r="P611" s="37"/>
      <c r="Q611" s="37"/>
      <c r="R611" s="76"/>
      <c r="S611" s="63"/>
      <c r="T611" s="76"/>
    </row>
    <row r="612" spans="2:20" x14ac:dyDescent="0.35">
      <c r="B612" s="35"/>
      <c r="C612" s="74"/>
      <c r="D612" s="75"/>
      <c r="E612" s="75"/>
      <c r="F612" s="75"/>
      <c r="G612" s="76"/>
      <c r="H612" s="63"/>
      <c r="I612" s="63"/>
      <c r="J612" s="76"/>
      <c r="K612" s="76"/>
      <c r="L612" s="37"/>
      <c r="M612" s="37"/>
      <c r="N612" s="76"/>
      <c r="O612" s="76"/>
      <c r="P612" s="37"/>
      <c r="Q612" s="37"/>
      <c r="R612" s="76"/>
      <c r="S612" s="63"/>
      <c r="T612" s="76"/>
    </row>
    <row r="613" spans="2:20" x14ac:dyDescent="0.35">
      <c r="B613" s="35"/>
      <c r="C613" s="74"/>
      <c r="D613" s="75"/>
      <c r="E613" s="75"/>
      <c r="F613" s="75"/>
      <c r="G613" s="76"/>
      <c r="H613" s="63"/>
      <c r="I613" s="63"/>
      <c r="J613" s="76"/>
      <c r="K613" s="76"/>
      <c r="L613" s="37"/>
      <c r="M613" s="37"/>
      <c r="N613" s="76"/>
      <c r="O613" s="76"/>
      <c r="P613" s="37"/>
      <c r="Q613" s="37"/>
      <c r="R613" s="76"/>
      <c r="S613" s="63"/>
      <c r="T613" s="76"/>
    </row>
    <row r="614" spans="2:20" x14ac:dyDescent="0.35">
      <c r="B614" s="35"/>
      <c r="C614" s="74"/>
      <c r="D614" s="75"/>
      <c r="E614" s="75"/>
      <c r="F614" s="75"/>
      <c r="G614" s="76"/>
      <c r="H614" s="63"/>
      <c r="I614" s="63"/>
      <c r="J614" s="76"/>
      <c r="K614" s="76"/>
      <c r="L614" s="37"/>
      <c r="M614" s="37"/>
      <c r="N614" s="76"/>
      <c r="O614" s="76"/>
      <c r="P614" s="37"/>
      <c r="Q614" s="37"/>
      <c r="R614" s="76"/>
      <c r="S614" s="63"/>
      <c r="T614" s="76"/>
    </row>
    <row r="615" spans="2:20" x14ac:dyDescent="0.35">
      <c r="B615" s="35"/>
      <c r="C615" s="74"/>
      <c r="D615" s="75"/>
      <c r="E615" s="75"/>
      <c r="F615" s="75"/>
      <c r="G615" s="76"/>
      <c r="H615" s="63"/>
      <c r="I615" s="63"/>
      <c r="J615" s="76"/>
      <c r="K615" s="76"/>
      <c r="L615" s="37"/>
      <c r="M615" s="37"/>
      <c r="N615" s="76"/>
      <c r="O615" s="76"/>
      <c r="P615" s="37"/>
      <c r="Q615" s="37"/>
      <c r="R615" s="76"/>
      <c r="S615" s="63"/>
      <c r="T615" s="76"/>
    </row>
    <row r="616" spans="2:20" x14ac:dyDescent="0.35">
      <c r="B616" s="35"/>
      <c r="C616" s="74"/>
      <c r="D616" s="75"/>
      <c r="E616" s="75"/>
      <c r="F616" s="75"/>
      <c r="G616" s="76"/>
      <c r="H616" s="63"/>
      <c r="I616" s="63"/>
      <c r="J616" s="76"/>
      <c r="K616" s="76"/>
      <c r="L616" s="37"/>
      <c r="M616" s="37"/>
      <c r="N616" s="76"/>
      <c r="O616" s="76"/>
      <c r="P616" s="37"/>
      <c r="Q616" s="37"/>
      <c r="R616" s="76"/>
      <c r="S616" s="63"/>
      <c r="T616" s="76"/>
    </row>
    <row r="617" spans="2:20" x14ac:dyDescent="0.35">
      <c r="B617" s="35"/>
      <c r="C617" s="74"/>
      <c r="D617" s="75"/>
      <c r="E617" s="75"/>
      <c r="F617" s="75"/>
      <c r="G617" s="76"/>
      <c r="H617" s="63"/>
      <c r="I617" s="63"/>
      <c r="J617" s="76"/>
      <c r="K617" s="76"/>
      <c r="L617" s="37"/>
      <c r="M617" s="37"/>
      <c r="N617" s="76"/>
      <c r="O617" s="76"/>
      <c r="P617" s="37"/>
      <c r="Q617" s="37"/>
      <c r="R617" s="76"/>
      <c r="S617" s="63"/>
      <c r="T617" s="76"/>
    </row>
    <row r="618" spans="2:20" x14ac:dyDescent="0.35">
      <c r="B618" s="35"/>
      <c r="C618" s="74"/>
      <c r="D618" s="75"/>
      <c r="E618" s="75"/>
      <c r="F618" s="75"/>
      <c r="G618" s="76"/>
      <c r="H618" s="63"/>
      <c r="I618" s="63"/>
      <c r="J618" s="76"/>
      <c r="K618" s="76"/>
      <c r="L618" s="37"/>
      <c r="M618" s="37"/>
      <c r="N618" s="76"/>
      <c r="O618" s="76"/>
      <c r="P618" s="37"/>
      <c r="Q618" s="37"/>
      <c r="R618" s="76"/>
      <c r="S618" s="63"/>
      <c r="T618" s="76"/>
    </row>
    <row r="619" spans="2:20" x14ac:dyDescent="0.35">
      <c r="B619" s="35"/>
      <c r="C619" s="74"/>
      <c r="D619" s="75"/>
      <c r="E619" s="75"/>
      <c r="F619" s="75"/>
      <c r="G619" s="76"/>
      <c r="H619" s="63"/>
      <c r="I619" s="63"/>
      <c r="J619" s="76"/>
      <c r="K619" s="76"/>
      <c r="L619" s="37"/>
      <c r="M619" s="37"/>
      <c r="N619" s="76"/>
      <c r="O619" s="76"/>
      <c r="P619" s="37"/>
      <c r="Q619" s="37"/>
      <c r="R619" s="76"/>
      <c r="S619" s="63"/>
      <c r="T619" s="76"/>
    </row>
    <row r="620" spans="2:20" x14ac:dyDescent="0.35">
      <c r="B620" s="35"/>
      <c r="C620" s="74"/>
      <c r="D620" s="75"/>
      <c r="E620" s="75"/>
      <c r="F620" s="75"/>
      <c r="G620" s="76"/>
      <c r="H620" s="63"/>
      <c r="I620" s="63"/>
      <c r="J620" s="76"/>
      <c r="K620" s="76"/>
      <c r="L620" s="37"/>
      <c r="M620" s="37"/>
      <c r="N620" s="76"/>
      <c r="O620" s="76"/>
      <c r="P620" s="37"/>
      <c r="Q620" s="37"/>
      <c r="R620" s="76"/>
      <c r="S620" s="63"/>
      <c r="T620" s="76"/>
    </row>
    <row r="621" spans="2:20" x14ac:dyDescent="0.35">
      <c r="B621" s="35"/>
      <c r="C621" s="74"/>
      <c r="D621" s="75"/>
      <c r="E621" s="75"/>
      <c r="F621" s="75"/>
      <c r="G621" s="76"/>
      <c r="H621" s="63"/>
      <c r="I621" s="63"/>
      <c r="J621" s="76"/>
      <c r="K621" s="76"/>
      <c r="L621" s="37"/>
      <c r="M621" s="37"/>
      <c r="N621" s="76"/>
      <c r="O621" s="76"/>
      <c r="P621" s="37"/>
      <c r="Q621" s="37"/>
      <c r="R621" s="76"/>
      <c r="S621" s="63"/>
      <c r="T621" s="76"/>
    </row>
    <row r="622" spans="2:20" x14ac:dyDescent="0.35">
      <c r="B622" s="35"/>
      <c r="C622" s="74"/>
      <c r="D622" s="75"/>
      <c r="E622" s="75"/>
      <c r="F622" s="75"/>
      <c r="G622" s="76"/>
      <c r="H622" s="63"/>
      <c r="I622" s="63"/>
      <c r="J622" s="76"/>
      <c r="K622" s="76"/>
      <c r="L622" s="37"/>
      <c r="M622" s="37"/>
      <c r="N622" s="76"/>
      <c r="O622" s="76"/>
      <c r="P622" s="37"/>
      <c r="Q622" s="37"/>
      <c r="R622" s="76"/>
      <c r="S622" s="63"/>
      <c r="T622" s="76"/>
    </row>
    <row r="623" spans="2:20" x14ac:dyDescent="0.35">
      <c r="B623" s="35"/>
      <c r="C623" s="74"/>
      <c r="D623" s="75"/>
      <c r="E623" s="75"/>
      <c r="F623" s="75"/>
      <c r="G623" s="76"/>
      <c r="H623" s="63"/>
      <c r="I623" s="63"/>
      <c r="J623" s="76"/>
      <c r="K623" s="76"/>
      <c r="L623" s="37"/>
      <c r="M623" s="37"/>
      <c r="N623" s="76"/>
      <c r="O623" s="76"/>
      <c r="P623" s="37"/>
      <c r="Q623" s="37"/>
      <c r="R623" s="76"/>
      <c r="S623" s="63"/>
      <c r="T623" s="76"/>
    </row>
    <row r="624" spans="2:20" x14ac:dyDescent="0.35">
      <c r="B624" s="35"/>
      <c r="C624" s="74"/>
      <c r="D624" s="75"/>
      <c r="E624" s="75"/>
      <c r="F624" s="75"/>
      <c r="G624" s="76"/>
      <c r="H624" s="63"/>
      <c r="I624" s="63"/>
      <c r="J624" s="76"/>
      <c r="K624" s="76"/>
      <c r="L624" s="37"/>
      <c r="M624" s="37"/>
      <c r="N624" s="76"/>
      <c r="O624" s="76"/>
      <c r="P624" s="37"/>
      <c r="Q624" s="37"/>
      <c r="R624" s="76"/>
      <c r="S624" s="63"/>
      <c r="T624" s="76"/>
    </row>
    <row r="625" spans="2:20" x14ac:dyDescent="0.35">
      <c r="B625" s="35"/>
      <c r="C625" s="74"/>
      <c r="D625" s="75"/>
      <c r="E625" s="75"/>
      <c r="F625" s="75"/>
      <c r="G625" s="76"/>
      <c r="H625" s="63"/>
      <c r="I625" s="63"/>
      <c r="J625" s="76"/>
      <c r="K625" s="76"/>
      <c r="L625" s="37"/>
      <c r="M625" s="37"/>
      <c r="N625" s="76"/>
      <c r="O625" s="76"/>
      <c r="P625" s="37"/>
      <c r="Q625" s="37"/>
      <c r="R625" s="76"/>
      <c r="S625" s="63"/>
      <c r="T625" s="76"/>
    </row>
    <row r="626" spans="2:20" x14ac:dyDescent="0.35">
      <c r="B626" s="35"/>
      <c r="C626" s="74"/>
      <c r="D626" s="75"/>
      <c r="E626" s="75"/>
      <c r="F626" s="75"/>
      <c r="G626" s="76"/>
      <c r="H626" s="63"/>
      <c r="I626" s="63"/>
      <c r="J626" s="76"/>
      <c r="K626" s="76"/>
      <c r="L626" s="37"/>
      <c r="M626" s="37"/>
      <c r="N626" s="76"/>
      <c r="O626" s="76"/>
      <c r="P626" s="37"/>
      <c r="Q626" s="37"/>
      <c r="R626" s="76"/>
      <c r="S626" s="63"/>
      <c r="T626" s="76"/>
    </row>
    <row r="627" spans="2:20" x14ac:dyDescent="0.35">
      <c r="B627" s="35"/>
      <c r="C627" s="74"/>
      <c r="D627" s="75"/>
      <c r="E627" s="75"/>
      <c r="F627" s="75"/>
      <c r="G627" s="76"/>
      <c r="H627" s="63"/>
      <c r="I627" s="63"/>
      <c r="J627" s="76"/>
      <c r="K627" s="76"/>
      <c r="L627" s="37"/>
      <c r="M627" s="37"/>
      <c r="N627" s="76"/>
      <c r="O627" s="76"/>
      <c r="P627" s="37"/>
      <c r="Q627" s="37"/>
      <c r="R627" s="76"/>
      <c r="S627" s="63"/>
      <c r="T627" s="76"/>
    </row>
    <row r="628" spans="2:20" x14ac:dyDescent="0.35">
      <c r="B628" s="35"/>
      <c r="C628" s="74"/>
      <c r="D628" s="75"/>
      <c r="E628" s="75"/>
      <c r="F628" s="75"/>
      <c r="G628" s="76"/>
      <c r="H628" s="63"/>
      <c r="I628" s="63"/>
      <c r="J628" s="76"/>
      <c r="K628" s="76"/>
      <c r="L628" s="37"/>
      <c r="M628" s="37"/>
      <c r="N628" s="76"/>
      <c r="O628" s="76"/>
      <c r="P628" s="37"/>
      <c r="Q628" s="37"/>
      <c r="R628" s="76"/>
      <c r="S628" s="63"/>
      <c r="T628" s="76"/>
    </row>
    <row r="629" spans="2:20" x14ac:dyDescent="0.35">
      <c r="B629" s="35"/>
      <c r="C629" s="74"/>
      <c r="D629" s="75"/>
      <c r="E629" s="75"/>
      <c r="F629" s="75"/>
      <c r="G629" s="76"/>
      <c r="H629" s="63"/>
      <c r="I629" s="63"/>
      <c r="J629" s="76"/>
      <c r="K629" s="76"/>
      <c r="L629" s="37"/>
      <c r="M629" s="37"/>
      <c r="N629" s="76"/>
      <c r="O629" s="76"/>
      <c r="P629" s="37"/>
      <c r="Q629" s="37"/>
      <c r="R629" s="76"/>
      <c r="S629" s="63"/>
      <c r="T629" s="76"/>
    </row>
    <row r="630" spans="2:20" x14ac:dyDescent="0.35">
      <c r="B630" s="35"/>
      <c r="C630" s="74"/>
      <c r="D630" s="75"/>
      <c r="E630" s="75"/>
      <c r="F630" s="75"/>
      <c r="G630" s="76"/>
      <c r="H630" s="63"/>
      <c r="I630" s="63"/>
      <c r="J630" s="76"/>
      <c r="K630" s="76"/>
      <c r="L630" s="37"/>
      <c r="M630" s="37"/>
      <c r="N630" s="76"/>
      <c r="O630" s="76"/>
      <c r="P630" s="37"/>
      <c r="Q630" s="37"/>
      <c r="R630" s="76"/>
      <c r="S630" s="63"/>
      <c r="T630" s="76"/>
    </row>
    <row r="631" spans="2:20" x14ac:dyDescent="0.35">
      <c r="B631" s="35"/>
      <c r="C631" s="74"/>
      <c r="D631" s="75"/>
      <c r="E631" s="75"/>
      <c r="F631" s="75"/>
      <c r="G631" s="76"/>
      <c r="H631" s="63"/>
      <c r="I631" s="63"/>
      <c r="J631" s="76"/>
      <c r="K631" s="76"/>
      <c r="L631" s="37"/>
      <c r="M631" s="37"/>
      <c r="N631" s="76"/>
      <c r="O631" s="76"/>
      <c r="P631" s="37"/>
      <c r="Q631" s="37"/>
      <c r="R631" s="76"/>
      <c r="S631" s="63"/>
      <c r="T631" s="76"/>
    </row>
    <row r="632" spans="2:20" x14ac:dyDescent="0.35">
      <c r="B632" s="35"/>
      <c r="C632" s="74"/>
      <c r="D632" s="75"/>
      <c r="E632" s="75"/>
      <c r="F632" s="75"/>
      <c r="G632" s="76"/>
      <c r="H632" s="63"/>
      <c r="I632" s="63"/>
      <c r="J632" s="76"/>
      <c r="K632" s="76"/>
      <c r="L632" s="37"/>
      <c r="M632" s="37"/>
      <c r="N632" s="76"/>
      <c r="O632" s="76"/>
      <c r="P632" s="37"/>
      <c r="Q632" s="37"/>
      <c r="R632" s="76"/>
      <c r="S632" s="63"/>
      <c r="T632" s="76"/>
    </row>
    <row r="633" spans="2:20" x14ac:dyDescent="0.35">
      <c r="B633" s="35"/>
      <c r="C633" s="74"/>
      <c r="D633" s="75"/>
      <c r="E633" s="75"/>
      <c r="F633" s="75"/>
      <c r="G633" s="76"/>
      <c r="H633" s="63"/>
      <c r="I633" s="63"/>
      <c r="J633" s="76"/>
      <c r="K633" s="76"/>
      <c r="L633" s="37"/>
      <c r="M633" s="37"/>
      <c r="N633" s="76"/>
      <c r="O633" s="76"/>
      <c r="P633" s="37"/>
      <c r="Q633" s="37"/>
      <c r="R633" s="76"/>
      <c r="S633" s="63"/>
      <c r="T633" s="76"/>
    </row>
    <row r="634" spans="2:20" x14ac:dyDescent="0.35">
      <c r="B634" s="35"/>
      <c r="C634" s="74"/>
      <c r="D634" s="75"/>
      <c r="E634" s="75"/>
      <c r="F634" s="75"/>
      <c r="G634" s="76"/>
      <c r="H634" s="63"/>
      <c r="I634" s="63"/>
      <c r="J634" s="76"/>
      <c r="K634" s="76"/>
      <c r="L634" s="37"/>
      <c r="M634" s="37"/>
      <c r="N634" s="76"/>
      <c r="O634" s="76"/>
      <c r="P634" s="37"/>
      <c r="Q634" s="37"/>
      <c r="R634" s="76"/>
      <c r="S634" s="63"/>
      <c r="T634" s="76"/>
    </row>
    <row r="635" spans="2:20" x14ac:dyDescent="0.35">
      <c r="B635" s="35"/>
      <c r="C635" s="74"/>
      <c r="D635" s="75"/>
      <c r="E635" s="75"/>
      <c r="F635" s="75"/>
      <c r="G635" s="76"/>
      <c r="H635" s="63"/>
      <c r="I635" s="63"/>
      <c r="J635" s="76"/>
      <c r="K635" s="76"/>
      <c r="L635" s="37"/>
      <c r="M635" s="37"/>
      <c r="N635" s="76"/>
      <c r="O635" s="76"/>
      <c r="P635" s="37"/>
      <c r="Q635" s="37"/>
      <c r="R635" s="76"/>
      <c r="S635" s="63"/>
      <c r="T635" s="76"/>
    </row>
    <row r="636" spans="2:20" x14ac:dyDescent="0.35">
      <c r="B636" s="35"/>
      <c r="C636" s="74"/>
      <c r="D636" s="75"/>
      <c r="E636" s="75"/>
      <c r="F636" s="75"/>
      <c r="G636" s="76"/>
      <c r="H636" s="63"/>
      <c r="I636" s="63"/>
      <c r="J636" s="76"/>
      <c r="K636" s="76"/>
      <c r="L636" s="37"/>
      <c r="M636" s="37"/>
      <c r="N636" s="76"/>
      <c r="O636" s="76"/>
      <c r="P636" s="37"/>
      <c r="Q636" s="37"/>
      <c r="R636" s="76"/>
      <c r="S636" s="63"/>
      <c r="T636" s="76"/>
    </row>
    <row r="637" spans="2:20" x14ac:dyDescent="0.35">
      <c r="B637" s="35"/>
      <c r="C637" s="74"/>
      <c r="D637" s="75"/>
      <c r="E637" s="75"/>
      <c r="F637" s="75"/>
      <c r="G637" s="76"/>
      <c r="H637" s="63"/>
      <c r="I637" s="63"/>
      <c r="J637" s="76"/>
      <c r="K637" s="76"/>
      <c r="L637" s="37"/>
      <c r="M637" s="37"/>
      <c r="N637" s="76"/>
      <c r="O637" s="76"/>
      <c r="P637" s="37"/>
      <c r="Q637" s="37"/>
      <c r="R637" s="76"/>
      <c r="S637" s="63"/>
      <c r="T637" s="76"/>
    </row>
    <row r="638" spans="2:20" x14ac:dyDescent="0.35">
      <c r="B638" s="35"/>
      <c r="C638" s="74"/>
      <c r="D638" s="75"/>
      <c r="E638" s="75"/>
      <c r="F638" s="75"/>
      <c r="G638" s="76"/>
      <c r="H638" s="63"/>
      <c r="I638" s="63"/>
      <c r="J638" s="76"/>
      <c r="K638" s="76"/>
      <c r="L638" s="37"/>
      <c r="M638" s="37"/>
      <c r="N638" s="76"/>
      <c r="O638" s="76"/>
      <c r="P638" s="37"/>
      <c r="Q638" s="37"/>
      <c r="R638" s="76"/>
      <c r="S638" s="63"/>
      <c r="T638" s="76"/>
    </row>
    <row r="639" spans="2:20" x14ac:dyDescent="0.35">
      <c r="B639" s="35"/>
      <c r="C639" s="74"/>
      <c r="D639" s="75"/>
      <c r="E639" s="75"/>
      <c r="F639" s="75"/>
      <c r="G639" s="76"/>
      <c r="H639" s="63"/>
      <c r="I639" s="63"/>
      <c r="J639" s="76"/>
      <c r="K639" s="76"/>
      <c r="L639" s="37"/>
      <c r="M639" s="37"/>
      <c r="N639" s="76"/>
      <c r="O639" s="76"/>
      <c r="P639" s="37"/>
      <c r="Q639" s="37"/>
      <c r="R639" s="76"/>
      <c r="S639" s="63"/>
      <c r="T639" s="76"/>
    </row>
    <row r="640" spans="2:20" x14ac:dyDescent="0.35">
      <c r="B640" s="35"/>
      <c r="C640" s="74"/>
      <c r="D640" s="75"/>
      <c r="E640" s="75"/>
      <c r="F640" s="75"/>
      <c r="G640" s="76"/>
      <c r="H640" s="63"/>
      <c r="I640" s="63"/>
      <c r="J640" s="76"/>
      <c r="K640" s="76"/>
      <c r="L640" s="37"/>
      <c r="M640" s="37"/>
      <c r="N640" s="76"/>
      <c r="O640" s="76"/>
      <c r="P640" s="37"/>
      <c r="Q640" s="37"/>
      <c r="R640" s="76"/>
      <c r="S640" s="63"/>
      <c r="T640" s="76"/>
    </row>
    <row r="641" spans="2:20" x14ac:dyDescent="0.35">
      <c r="B641" s="35"/>
      <c r="C641" s="74"/>
      <c r="D641" s="75"/>
      <c r="E641" s="75"/>
      <c r="F641" s="75"/>
      <c r="G641" s="76"/>
      <c r="H641" s="63"/>
      <c r="I641" s="63"/>
      <c r="J641" s="76"/>
      <c r="K641" s="76"/>
      <c r="L641" s="37"/>
      <c r="M641" s="37"/>
      <c r="N641" s="76"/>
      <c r="O641" s="76"/>
      <c r="P641" s="37"/>
      <c r="Q641" s="37"/>
      <c r="R641" s="76"/>
      <c r="S641" s="63"/>
      <c r="T641" s="76"/>
    </row>
    <row r="642" spans="2:20" x14ac:dyDescent="0.35">
      <c r="B642" s="35"/>
      <c r="C642" s="74"/>
      <c r="D642" s="75"/>
      <c r="E642" s="75"/>
      <c r="F642" s="75"/>
      <c r="G642" s="76"/>
      <c r="H642" s="63"/>
      <c r="I642" s="63"/>
      <c r="J642" s="76"/>
      <c r="K642" s="76"/>
      <c r="L642" s="37"/>
      <c r="M642" s="37"/>
      <c r="N642" s="76"/>
      <c r="O642" s="76"/>
      <c r="P642" s="37"/>
      <c r="Q642" s="37"/>
      <c r="R642" s="76"/>
      <c r="S642" s="63"/>
      <c r="T642" s="76"/>
    </row>
    <row r="643" spans="2:20" x14ac:dyDescent="0.35">
      <c r="B643" s="35"/>
      <c r="C643" s="74"/>
      <c r="D643" s="75"/>
      <c r="E643" s="75"/>
      <c r="F643" s="75"/>
      <c r="G643" s="76"/>
      <c r="H643" s="63"/>
      <c r="I643" s="63"/>
      <c r="J643" s="76"/>
      <c r="K643" s="76"/>
      <c r="L643" s="37"/>
      <c r="M643" s="37"/>
      <c r="N643" s="76"/>
      <c r="O643" s="76"/>
      <c r="P643" s="37"/>
      <c r="Q643" s="37"/>
      <c r="R643" s="76"/>
      <c r="S643" s="63"/>
      <c r="T643" s="76"/>
    </row>
    <row r="644" spans="2:20" x14ac:dyDescent="0.35">
      <c r="B644" s="35"/>
      <c r="C644" s="74"/>
      <c r="D644" s="75"/>
      <c r="E644" s="75"/>
      <c r="F644" s="75"/>
      <c r="G644" s="76"/>
      <c r="H644" s="63"/>
      <c r="I644" s="63"/>
      <c r="J644" s="76"/>
      <c r="K644" s="76"/>
      <c r="L644" s="37"/>
      <c r="M644" s="37"/>
      <c r="N644" s="76"/>
      <c r="O644" s="76"/>
      <c r="P644" s="37"/>
      <c r="Q644" s="37"/>
      <c r="R644" s="76"/>
      <c r="S644" s="63"/>
      <c r="T644" s="76"/>
    </row>
    <row r="645" spans="2:20" x14ac:dyDescent="0.35">
      <c r="B645" s="35"/>
      <c r="C645" s="74"/>
      <c r="D645" s="75"/>
      <c r="E645" s="75"/>
      <c r="F645" s="75"/>
      <c r="G645" s="76"/>
      <c r="H645" s="63"/>
      <c r="I645" s="63"/>
      <c r="J645" s="76"/>
      <c r="K645" s="76"/>
      <c r="L645" s="37"/>
      <c r="M645" s="37"/>
      <c r="N645" s="76"/>
      <c r="O645" s="76"/>
      <c r="P645" s="37"/>
      <c r="Q645" s="37"/>
      <c r="R645" s="76"/>
      <c r="S645" s="63"/>
      <c r="T645" s="76"/>
    </row>
    <row r="646" spans="2:20" x14ac:dyDescent="0.35">
      <c r="B646" s="35"/>
      <c r="C646" s="74"/>
      <c r="D646" s="75"/>
      <c r="E646" s="75"/>
      <c r="F646" s="75"/>
      <c r="G646" s="76"/>
      <c r="H646" s="63"/>
      <c r="I646" s="63"/>
      <c r="J646" s="76"/>
      <c r="K646" s="76"/>
      <c r="L646" s="37"/>
      <c r="M646" s="37"/>
      <c r="N646" s="76"/>
      <c r="O646" s="76"/>
      <c r="P646" s="37"/>
      <c r="Q646" s="37"/>
      <c r="R646" s="76"/>
      <c r="S646" s="63"/>
      <c r="T646" s="76"/>
    </row>
    <row r="647" spans="2:20" x14ac:dyDescent="0.35">
      <c r="B647" s="35"/>
      <c r="C647" s="74"/>
      <c r="D647" s="75"/>
      <c r="E647" s="75"/>
      <c r="F647" s="75"/>
      <c r="G647" s="76"/>
      <c r="H647" s="63"/>
      <c r="I647" s="63"/>
      <c r="J647" s="76"/>
      <c r="K647" s="76"/>
      <c r="L647" s="37"/>
      <c r="M647" s="37"/>
      <c r="N647" s="76"/>
      <c r="O647" s="76"/>
      <c r="P647" s="37"/>
      <c r="Q647" s="37"/>
      <c r="R647" s="76"/>
      <c r="S647" s="63"/>
      <c r="T647" s="76"/>
    </row>
    <row r="648" spans="2:20" x14ac:dyDescent="0.35">
      <c r="B648" s="35"/>
      <c r="C648" s="74"/>
      <c r="D648" s="75"/>
      <c r="E648" s="75"/>
      <c r="F648" s="75"/>
      <c r="G648" s="76"/>
      <c r="H648" s="63"/>
      <c r="I648" s="63"/>
      <c r="J648" s="76"/>
      <c r="K648" s="76"/>
      <c r="L648" s="37"/>
      <c r="M648" s="37"/>
      <c r="N648" s="76"/>
      <c r="O648" s="76"/>
      <c r="P648" s="37"/>
      <c r="Q648" s="37"/>
      <c r="R648" s="76"/>
      <c r="S648" s="63"/>
      <c r="T648" s="76"/>
    </row>
    <row r="649" spans="2:20" x14ac:dyDescent="0.35">
      <c r="B649" s="35"/>
      <c r="C649" s="74"/>
      <c r="D649" s="75"/>
      <c r="E649" s="75"/>
      <c r="F649" s="75"/>
      <c r="G649" s="76"/>
      <c r="H649" s="63"/>
      <c r="I649" s="63"/>
      <c r="J649" s="76"/>
      <c r="K649" s="76"/>
      <c r="L649" s="37"/>
      <c r="M649" s="37"/>
      <c r="N649" s="76"/>
      <c r="O649" s="76"/>
      <c r="P649" s="37"/>
      <c r="Q649" s="37"/>
      <c r="R649" s="76"/>
      <c r="S649" s="63"/>
      <c r="T649" s="76"/>
    </row>
    <row r="650" spans="2:20" x14ac:dyDescent="0.35">
      <c r="B650" s="35"/>
      <c r="C650" s="74"/>
      <c r="D650" s="75"/>
      <c r="E650" s="75"/>
      <c r="F650" s="75"/>
      <c r="G650" s="76"/>
      <c r="H650" s="63"/>
      <c r="I650" s="63"/>
      <c r="J650" s="76"/>
      <c r="K650" s="76"/>
      <c r="L650" s="37"/>
      <c r="M650" s="37"/>
      <c r="N650" s="76"/>
      <c r="O650" s="76"/>
      <c r="P650" s="37"/>
      <c r="Q650" s="37"/>
      <c r="R650" s="76"/>
      <c r="S650" s="63"/>
      <c r="T650" s="76"/>
    </row>
    <row r="651" spans="2:20" x14ac:dyDescent="0.35">
      <c r="B651" s="35"/>
      <c r="C651" s="74"/>
      <c r="D651" s="75"/>
      <c r="E651" s="75"/>
      <c r="F651" s="75"/>
      <c r="G651" s="76"/>
      <c r="H651" s="63"/>
      <c r="I651" s="63"/>
      <c r="J651" s="76"/>
      <c r="K651" s="76"/>
      <c r="L651" s="37"/>
      <c r="M651" s="37"/>
      <c r="N651" s="76"/>
      <c r="O651" s="76"/>
      <c r="P651" s="37"/>
      <c r="Q651" s="37"/>
      <c r="R651" s="76"/>
      <c r="S651" s="63"/>
      <c r="T651" s="76"/>
    </row>
    <row r="652" spans="2:20" x14ac:dyDescent="0.35">
      <c r="B652" s="35"/>
      <c r="C652" s="74"/>
      <c r="D652" s="75"/>
      <c r="E652" s="75"/>
      <c r="F652" s="75"/>
      <c r="G652" s="76"/>
      <c r="H652" s="63"/>
      <c r="I652" s="63"/>
      <c r="J652" s="76"/>
      <c r="K652" s="76"/>
      <c r="L652" s="37"/>
      <c r="M652" s="37"/>
      <c r="N652" s="76"/>
      <c r="O652" s="76"/>
      <c r="P652" s="37"/>
      <c r="Q652" s="37"/>
      <c r="R652" s="76"/>
      <c r="S652" s="63"/>
      <c r="T652" s="76"/>
    </row>
    <row r="653" spans="2:20" x14ac:dyDescent="0.35">
      <c r="B653" s="35"/>
      <c r="C653" s="74"/>
      <c r="D653" s="75"/>
      <c r="E653" s="75"/>
      <c r="F653" s="75"/>
      <c r="G653" s="76"/>
      <c r="H653" s="63"/>
      <c r="I653" s="63"/>
      <c r="J653" s="76"/>
      <c r="K653" s="76"/>
      <c r="L653" s="37"/>
      <c r="M653" s="37"/>
      <c r="N653" s="76"/>
      <c r="O653" s="76"/>
      <c r="P653" s="37"/>
      <c r="Q653" s="37"/>
      <c r="R653" s="76"/>
      <c r="S653" s="63"/>
      <c r="T653" s="76"/>
    </row>
    <row r="654" spans="2:20" x14ac:dyDescent="0.35">
      <c r="B654" s="35"/>
      <c r="C654" s="74"/>
      <c r="D654" s="75"/>
      <c r="E654" s="75"/>
      <c r="F654" s="75"/>
      <c r="G654" s="76"/>
      <c r="H654" s="63"/>
      <c r="I654" s="63"/>
      <c r="J654" s="76"/>
      <c r="K654" s="76"/>
      <c r="L654" s="37"/>
      <c r="M654" s="37"/>
      <c r="N654" s="76"/>
      <c r="O654" s="76"/>
      <c r="P654" s="37"/>
      <c r="Q654" s="37"/>
      <c r="R654" s="76"/>
      <c r="S654" s="63"/>
      <c r="T654" s="76"/>
    </row>
    <row r="655" spans="2:20" x14ac:dyDescent="0.35">
      <c r="B655" s="35"/>
      <c r="C655" s="74"/>
      <c r="D655" s="75"/>
      <c r="E655" s="75"/>
      <c r="F655" s="75"/>
      <c r="G655" s="76"/>
      <c r="H655" s="63"/>
      <c r="I655" s="63"/>
      <c r="J655" s="76"/>
      <c r="K655" s="76"/>
      <c r="L655" s="37"/>
      <c r="M655" s="37"/>
      <c r="N655" s="76"/>
      <c r="O655" s="76"/>
      <c r="P655" s="37"/>
      <c r="Q655" s="37"/>
      <c r="R655" s="76"/>
      <c r="S655" s="63"/>
      <c r="T655" s="76"/>
    </row>
    <row r="656" spans="2:20" x14ac:dyDescent="0.35">
      <c r="B656" s="35"/>
      <c r="C656" s="74"/>
      <c r="D656" s="75"/>
      <c r="E656" s="75"/>
      <c r="F656" s="75"/>
      <c r="G656" s="76"/>
      <c r="H656" s="63"/>
      <c r="I656" s="63"/>
      <c r="J656" s="76"/>
      <c r="K656" s="76"/>
      <c r="L656" s="37"/>
      <c r="M656" s="37"/>
      <c r="N656" s="76"/>
      <c r="O656" s="76"/>
      <c r="P656" s="37"/>
      <c r="Q656" s="37"/>
      <c r="R656" s="76"/>
      <c r="S656" s="63"/>
      <c r="T656" s="76"/>
    </row>
    <row r="657" spans="2:20" x14ac:dyDescent="0.35">
      <c r="B657" s="35"/>
      <c r="C657" s="74"/>
      <c r="D657" s="75"/>
      <c r="E657" s="75"/>
      <c r="F657" s="75"/>
      <c r="G657" s="76"/>
      <c r="H657" s="63"/>
      <c r="I657" s="63"/>
      <c r="J657" s="76"/>
      <c r="K657" s="76"/>
      <c r="L657" s="37"/>
      <c r="M657" s="37"/>
      <c r="N657" s="76"/>
      <c r="O657" s="76"/>
      <c r="P657" s="37"/>
      <c r="Q657" s="37"/>
      <c r="R657" s="76"/>
      <c r="S657" s="63"/>
      <c r="T657" s="76"/>
    </row>
    <row r="658" spans="2:20" x14ac:dyDescent="0.35">
      <c r="B658" s="35"/>
      <c r="C658" s="74"/>
      <c r="D658" s="75"/>
      <c r="E658" s="75"/>
      <c r="F658" s="75"/>
      <c r="G658" s="76"/>
      <c r="H658" s="63"/>
      <c r="I658" s="63"/>
      <c r="J658" s="76"/>
      <c r="K658" s="76"/>
      <c r="L658" s="37"/>
      <c r="M658" s="37"/>
      <c r="N658" s="76"/>
      <c r="O658" s="76"/>
      <c r="P658" s="37"/>
      <c r="Q658" s="37"/>
      <c r="R658" s="76"/>
      <c r="S658" s="63"/>
      <c r="T658" s="76"/>
    </row>
    <row r="659" spans="2:20" x14ac:dyDescent="0.35">
      <c r="B659" s="35"/>
      <c r="C659" s="74"/>
      <c r="D659" s="75"/>
      <c r="E659" s="75"/>
      <c r="F659" s="75"/>
      <c r="G659" s="76"/>
      <c r="H659" s="63"/>
      <c r="I659" s="63"/>
      <c r="J659" s="76"/>
      <c r="K659" s="76"/>
      <c r="L659" s="37"/>
      <c r="M659" s="37"/>
      <c r="N659" s="76"/>
      <c r="O659" s="76"/>
      <c r="P659" s="37"/>
      <c r="Q659" s="37"/>
      <c r="R659" s="76"/>
      <c r="S659" s="63"/>
      <c r="T659" s="76"/>
    </row>
    <row r="660" spans="2:20" x14ac:dyDescent="0.35">
      <c r="B660" s="35"/>
      <c r="C660" s="74"/>
      <c r="D660" s="75"/>
      <c r="E660" s="75"/>
      <c r="F660" s="75"/>
      <c r="G660" s="76"/>
      <c r="H660" s="63"/>
      <c r="I660" s="63"/>
      <c r="J660" s="76"/>
      <c r="K660" s="76"/>
      <c r="L660" s="37"/>
      <c r="M660" s="37"/>
      <c r="N660" s="76"/>
      <c r="O660" s="76"/>
      <c r="P660" s="37"/>
      <c r="Q660" s="37"/>
      <c r="R660" s="76"/>
      <c r="S660" s="63"/>
      <c r="T660" s="76"/>
    </row>
    <row r="661" spans="2:20" x14ac:dyDescent="0.35">
      <c r="B661" s="35"/>
      <c r="C661" s="74"/>
      <c r="D661" s="75"/>
      <c r="E661" s="75"/>
      <c r="F661" s="75"/>
      <c r="G661" s="76"/>
      <c r="H661" s="63"/>
      <c r="I661" s="63"/>
      <c r="J661" s="76"/>
      <c r="K661" s="76"/>
      <c r="L661" s="37"/>
      <c r="M661" s="37"/>
      <c r="N661" s="76"/>
      <c r="O661" s="76"/>
      <c r="P661" s="37"/>
      <c r="Q661" s="37"/>
      <c r="R661" s="76"/>
      <c r="S661" s="63"/>
      <c r="T661" s="76"/>
    </row>
    <row r="662" spans="2:20" x14ac:dyDescent="0.35">
      <c r="B662" s="35"/>
      <c r="C662" s="74"/>
      <c r="D662" s="75"/>
      <c r="E662" s="75"/>
      <c r="F662" s="75"/>
      <c r="G662" s="76"/>
      <c r="H662" s="63"/>
      <c r="I662" s="63"/>
      <c r="J662" s="76"/>
      <c r="K662" s="76"/>
      <c r="L662" s="37"/>
      <c r="M662" s="37"/>
      <c r="N662" s="76"/>
      <c r="O662" s="76"/>
      <c r="P662" s="37"/>
      <c r="Q662" s="37"/>
      <c r="R662" s="76"/>
      <c r="S662" s="63"/>
      <c r="T662" s="76"/>
    </row>
    <row r="663" spans="2:20" x14ac:dyDescent="0.35">
      <c r="B663" s="35"/>
      <c r="C663" s="74"/>
      <c r="D663" s="75"/>
      <c r="E663" s="75"/>
      <c r="F663" s="75"/>
      <c r="G663" s="76"/>
      <c r="H663" s="63"/>
      <c r="I663" s="63"/>
      <c r="J663" s="76"/>
      <c r="K663" s="76"/>
      <c r="L663" s="37"/>
      <c r="M663" s="37"/>
      <c r="N663" s="76"/>
      <c r="O663" s="76"/>
      <c r="P663" s="37"/>
      <c r="Q663" s="37"/>
      <c r="R663" s="76"/>
      <c r="S663" s="63"/>
      <c r="T663" s="76"/>
    </row>
    <row r="664" spans="2:20" x14ac:dyDescent="0.35">
      <c r="B664" s="35"/>
      <c r="C664" s="74"/>
      <c r="D664" s="75"/>
      <c r="E664" s="75"/>
      <c r="F664" s="75"/>
      <c r="G664" s="76"/>
      <c r="H664" s="63"/>
      <c r="I664" s="63"/>
      <c r="J664" s="76"/>
      <c r="K664" s="76"/>
      <c r="L664" s="37"/>
      <c r="M664" s="37"/>
      <c r="N664" s="76"/>
      <c r="O664" s="76"/>
      <c r="P664" s="37"/>
      <c r="Q664" s="37"/>
      <c r="R664" s="76"/>
      <c r="S664" s="63"/>
      <c r="T664" s="76"/>
    </row>
    <row r="665" spans="2:20" x14ac:dyDescent="0.35">
      <c r="B665" s="35"/>
      <c r="C665" s="74"/>
      <c r="D665" s="75"/>
      <c r="E665" s="75"/>
      <c r="F665" s="75"/>
      <c r="G665" s="76"/>
      <c r="H665" s="63"/>
      <c r="I665" s="63"/>
      <c r="J665" s="76"/>
      <c r="K665" s="76"/>
      <c r="L665" s="37"/>
      <c r="M665" s="37"/>
      <c r="N665" s="76"/>
      <c r="O665" s="76"/>
      <c r="P665" s="37"/>
      <c r="Q665" s="37"/>
      <c r="R665" s="76"/>
      <c r="S665" s="63"/>
      <c r="T665" s="76"/>
    </row>
    <row r="666" spans="2:20" x14ac:dyDescent="0.35">
      <c r="B666" s="35"/>
      <c r="C666" s="74"/>
      <c r="D666" s="75"/>
      <c r="E666" s="75"/>
      <c r="F666" s="75"/>
      <c r="G666" s="76"/>
      <c r="H666" s="63"/>
      <c r="I666" s="63"/>
      <c r="J666" s="76"/>
      <c r="K666" s="76"/>
      <c r="L666" s="37"/>
      <c r="M666" s="37"/>
      <c r="N666" s="76"/>
      <c r="O666" s="76"/>
      <c r="P666" s="37"/>
      <c r="Q666" s="37"/>
      <c r="R666" s="76"/>
      <c r="S666" s="63"/>
      <c r="T666" s="76"/>
    </row>
    <row r="667" spans="2:20" x14ac:dyDescent="0.35">
      <c r="B667" s="35"/>
      <c r="C667" s="74"/>
      <c r="D667" s="75"/>
      <c r="E667" s="75"/>
      <c r="F667" s="75"/>
      <c r="G667" s="76"/>
      <c r="H667" s="63"/>
      <c r="I667" s="63"/>
      <c r="J667" s="76"/>
      <c r="K667" s="76"/>
      <c r="L667" s="37"/>
      <c r="M667" s="37"/>
      <c r="N667" s="76"/>
      <c r="O667" s="76"/>
      <c r="P667" s="37"/>
      <c r="Q667" s="37"/>
      <c r="R667" s="76"/>
      <c r="S667" s="63"/>
      <c r="T667" s="76"/>
    </row>
    <row r="668" spans="2:20" x14ac:dyDescent="0.35">
      <c r="B668" s="35"/>
      <c r="C668" s="74"/>
      <c r="D668" s="75"/>
      <c r="E668" s="75"/>
      <c r="F668" s="75"/>
      <c r="G668" s="76"/>
      <c r="H668" s="63"/>
      <c r="I668" s="63"/>
      <c r="J668" s="76"/>
      <c r="K668" s="76"/>
      <c r="L668" s="37"/>
      <c r="M668" s="37"/>
      <c r="N668" s="76"/>
      <c r="O668" s="76"/>
      <c r="P668" s="37"/>
      <c r="Q668" s="37"/>
      <c r="R668" s="76"/>
      <c r="S668" s="63"/>
      <c r="T668" s="76"/>
    </row>
    <row r="669" spans="2:20" x14ac:dyDescent="0.35">
      <c r="B669" s="35"/>
      <c r="C669" s="74"/>
      <c r="D669" s="75"/>
      <c r="E669" s="75"/>
      <c r="F669" s="75"/>
      <c r="G669" s="76"/>
      <c r="H669" s="63"/>
      <c r="I669" s="63"/>
      <c r="J669" s="76"/>
      <c r="K669" s="76"/>
      <c r="L669" s="37"/>
      <c r="M669" s="37"/>
      <c r="N669" s="76"/>
      <c r="O669" s="76"/>
      <c r="P669" s="37"/>
      <c r="Q669" s="37"/>
      <c r="R669" s="76"/>
      <c r="S669" s="63"/>
      <c r="T669" s="76"/>
    </row>
    <row r="670" spans="2:20" x14ac:dyDescent="0.35">
      <c r="B670" s="35"/>
      <c r="C670" s="74"/>
      <c r="D670" s="75"/>
      <c r="E670" s="75"/>
      <c r="F670" s="75"/>
      <c r="G670" s="76"/>
      <c r="H670" s="63"/>
      <c r="I670" s="63"/>
      <c r="J670" s="76"/>
      <c r="K670" s="76"/>
      <c r="L670" s="37"/>
      <c r="M670" s="37"/>
      <c r="N670" s="76"/>
      <c r="O670" s="76"/>
      <c r="P670" s="37"/>
      <c r="Q670" s="37"/>
      <c r="R670" s="76"/>
      <c r="S670" s="63"/>
      <c r="T670" s="76"/>
    </row>
    <row r="671" spans="2:20" x14ac:dyDescent="0.35">
      <c r="B671" s="35"/>
      <c r="C671" s="74"/>
      <c r="D671" s="75"/>
      <c r="E671" s="75"/>
      <c r="F671" s="75"/>
      <c r="G671" s="76"/>
      <c r="H671" s="63"/>
      <c r="I671" s="63"/>
      <c r="J671" s="76"/>
      <c r="K671" s="76"/>
      <c r="L671" s="37"/>
      <c r="M671" s="37"/>
      <c r="N671" s="76"/>
      <c r="O671" s="76"/>
      <c r="P671" s="37"/>
      <c r="Q671" s="37"/>
      <c r="R671" s="76"/>
      <c r="S671" s="63"/>
      <c r="T671" s="76"/>
    </row>
    <row r="672" spans="2:20" x14ac:dyDescent="0.35">
      <c r="B672" s="35"/>
      <c r="C672" s="74"/>
      <c r="D672" s="75"/>
      <c r="E672" s="75"/>
      <c r="F672" s="75"/>
      <c r="G672" s="76"/>
      <c r="H672" s="63"/>
      <c r="I672" s="63"/>
      <c r="J672" s="76"/>
      <c r="K672" s="76"/>
      <c r="L672" s="37"/>
      <c r="M672" s="37"/>
      <c r="N672" s="76"/>
      <c r="O672" s="76"/>
      <c r="P672" s="37"/>
      <c r="Q672" s="37"/>
      <c r="R672" s="76"/>
      <c r="S672" s="63"/>
      <c r="T672" s="76"/>
    </row>
    <row r="673" spans="2:20" x14ac:dyDescent="0.35">
      <c r="B673" s="35"/>
      <c r="C673" s="74"/>
      <c r="D673" s="75"/>
      <c r="E673" s="75"/>
      <c r="F673" s="75"/>
      <c r="G673" s="76"/>
      <c r="H673" s="63"/>
      <c r="I673" s="63"/>
      <c r="J673" s="76"/>
      <c r="K673" s="76"/>
      <c r="L673" s="37"/>
      <c r="M673" s="37"/>
      <c r="N673" s="76"/>
      <c r="O673" s="76"/>
      <c r="P673" s="37"/>
      <c r="Q673" s="37"/>
      <c r="R673" s="76"/>
      <c r="S673" s="63"/>
      <c r="T673" s="76"/>
    </row>
    <row r="674" spans="2:20" x14ac:dyDescent="0.35">
      <c r="B674" s="35"/>
      <c r="C674" s="74"/>
      <c r="D674" s="75"/>
      <c r="E674" s="75"/>
      <c r="F674" s="75"/>
      <c r="G674" s="76"/>
      <c r="H674" s="63"/>
      <c r="I674" s="63"/>
      <c r="J674" s="76"/>
      <c r="K674" s="76"/>
      <c r="L674" s="37"/>
      <c r="M674" s="37"/>
      <c r="N674" s="76"/>
      <c r="O674" s="76"/>
      <c r="P674" s="37"/>
      <c r="Q674" s="37"/>
      <c r="R674" s="76"/>
      <c r="S674" s="63"/>
      <c r="T674" s="76"/>
    </row>
    <row r="675" spans="2:20" x14ac:dyDescent="0.35">
      <c r="B675" s="35"/>
      <c r="C675" s="74"/>
      <c r="D675" s="75"/>
      <c r="E675" s="75"/>
      <c r="F675" s="75"/>
      <c r="G675" s="76"/>
      <c r="H675" s="63"/>
      <c r="I675" s="63"/>
      <c r="J675" s="76"/>
      <c r="K675" s="76"/>
      <c r="L675" s="37"/>
      <c r="M675" s="37"/>
      <c r="N675" s="76"/>
      <c r="O675" s="76"/>
      <c r="P675" s="37"/>
      <c r="Q675" s="37"/>
      <c r="R675" s="76"/>
      <c r="S675" s="63"/>
      <c r="T675" s="76"/>
    </row>
    <row r="676" spans="2:20" x14ac:dyDescent="0.35">
      <c r="B676" s="35"/>
      <c r="C676" s="74"/>
      <c r="D676" s="75"/>
      <c r="E676" s="75"/>
      <c r="F676" s="75"/>
      <c r="G676" s="76"/>
      <c r="H676" s="63"/>
      <c r="I676" s="63"/>
      <c r="J676" s="76"/>
      <c r="K676" s="76"/>
      <c r="L676" s="37"/>
      <c r="M676" s="37"/>
      <c r="N676" s="76"/>
      <c r="O676" s="76"/>
      <c r="P676" s="37"/>
      <c r="Q676" s="37"/>
      <c r="R676" s="76"/>
      <c r="S676" s="63"/>
      <c r="T676" s="76"/>
    </row>
    <row r="677" spans="2:20" x14ac:dyDescent="0.35">
      <c r="B677" s="35"/>
      <c r="C677" s="74"/>
      <c r="D677" s="75"/>
      <c r="E677" s="75"/>
      <c r="F677" s="75"/>
      <c r="G677" s="76"/>
      <c r="H677" s="63"/>
      <c r="I677" s="63"/>
      <c r="J677" s="76"/>
      <c r="K677" s="76"/>
      <c r="L677" s="37"/>
      <c r="M677" s="37"/>
      <c r="N677" s="76"/>
      <c r="O677" s="76"/>
      <c r="P677" s="37"/>
      <c r="Q677" s="37"/>
      <c r="R677" s="76"/>
      <c r="S677" s="63"/>
      <c r="T677" s="76"/>
    </row>
    <row r="678" spans="2:20" x14ac:dyDescent="0.35">
      <c r="B678" s="35"/>
      <c r="C678" s="74"/>
      <c r="D678" s="75"/>
      <c r="E678" s="75"/>
      <c r="F678" s="75"/>
      <c r="G678" s="76"/>
      <c r="H678" s="63"/>
      <c r="I678" s="63"/>
      <c r="J678" s="76"/>
      <c r="K678" s="76"/>
      <c r="L678" s="37"/>
      <c r="M678" s="37"/>
      <c r="N678" s="76"/>
      <c r="O678" s="76"/>
      <c r="P678" s="37"/>
      <c r="Q678" s="37"/>
      <c r="R678" s="76"/>
      <c r="S678" s="63"/>
      <c r="T678" s="76"/>
    </row>
    <row r="679" spans="2:20" x14ac:dyDescent="0.35">
      <c r="B679" s="35"/>
      <c r="C679" s="74"/>
      <c r="D679" s="75"/>
      <c r="E679" s="75"/>
      <c r="F679" s="75"/>
      <c r="G679" s="76"/>
      <c r="H679" s="63"/>
      <c r="I679" s="63"/>
      <c r="J679" s="76"/>
      <c r="K679" s="76"/>
      <c r="L679" s="37"/>
      <c r="M679" s="37"/>
      <c r="N679" s="76"/>
      <c r="O679" s="76"/>
      <c r="P679" s="37"/>
      <c r="Q679" s="37"/>
      <c r="R679" s="76"/>
      <c r="S679" s="63"/>
      <c r="T679" s="76"/>
    </row>
    <row r="680" spans="2:20" x14ac:dyDescent="0.35">
      <c r="B680" s="35"/>
      <c r="C680" s="74"/>
      <c r="D680" s="75"/>
      <c r="E680" s="75"/>
      <c r="F680" s="75"/>
      <c r="G680" s="76"/>
      <c r="H680" s="63"/>
      <c r="I680" s="63"/>
      <c r="J680" s="76"/>
      <c r="K680" s="76"/>
      <c r="L680" s="37"/>
      <c r="M680" s="37"/>
      <c r="N680" s="76"/>
      <c r="O680" s="76"/>
      <c r="P680" s="37"/>
      <c r="Q680" s="37"/>
      <c r="R680" s="76"/>
      <c r="S680" s="63"/>
      <c r="T680" s="76"/>
    </row>
    <row r="681" spans="2:20" x14ac:dyDescent="0.35">
      <c r="B681" s="35"/>
      <c r="C681" s="74"/>
      <c r="D681" s="75"/>
      <c r="E681" s="75"/>
      <c r="F681" s="75"/>
      <c r="G681" s="76"/>
      <c r="H681" s="63"/>
      <c r="I681" s="63"/>
      <c r="J681" s="76"/>
      <c r="K681" s="76"/>
      <c r="L681" s="37"/>
      <c r="M681" s="37"/>
      <c r="N681" s="76"/>
      <c r="O681" s="76"/>
      <c r="P681" s="37"/>
      <c r="Q681" s="37"/>
      <c r="R681" s="76"/>
      <c r="S681" s="63"/>
      <c r="T681" s="76"/>
    </row>
    <row r="682" spans="2:20" x14ac:dyDescent="0.35">
      <c r="B682" s="35"/>
      <c r="C682" s="74"/>
      <c r="D682" s="75"/>
      <c r="E682" s="75"/>
      <c r="F682" s="75"/>
      <c r="G682" s="76"/>
      <c r="H682" s="63"/>
      <c r="I682" s="63"/>
      <c r="J682" s="76"/>
      <c r="K682" s="76"/>
      <c r="L682" s="37"/>
      <c r="M682" s="37"/>
      <c r="N682" s="76"/>
      <c r="O682" s="76"/>
      <c r="P682" s="37"/>
      <c r="Q682" s="37"/>
      <c r="R682" s="76"/>
      <c r="S682" s="63"/>
      <c r="T682" s="76"/>
    </row>
    <row r="683" spans="2:20" x14ac:dyDescent="0.35">
      <c r="B683" s="35"/>
      <c r="C683" s="74"/>
      <c r="D683" s="75"/>
      <c r="E683" s="75"/>
      <c r="F683" s="75"/>
      <c r="G683" s="76"/>
      <c r="H683" s="63"/>
      <c r="I683" s="63"/>
      <c r="J683" s="76"/>
      <c r="K683" s="76"/>
      <c r="L683" s="37"/>
      <c r="M683" s="37"/>
      <c r="N683" s="76"/>
      <c r="O683" s="76"/>
      <c r="P683" s="37"/>
      <c r="Q683" s="37"/>
      <c r="R683" s="76"/>
      <c r="S683" s="63"/>
      <c r="T683" s="76"/>
    </row>
    <row r="684" spans="2:20" x14ac:dyDescent="0.35">
      <c r="B684" s="35"/>
      <c r="C684" s="74"/>
      <c r="D684" s="75"/>
      <c r="E684" s="75"/>
      <c r="F684" s="75"/>
      <c r="G684" s="76"/>
      <c r="H684" s="63"/>
      <c r="I684" s="63"/>
      <c r="J684" s="76"/>
      <c r="K684" s="76"/>
      <c r="L684" s="37"/>
      <c r="M684" s="37"/>
      <c r="N684" s="76"/>
      <c r="O684" s="76"/>
      <c r="P684" s="37"/>
      <c r="Q684" s="37"/>
      <c r="R684" s="76"/>
      <c r="S684" s="63"/>
      <c r="T684" s="76"/>
    </row>
    <row r="685" spans="2:20" x14ac:dyDescent="0.35">
      <c r="B685" s="35"/>
      <c r="C685" s="74"/>
      <c r="D685" s="75"/>
      <c r="E685" s="75"/>
      <c r="F685" s="75"/>
      <c r="G685" s="76"/>
      <c r="H685" s="63"/>
      <c r="I685" s="63"/>
      <c r="J685" s="76"/>
      <c r="K685" s="76"/>
      <c r="L685" s="37"/>
      <c r="M685" s="37"/>
      <c r="N685" s="76"/>
      <c r="O685" s="76"/>
      <c r="P685" s="37"/>
      <c r="Q685" s="37"/>
      <c r="R685" s="76"/>
      <c r="S685" s="63"/>
      <c r="T685" s="76"/>
    </row>
    <row r="686" spans="2:20" x14ac:dyDescent="0.35">
      <c r="B686" s="35"/>
      <c r="C686" s="74"/>
      <c r="D686" s="75"/>
      <c r="E686" s="75"/>
      <c r="F686" s="75"/>
      <c r="G686" s="76"/>
      <c r="H686" s="63"/>
      <c r="I686" s="63"/>
      <c r="J686" s="76"/>
      <c r="K686" s="76"/>
      <c r="L686" s="37"/>
      <c r="M686" s="37"/>
      <c r="N686" s="76"/>
      <c r="O686" s="76"/>
      <c r="P686" s="37"/>
      <c r="Q686" s="37"/>
      <c r="R686" s="76"/>
      <c r="S686" s="63"/>
      <c r="T686" s="76"/>
    </row>
    <row r="687" spans="2:20" x14ac:dyDescent="0.35">
      <c r="B687" s="35"/>
      <c r="C687" s="74"/>
      <c r="D687" s="75"/>
      <c r="E687" s="75"/>
      <c r="F687" s="75"/>
      <c r="G687" s="76"/>
      <c r="H687" s="63"/>
      <c r="I687" s="63"/>
      <c r="J687" s="76"/>
      <c r="K687" s="76"/>
      <c r="L687" s="37"/>
      <c r="M687" s="37"/>
      <c r="N687" s="76"/>
      <c r="O687" s="76"/>
      <c r="P687" s="37"/>
      <c r="Q687" s="37"/>
      <c r="R687" s="76"/>
      <c r="S687" s="63"/>
      <c r="T687" s="76"/>
    </row>
    <row r="688" spans="2:20" x14ac:dyDescent="0.35">
      <c r="B688" s="35"/>
      <c r="C688" s="74"/>
      <c r="D688" s="75"/>
      <c r="E688" s="75"/>
      <c r="F688" s="75"/>
      <c r="G688" s="76"/>
      <c r="H688" s="63"/>
      <c r="I688" s="63"/>
      <c r="J688" s="76"/>
      <c r="K688" s="76"/>
      <c r="L688" s="37"/>
      <c r="M688" s="37"/>
      <c r="N688" s="76"/>
      <c r="O688" s="76"/>
      <c r="P688" s="37"/>
      <c r="Q688" s="37"/>
      <c r="R688" s="76"/>
      <c r="S688" s="63"/>
      <c r="T688" s="76"/>
    </row>
    <row r="689" spans="2:20" x14ac:dyDescent="0.35">
      <c r="B689" s="35"/>
      <c r="C689" s="74"/>
      <c r="D689" s="75"/>
      <c r="E689" s="75"/>
      <c r="F689" s="75"/>
      <c r="G689" s="76"/>
      <c r="H689" s="63"/>
      <c r="I689" s="63"/>
      <c r="J689" s="76"/>
      <c r="K689" s="76"/>
      <c r="L689" s="37"/>
      <c r="M689" s="37"/>
      <c r="N689" s="76"/>
      <c r="O689" s="76"/>
      <c r="P689" s="37"/>
      <c r="Q689" s="37"/>
      <c r="R689" s="76"/>
      <c r="S689" s="63"/>
      <c r="T689" s="76"/>
    </row>
    <row r="690" spans="2:20" x14ac:dyDescent="0.35">
      <c r="B690" s="35"/>
      <c r="C690" s="74"/>
      <c r="D690" s="75"/>
      <c r="E690" s="75"/>
      <c r="F690" s="75"/>
      <c r="G690" s="76"/>
      <c r="H690" s="63"/>
      <c r="I690" s="63"/>
      <c r="J690" s="76"/>
      <c r="K690" s="76"/>
      <c r="L690" s="37"/>
      <c r="M690" s="37"/>
      <c r="N690" s="76"/>
      <c r="O690" s="76"/>
      <c r="P690" s="37"/>
      <c r="Q690" s="37"/>
      <c r="R690" s="76"/>
      <c r="S690" s="63"/>
      <c r="T690" s="76"/>
    </row>
    <row r="691" spans="2:20" x14ac:dyDescent="0.35">
      <c r="B691" s="35"/>
      <c r="C691" s="74"/>
      <c r="D691" s="75"/>
      <c r="E691" s="75"/>
      <c r="F691" s="75"/>
      <c r="G691" s="76"/>
      <c r="H691" s="63"/>
      <c r="I691" s="63"/>
      <c r="J691" s="76"/>
      <c r="K691" s="76"/>
      <c r="L691" s="37"/>
      <c r="M691" s="37"/>
      <c r="N691" s="76"/>
      <c r="O691" s="76"/>
      <c r="P691" s="37"/>
      <c r="Q691" s="37"/>
      <c r="R691" s="76"/>
      <c r="S691" s="63"/>
      <c r="T691" s="76"/>
    </row>
    <row r="692" spans="2:20" x14ac:dyDescent="0.35">
      <c r="B692" s="35"/>
      <c r="C692" s="74"/>
      <c r="D692" s="75"/>
      <c r="E692" s="75"/>
      <c r="F692" s="75"/>
      <c r="G692" s="76"/>
      <c r="H692" s="63"/>
      <c r="I692" s="63"/>
      <c r="J692" s="76"/>
      <c r="K692" s="76"/>
      <c r="L692" s="37"/>
      <c r="M692" s="37"/>
      <c r="N692" s="76"/>
      <c r="O692" s="76"/>
      <c r="P692" s="37"/>
      <c r="Q692" s="37"/>
      <c r="R692" s="76"/>
      <c r="S692" s="63"/>
      <c r="T692" s="76"/>
    </row>
    <row r="693" spans="2:20" x14ac:dyDescent="0.35">
      <c r="B693" s="35"/>
      <c r="C693" s="74"/>
      <c r="D693" s="75"/>
      <c r="E693" s="75"/>
      <c r="F693" s="75"/>
      <c r="G693" s="76"/>
      <c r="H693" s="63"/>
      <c r="I693" s="63"/>
      <c r="J693" s="76"/>
      <c r="K693" s="76"/>
      <c r="L693" s="37"/>
      <c r="M693" s="37"/>
      <c r="N693" s="76"/>
      <c r="O693" s="76"/>
      <c r="P693" s="37"/>
      <c r="Q693" s="37"/>
      <c r="R693" s="76"/>
      <c r="S693" s="63"/>
      <c r="T693" s="76"/>
    </row>
    <row r="694" spans="2:20" x14ac:dyDescent="0.35">
      <c r="B694" s="35"/>
      <c r="C694" s="74"/>
      <c r="D694" s="75"/>
      <c r="E694" s="75"/>
      <c r="F694" s="75"/>
      <c r="G694" s="76"/>
      <c r="H694" s="63"/>
      <c r="I694" s="63"/>
      <c r="J694" s="76"/>
      <c r="K694" s="76"/>
      <c r="L694" s="37"/>
      <c r="M694" s="37"/>
      <c r="N694" s="76"/>
      <c r="O694" s="76"/>
      <c r="P694" s="37"/>
      <c r="Q694" s="37"/>
      <c r="R694" s="76"/>
      <c r="S694" s="63"/>
      <c r="T694" s="76"/>
    </row>
    <row r="695" spans="2:20" x14ac:dyDescent="0.35">
      <c r="B695" s="35"/>
      <c r="C695" s="74"/>
      <c r="D695" s="75"/>
      <c r="E695" s="75"/>
      <c r="F695" s="75"/>
      <c r="G695" s="76"/>
      <c r="H695" s="63"/>
      <c r="I695" s="63"/>
      <c r="J695" s="76"/>
      <c r="K695" s="76"/>
      <c r="L695" s="37"/>
      <c r="M695" s="37"/>
      <c r="N695" s="76"/>
      <c r="O695" s="76"/>
      <c r="P695" s="37"/>
      <c r="Q695" s="37"/>
      <c r="R695" s="76"/>
      <c r="S695" s="63"/>
      <c r="T695" s="76"/>
    </row>
    <row r="696" spans="2:20" x14ac:dyDescent="0.35">
      <c r="B696" s="35"/>
      <c r="C696" s="74"/>
      <c r="D696" s="75"/>
      <c r="E696" s="75"/>
      <c r="F696" s="75"/>
      <c r="G696" s="76"/>
      <c r="H696" s="63"/>
      <c r="I696" s="63"/>
      <c r="J696" s="76"/>
      <c r="K696" s="76"/>
      <c r="L696" s="37"/>
      <c r="M696" s="37"/>
      <c r="N696" s="76"/>
      <c r="O696" s="76"/>
      <c r="P696" s="37"/>
      <c r="Q696" s="37"/>
      <c r="R696" s="76"/>
      <c r="S696" s="63"/>
      <c r="T696" s="76"/>
    </row>
    <row r="697" spans="2:20" x14ac:dyDescent="0.35">
      <c r="B697" s="35"/>
      <c r="C697" s="74"/>
      <c r="D697" s="75"/>
      <c r="E697" s="75"/>
      <c r="F697" s="75"/>
      <c r="G697" s="76"/>
      <c r="H697" s="63"/>
      <c r="I697" s="63"/>
      <c r="J697" s="76"/>
      <c r="K697" s="76"/>
      <c r="L697" s="37"/>
      <c r="M697" s="37"/>
      <c r="N697" s="76"/>
      <c r="O697" s="76"/>
      <c r="P697" s="37"/>
      <c r="Q697" s="37"/>
      <c r="R697" s="76"/>
      <c r="S697" s="63"/>
      <c r="T697" s="76"/>
    </row>
    <row r="698" spans="2:20" x14ac:dyDescent="0.35">
      <c r="B698" s="35"/>
      <c r="C698" s="74"/>
      <c r="D698" s="75"/>
      <c r="E698" s="75"/>
      <c r="F698" s="75"/>
      <c r="G698" s="76"/>
      <c r="H698" s="63"/>
      <c r="I698" s="63"/>
      <c r="J698" s="76"/>
      <c r="K698" s="76"/>
      <c r="L698" s="37"/>
      <c r="M698" s="37"/>
      <c r="N698" s="76"/>
      <c r="O698" s="76"/>
      <c r="P698" s="37"/>
      <c r="Q698" s="37"/>
      <c r="R698" s="76"/>
      <c r="S698" s="63"/>
      <c r="T698" s="76"/>
    </row>
    <row r="699" spans="2:20" x14ac:dyDescent="0.35">
      <c r="B699" s="35"/>
      <c r="C699" s="74"/>
      <c r="D699" s="75"/>
      <c r="E699" s="75"/>
      <c r="F699" s="75"/>
      <c r="G699" s="76"/>
      <c r="H699" s="63"/>
      <c r="I699" s="63"/>
      <c r="J699" s="76"/>
      <c r="K699" s="76"/>
      <c r="L699" s="37"/>
      <c r="M699" s="37"/>
      <c r="N699" s="76"/>
      <c r="O699" s="76"/>
      <c r="P699" s="37"/>
      <c r="Q699" s="37"/>
      <c r="R699" s="76"/>
      <c r="S699" s="63"/>
      <c r="T699" s="76"/>
    </row>
    <row r="700" spans="2:20" x14ac:dyDescent="0.35">
      <c r="B700" s="35"/>
      <c r="C700" s="74"/>
      <c r="D700" s="75"/>
      <c r="E700" s="75"/>
      <c r="F700" s="75"/>
      <c r="G700" s="76"/>
      <c r="H700" s="63"/>
      <c r="I700" s="63"/>
      <c r="J700" s="76"/>
      <c r="K700" s="76"/>
      <c r="L700" s="37"/>
      <c r="M700" s="37"/>
      <c r="N700" s="76"/>
      <c r="O700" s="76"/>
      <c r="P700" s="37"/>
      <c r="Q700" s="37"/>
      <c r="R700" s="76"/>
      <c r="S700" s="63"/>
      <c r="T700" s="76"/>
    </row>
    <row r="701" spans="2:20" x14ac:dyDescent="0.35">
      <c r="B701" s="35"/>
      <c r="C701" s="74"/>
      <c r="D701" s="75"/>
      <c r="E701" s="75"/>
      <c r="F701" s="75"/>
      <c r="G701" s="76"/>
      <c r="H701" s="63"/>
      <c r="I701" s="63"/>
      <c r="J701" s="76"/>
      <c r="K701" s="76"/>
      <c r="L701" s="37"/>
      <c r="M701" s="37"/>
      <c r="N701" s="76"/>
      <c r="O701" s="76"/>
      <c r="P701" s="37"/>
      <c r="Q701" s="37"/>
      <c r="R701" s="76"/>
      <c r="S701" s="63"/>
      <c r="T701" s="76"/>
    </row>
    <row r="702" spans="2:20" x14ac:dyDescent="0.35">
      <c r="B702" s="35"/>
      <c r="C702" s="74"/>
      <c r="D702" s="75"/>
      <c r="E702" s="75"/>
      <c r="F702" s="75"/>
      <c r="G702" s="76"/>
      <c r="H702" s="63"/>
      <c r="I702" s="63"/>
      <c r="J702" s="76"/>
      <c r="K702" s="76"/>
      <c r="L702" s="37"/>
      <c r="M702" s="37"/>
      <c r="N702" s="76"/>
      <c r="O702" s="76"/>
      <c r="P702" s="37"/>
      <c r="Q702" s="37"/>
      <c r="R702" s="76"/>
      <c r="S702" s="63"/>
      <c r="T702" s="76"/>
    </row>
    <row r="703" spans="2:20" x14ac:dyDescent="0.35">
      <c r="B703" s="35"/>
      <c r="C703" s="74"/>
      <c r="D703" s="75"/>
      <c r="E703" s="75"/>
      <c r="F703" s="75"/>
      <c r="G703" s="76"/>
      <c r="H703" s="63"/>
      <c r="I703" s="63"/>
      <c r="J703" s="76"/>
      <c r="K703" s="76"/>
      <c r="L703" s="37"/>
      <c r="M703" s="37"/>
      <c r="N703" s="76"/>
      <c r="O703" s="76"/>
      <c r="P703" s="37"/>
      <c r="Q703" s="37"/>
      <c r="R703" s="76"/>
      <c r="S703" s="63"/>
      <c r="T703" s="76"/>
    </row>
    <row r="704" spans="2:20" x14ac:dyDescent="0.35">
      <c r="B704" s="35"/>
      <c r="C704" s="74"/>
      <c r="D704" s="75"/>
      <c r="E704" s="75"/>
      <c r="F704" s="75"/>
      <c r="G704" s="76"/>
      <c r="H704" s="63"/>
      <c r="I704" s="63"/>
      <c r="J704" s="76"/>
      <c r="K704" s="76"/>
      <c r="L704" s="37"/>
      <c r="M704" s="37"/>
      <c r="N704" s="76"/>
      <c r="O704" s="76"/>
      <c r="P704" s="37"/>
      <c r="Q704" s="37"/>
      <c r="R704" s="76"/>
      <c r="S704" s="63"/>
      <c r="T704" s="76"/>
    </row>
    <row r="705" spans="2:20" x14ac:dyDescent="0.35">
      <c r="B705" s="35"/>
      <c r="C705" s="74"/>
      <c r="D705" s="75"/>
      <c r="E705" s="75"/>
      <c r="F705" s="75"/>
      <c r="G705" s="76"/>
      <c r="H705" s="63"/>
      <c r="I705" s="63"/>
      <c r="J705" s="76"/>
      <c r="K705" s="76"/>
      <c r="L705" s="37"/>
      <c r="M705" s="37"/>
      <c r="N705" s="76"/>
      <c r="O705" s="76"/>
      <c r="P705" s="37"/>
      <c r="Q705" s="37"/>
      <c r="R705" s="76"/>
      <c r="S705" s="63"/>
      <c r="T705" s="76"/>
    </row>
    <row r="706" spans="2:20" x14ac:dyDescent="0.35">
      <c r="B706" s="35"/>
      <c r="C706" s="74"/>
      <c r="D706" s="75"/>
      <c r="E706" s="75"/>
      <c r="F706" s="75"/>
      <c r="G706" s="76"/>
      <c r="H706" s="63"/>
      <c r="I706" s="63"/>
      <c r="J706" s="76"/>
      <c r="K706" s="76"/>
      <c r="L706" s="37"/>
      <c r="M706" s="37"/>
      <c r="N706" s="76"/>
      <c r="O706" s="76"/>
      <c r="P706" s="37"/>
      <c r="Q706" s="37"/>
      <c r="R706" s="76"/>
      <c r="S706" s="63"/>
      <c r="T706" s="76"/>
    </row>
    <row r="707" spans="2:20" x14ac:dyDescent="0.35">
      <c r="B707" s="35"/>
      <c r="C707" s="74"/>
      <c r="D707" s="75"/>
      <c r="E707" s="75"/>
      <c r="F707" s="75"/>
      <c r="G707" s="76"/>
      <c r="H707" s="63"/>
      <c r="I707" s="63"/>
      <c r="J707" s="76"/>
      <c r="K707" s="76"/>
      <c r="L707" s="37"/>
      <c r="M707" s="37"/>
      <c r="N707" s="76"/>
      <c r="O707" s="76"/>
      <c r="P707" s="37"/>
      <c r="Q707" s="37"/>
      <c r="R707" s="76"/>
      <c r="S707" s="63"/>
      <c r="T707" s="76"/>
    </row>
    <row r="708" spans="2:20" x14ac:dyDescent="0.35">
      <c r="B708" s="35"/>
      <c r="C708" s="74"/>
      <c r="D708" s="75"/>
      <c r="E708" s="75"/>
      <c r="F708" s="75"/>
      <c r="G708" s="76"/>
      <c r="H708" s="63"/>
      <c r="I708" s="63"/>
      <c r="J708" s="76"/>
      <c r="K708" s="76"/>
      <c r="L708" s="37"/>
      <c r="M708" s="37"/>
      <c r="N708" s="76"/>
      <c r="O708" s="76"/>
      <c r="P708" s="37"/>
      <c r="Q708" s="37"/>
      <c r="R708" s="76"/>
      <c r="S708" s="63"/>
      <c r="T708" s="76"/>
    </row>
    <row r="709" spans="2:20" x14ac:dyDescent="0.35">
      <c r="B709" s="35"/>
      <c r="C709" s="74"/>
      <c r="D709" s="75"/>
      <c r="E709" s="75"/>
      <c r="F709" s="75"/>
      <c r="G709" s="76"/>
      <c r="H709" s="63"/>
      <c r="I709" s="63"/>
      <c r="J709" s="76"/>
      <c r="K709" s="76"/>
      <c r="L709" s="37"/>
      <c r="M709" s="37"/>
      <c r="N709" s="76"/>
      <c r="O709" s="76"/>
      <c r="P709" s="37"/>
      <c r="Q709" s="37"/>
      <c r="R709" s="76"/>
      <c r="S709" s="63"/>
      <c r="T709" s="76"/>
    </row>
    <row r="710" spans="2:20" x14ac:dyDescent="0.35">
      <c r="B710" s="35"/>
      <c r="C710" s="74"/>
      <c r="D710" s="75"/>
      <c r="E710" s="75"/>
      <c r="F710" s="75"/>
      <c r="G710" s="76"/>
      <c r="H710" s="63"/>
      <c r="I710" s="63"/>
      <c r="J710" s="76"/>
      <c r="K710" s="76"/>
      <c r="L710" s="37"/>
      <c r="M710" s="37"/>
      <c r="N710" s="76"/>
      <c r="O710" s="76"/>
      <c r="P710" s="37"/>
      <c r="Q710" s="37"/>
      <c r="R710" s="76"/>
      <c r="S710" s="63"/>
      <c r="T710" s="76"/>
    </row>
    <row r="711" spans="2:20" x14ac:dyDescent="0.35">
      <c r="B711" s="35"/>
      <c r="C711" s="74"/>
      <c r="D711" s="75"/>
      <c r="E711" s="75"/>
      <c r="F711" s="75"/>
      <c r="G711" s="76"/>
      <c r="H711" s="63"/>
      <c r="I711" s="63"/>
      <c r="J711" s="76"/>
      <c r="K711" s="76"/>
      <c r="L711" s="37"/>
      <c r="M711" s="37"/>
      <c r="N711" s="76"/>
      <c r="O711" s="76"/>
      <c r="P711" s="37"/>
      <c r="Q711" s="37"/>
      <c r="R711" s="76"/>
      <c r="S711" s="63"/>
      <c r="T711" s="76"/>
    </row>
    <row r="712" spans="2:20" x14ac:dyDescent="0.35">
      <c r="B712" s="35"/>
      <c r="C712" s="74"/>
      <c r="D712" s="75"/>
      <c r="E712" s="75"/>
      <c r="F712" s="75"/>
      <c r="G712" s="76"/>
      <c r="H712" s="63"/>
      <c r="I712" s="63"/>
      <c r="J712" s="76"/>
      <c r="K712" s="76"/>
      <c r="L712" s="37"/>
      <c r="M712" s="37"/>
      <c r="N712" s="76"/>
      <c r="O712" s="76"/>
      <c r="P712" s="37"/>
      <c r="Q712" s="37"/>
      <c r="R712" s="76"/>
      <c r="S712" s="63"/>
      <c r="T712" s="76"/>
    </row>
    <row r="713" spans="2:20" x14ac:dyDescent="0.35">
      <c r="B713" s="35"/>
      <c r="C713" s="74"/>
      <c r="D713" s="75"/>
      <c r="E713" s="75"/>
      <c r="F713" s="75"/>
      <c r="G713" s="76"/>
      <c r="H713" s="63"/>
      <c r="I713" s="63"/>
      <c r="J713" s="76"/>
      <c r="K713" s="76"/>
      <c r="L713" s="37"/>
      <c r="M713" s="37"/>
      <c r="N713" s="76"/>
      <c r="O713" s="76"/>
      <c r="P713" s="37"/>
      <c r="Q713" s="37"/>
      <c r="R713" s="76"/>
      <c r="S713" s="63"/>
      <c r="T713" s="76"/>
    </row>
    <row r="714" spans="2:20" x14ac:dyDescent="0.35">
      <c r="B714" s="35"/>
      <c r="C714" s="74"/>
      <c r="D714" s="75"/>
      <c r="E714" s="75"/>
      <c r="F714" s="75"/>
      <c r="G714" s="76"/>
      <c r="H714" s="63"/>
      <c r="I714" s="63"/>
      <c r="J714" s="76"/>
      <c r="K714" s="76"/>
      <c r="L714" s="37"/>
      <c r="M714" s="37"/>
      <c r="N714" s="76"/>
      <c r="O714" s="76"/>
      <c r="P714" s="37"/>
      <c r="Q714" s="37"/>
      <c r="R714" s="76"/>
      <c r="S714" s="63"/>
      <c r="T714" s="76"/>
    </row>
    <row r="715" spans="2:20" x14ac:dyDescent="0.35">
      <c r="B715" s="35"/>
      <c r="C715" s="74"/>
      <c r="D715" s="75"/>
      <c r="E715" s="75"/>
      <c r="F715" s="75"/>
      <c r="G715" s="76"/>
      <c r="H715" s="63"/>
      <c r="I715" s="63"/>
      <c r="J715" s="76"/>
      <c r="K715" s="76"/>
      <c r="L715" s="37"/>
      <c r="M715" s="37"/>
      <c r="N715" s="76"/>
      <c r="O715" s="76"/>
      <c r="P715" s="37"/>
      <c r="Q715" s="37"/>
      <c r="R715" s="76"/>
      <c r="S715" s="63"/>
      <c r="T715" s="76"/>
    </row>
    <row r="716" spans="2:20" x14ac:dyDescent="0.35">
      <c r="B716" s="35"/>
      <c r="C716" s="74"/>
      <c r="D716" s="75"/>
      <c r="E716" s="75"/>
      <c r="F716" s="75"/>
      <c r="G716" s="76"/>
      <c r="H716" s="63"/>
      <c r="I716" s="63"/>
      <c r="J716" s="76"/>
      <c r="K716" s="76"/>
      <c r="L716" s="37"/>
      <c r="M716" s="37"/>
      <c r="N716" s="76"/>
      <c r="O716" s="76"/>
      <c r="P716" s="37"/>
      <c r="Q716" s="37"/>
      <c r="R716" s="76"/>
      <c r="S716" s="63"/>
      <c r="T716" s="76"/>
    </row>
    <row r="717" spans="2:20" x14ac:dyDescent="0.35">
      <c r="B717" s="35"/>
      <c r="C717" s="74"/>
      <c r="D717" s="75"/>
      <c r="E717" s="75"/>
      <c r="F717" s="75"/>
      <c r="G717" s="76"/>
      <c r="H717" s="63"/>
      <c r="I717" s="63"/>
      <c r="J717" s="76"/>
      <c r="K717" s="76"/>
      <c r="L717" s="37"/>
      <c r="M717" s="37"/>
      <c r="N717" s="76"/>
      <c r="O717" s="76"/>
      <c r="P717" s="37"/>
      <c r="Q717" s="37"/>
      <c r="R717" s="76"/>
      <c r="S717" s="63"/>
      <c r="T717" s="76"/>
    </row>
    <row r="718" spans="2:20" x14ac:dyDescent="0.35">
      <c r="B718" s="35"/>
      <c r="C718" s="74"/>
      <c r="D718" s="75"/>
      <c r="E718" s="75"/>
      <c r="F718" s="75"/>
      <c r="G718" s="76"/>
      <c r="H718" s="63"/>
      <c r="I718" s="63"/>
      <c r="J718" s="76"/>
      <c r="K718" s="76"/>
      <c r="L718" s="37"/>
      <c r="M718" s="37"/>
      <c r="N718" s="76"/>
      <c r="O718" s="76"/>
      <c r="P718" s="37"/>
      <c r="Q718" s="37"/>
      <c r="R718" s="76"/>
      <c r="S718" s="63"/>
      <c r="T718" s="76"/>
    </row>
    <row r="719" spans="2:20" x14ac:dyDescent="0.35">
      <c r="B719" s="35"/>
      <c r="C719" s="74"/>
      <c r="D719" s="75"/>
      <c r="E719" s="75"/>
      <c r="F719" s="75"/>
      <c r="G719" s="76"/>
      <c r="H719" s="63"/>
      <c r="I719" s="63"/>
      <c r="J719" s="76"/>
      <c r="K719" s="76"/>
      <c r="L719" s="37"/>
      <c r="M719" s="37"/>
      <c r="N719" s="76"/>
      <c r="O719" s="76"/>
      <c r="P719" s="37"/>
      <c r="Q719" s="37"/>
      <c r="R719" s="76"/>
      <c r="S719" s="63"/>
      <c r="T719" s="76"/>
    </row>
    <row r="720" spans="2:20" x14ac:dyDescent="0.35">
      <c r="B720" s="35"/>
      <c r="C720" s="74"/>
      <c r="D720" s="75"/>
      <c r="E720" s="75"/>
      <c r="F720" s="75"/>
      <c r="G720" s="76"/>
      <c r="H720" s="63"/>
      <c r="I720" s="63"/>
      <c r="J720" s="76"/>
      <c r="K720" s="76"/>
      <c r="L720" s="37"/>
      <c r="M720" s="37"/>
      <c r="N720" s="76"/>
      <c r="O720" s="76"/>
      <c r="P720" s="37"/>
      <c r="Q720" s="37"/>
      <c r="R720" s="76"/>
      <c r="S720" s="63"/>
      <c r="T720" s="76"/>
    </row>
    <row r="721" spans="2:20" x14ac:dyDescent="0.35">
      <c r="B721" s="35"/>
      <c r="C721" s="74"/>
      <c r="D721" s="75"/>
      <c r="E721" s="75"/>
      <c r="F721" s="75"/>
      <c r="G721" s="76"/>
      <c r="H721" s="63"/>
      <c r="I721" s="63"/>
      <c r="J721" s="76"/>
      <c r="K721" s="76"/>
      <c r="L721" s="37"/>
      <c r="M721" s="37"/>
      <c r="N721" s="76"/>
      <c r="O721" s="76"/>
      <c r="P721" s="37"/>
      <c r="Q721" s="37"/>
      <c r="R721" s="76"/>
      <c r="S721" s="63"/>
      <c r="T721" s="76"/>
    </row>
    <row r="722" spans="2:20" x14ac:dyDescent="0.35">
      <c r="B722" s="35"/>
      <c r="C722" s="74"/>
      <c r="D722" s="75"/>
      <c r="E722" s="75"/>
      <c r="F722" s="75"/>
      <c r="G722" s="76"/>
      <c r="H722" s="63"/>
      <c r="I722" s="63"/>
      <c r="J722" s="76"/>
      <c r="K722" s="76"/>
      <c r="L722" s="37"/>
      <c r="M722" s="37"/>
      <c r="N722" s="76"/>
      <c r="O722" s="76"/>
      <c r="P722" s="37"/>
      <c r="Q722" s="37"/>
      <c r="R722" s="76"/>
      <c r="S722" s="63"/>
      <c r="T722" s="76"/>
    </row>
    <row r="723" spans="2:20" x14ac:dyDescent="0.35">
      <c r="B723" s="35"/>
      <c r="C723" s="74"/>
      <c r="D723" s="75"/>
      <c r="E723" s="75"/>
      <c r="F723" s="75"/>
      <c r="G723" s="76"/>
      <c r="H723" s="63"/>
      <c r="I723" s="63"/>
      <c r="J723" s="76"/>
      <c r="K723" s="76"/>
      <c r="L723" s="37"/>
      <c r="M723" s="37"/>
      <c r="N723" s="76"/>
      <c r="O723" s="76"/>
      <c r="P723" s="37"/>
      <c r="Q723" s="37"/>
      <c r="R723" s="76"/>
      <c r="S723" s="63"/>
      <c r="T723" s="76"/>
    </row>
    <row r="724" spans="2:20" x14ac:dyDescent="0.35">
      <c r="B724" s="35"/>
      <c r="C724" s="74"/>
      <c r="D724" s="75"/>
      <c r="E724" s="75"/>
      <c r="F724" s="75"/>
      <c r="G724" s="76"/>
      <c r="H724" s="63"/>
      <c r="I724" s="63"/>
      <c r="J724" s="76"/>
      <c r="K724" s="76"/>
      <c r="L724" s="37"/>
      <c r="M724" s="37"/>
      <c r="N724" s="76"/>
      <c r="O724" s="76"/>
      <c r="P724" s="37"/>
      <c r="Q724" s="37"/>
      <c r="R724" s="76"/>
      <c r="S724" s="63"/>
      <c r="T724" s="76"/>
    </row>
    <row r="725" spans="2:20" x14ac:dyDescent="0.35">
      <c r="B725" s="35"/>
      <c r="C725" s="74"/>
      <c r="D725" s="75"/>
      <c r="E725" s="75"/>
      <c r="F725" s="75"/>
      <c r="G725" s="76"/>
      <c r="H725" s="63"/>
      <c r="I725" s="63"/>
      <c r="J725" s="76"/>
      <c r="K725" s="76"/>
      <c r="L725" s="37"/>
      <c r="M725" s="37"/>
      <c r="N725" s="76"/>
      <c r="O725" s="76"/>
      <c r="P725" s="37"/>
      <c r="Q725" s="37"/>
      <c r="R725" s="76"/>
      <c r="S725" s="63"/>
      <c r="T725" s="76"/>
    </row>
    <row r="726" spans="2:20" x14ac:dyDescent="0.35">
      <c r="B726" s="35"/>
      <c r="C726" s="74"/>
      <c r="D726" s="75"/>
      <c r="E726" s="75"/>
      <c r="F726" s="75"/>
      <c r="G726" s="76"/>
      <c r="H726" s="63"/>
      <c r="I726" s="63"/>
      <c r="J726" s="76"/>
      <c r="K726" s="76"/>
      <c r="L726" s="37"/>
      <c r="M726" s="37"/>
      <c r="N726" s="76"/>
      <c r="O726" s="76"/>
      <c r="P726" s="37"/>
      <c r="Q726" s="37"/>
      <c r="R726" s="76"/>
      <c r="S726" s="63"/>
      <c r="T726" s="76"/>
    </row>
    <row r="727" spans="2:20" x14ac:dyDescent="0.35">
      <c r="B727" s="35"/>
      <c r="C727" s="74"/>
      <c r="D727" s="75"/>
      <c r="E727" s="75"/>
      <c r="F727" s="75"/>
      <c r="G727" s="76"/>
      <c r="H727" s="63"/>
      <c r="I727" s="63"/>
      <c r="J727" s="76"/>
      <c r="K727" s="76"/>
      <c r="L727" s="37"/>
      <c r="M727" s="37"/>
      <c r="N727" s="76"/>
      <c r="O727" s="76"/>
      <c r="P727" s="37"/>
      <c r="Q727" s="37"/>
      <c r="R727" s="76"/>
      <c r="S727" s="63"/>
      <c r="T727" s="76"/>
    </row>
    <row r="728" spans="2:20" x14ac:dyDescent="0.35">
      <c r="B728" s="35"/>
      <c r="C728" s="74"/>
      <c r="D728" s="75"/>
      <c r="E728" s="75"/>
      <c r="F728" s="75"/>
      <c r="G728" s="76"/>
      <c r="H728" s="63"/>
      <c r="I728" s="63"/>
      <c r="J728" s="76"/>
      <c r="K728" s="76"/>
      <c r="L728" s="37"/>
      <c r="M728" s="37"/>
      <c r="N728" s="76"/>
      <c r="O728" s="76"/>
      <c r="P728" s="37"/>
      <c r="Q728" s="37"/>
      <c r="R728" s="76"/>
      <c r="S728" s="63"/>
      <c r="T728" s="76"/>
    </row>
    <row r="729" spans="2:20" x14ac:dyDescent="0.35">
      <c r="B729" s="35"/>
      <c r="C729" s="74"/>
      <c r="D729" s="75"/>
      <c r="E729" s="75"/>
      <c r="F729" s="75"/>
      <c r="G729" s="76"/>
      <c r="H729" s="63"/>
      <c r="I729" s="63"/>
      <c r="J729" s="76"/>
      <c r="K729" s="76"/>
      <c r="L729" s="37"/>
      <c r="M729" s="37"/>
      <c r="N729" s="76"/>
      <c r="O729" s="76"/>
      <c r="P729" s="37"/>
      <c r="Q729" s="37"/>
      <c r="R729" s="76"/>
      <c r="S729" s="63"/>
      <c r="T729" s="76"/>
    </row>
    <row r="730" spans="2:20" x14ac:dyDescent="0.35">
      <c r="B730" s="35"/>
      <c r="C730" s="74"/>
      <c r="D730" s="75"/>
      <c r="E730" s="75"/>
      <c r="F730" s="75"/>
      <c r="G730" s="76"/>
      <c r="H730" s="63"/>
      <c r="I730" s="63"/>
      <c r="J730" s="76"/>
      <c r="K730" s="76"/>
      <c r="L730" s="37"/>
      <c r="M730" s="37"/>
      <c r="N730" s="76"/>
      <c r="O730" s="76"/>
      <c r="P730" s="37"/>
      <c r="Q730" s="37"/>
      <c r="R730" s="76"/>
      <c r="S730" s="63"/>
      <c r="T730" s="76"/>
    </row>
    <row r="731" spans="2:20" x14ac:dyDescent="0.35">
      <c r="B731" s="35"/>
      <c r="C731" s="74"/>
      <c r="D731" s="75"/>
      <c r="E731" s="75"/>
      <c r="F731" s="75"/>
      <c r="G731" s="76"/>
      <c r="H731" s="63"/>
      <c r="I731" s="63"/>
      <c r="J731" s="76"/>
      <c r="K731" s="76"/>
      <c r="L731" s="37"/>
      <c r="M731" s="37"/>
      <c r="N731" s="76"/>
      <c r="O731" s="76"/>
      <c r="P731" s="37"/>
      <c r="Q731" s="37"/>
      <c r="R731" s="76"/>
      <c r="S731" s="63"/>
      <c r="T731" s="76"/>
    </row>
    <row r="732" spans="2:20" x14ac:dyDescent="0.35">
      <c r="B732" s="35"/>
      <c r="C732" s="74"/>
      <c r="D732" s="75"/>
      <c r="E732" s="75"/>
      <c r="F732" s="75"/>
      <c r="G732" s="76"/>
      <c r="H732" s="63"/>
      <c r="I732" s="63"/>
      <c r="J732" s="76"/>
      <c r="K732" s="76"/>
      <c r="L732" s="37"/>
      <c r="M732" s="37"/>
      <c r="N732" s="76"/>
      <c r="O732" s="76"/>
      <c r="P732" s="37"/>
      <c r="Q732" s="37"/>
      <c r="R732" s="76"/>
      <c r="S732" s="63"/>
      <c r="T732" s="76"/>
    </row>
    <row r="733" spans="2:20" x14ac:dyDescent="0.35">
      <c r="B733" s="35"/>
      <c r="C733" s="74"/>
      <c r="D733" s="75"/>
      <c r="E733" s="75"/>
      <c r="F733" s="75"/>
      <c r="G733" s="76"/>
      <c r="H733" s="63"/>
      <c r="I733" s="63"/>
      <c r="J733" s="76"/>
      <c r="K733" s="76"/>
      <c r="L733" s="37"/>
      <c r="M733" s="37"/>
      <c r="N733" s="76"/>
      <c r="O733" s="76"/>
      <c r="P733" s="37"/>
      <c r="Q733" s="37"/>
      <c r="R733" s="76"/>
      <c r="S733" s="63"/>
      <c r="T733" s="76"/>
    </row>
    <row r="734" spans="2:20" x14ac:dyDescent="0.35">
      <c r="B734" s="35"/>
      <c r="C734" s="74"/>
      <c r="D734" s="75"/>
      <c r="E734" s="75"/>
      <c r="F734" s="75"/>
      <c r="G734" s="76"/>
      <c r="H734" s="63"/>
      <c r="I734" s="63"/>
      <c r="J734" s="76"/>
      <c r="K734" s="76"/>
      <c r="L734" s="37"/>
      <c r="M734" s="37"/>
      <c r="N734" s="76"/>
      <c r="O734" s="76"/>
      <c r="P734" s="37"/>
      <c r="Q734" s="37"/>
      <c r="R734" s="76"/>
      <c r="S734" s="63"/>
      <c r="T734" s="76"/>
    </row>
    <row r="735" spans="2:20" x14ac:dyDescent="0.35">
      <c r="B735" s="35"/>
      <c r="C735" s="74"/>
      <c r="D735" s="75"/>
      <c r="E735" s="75"/>
      <c r="F735" s="75"/>
      <c r="G735" s="76"/>
      <c r="H735" s="63"/>
      <c r="I735" s="63"/>
      <c r="J735" s="76"/>
      <c r="K735" s="76"/>
      <c r="L735" s="37"/>
      <c r="M735" s="37"/>
      <c r="N735" s="76"/>
      <c r="O735" s="76"/>
      <c r="P735" s="37"/>
      <c r="Q735" s="37"/>
      <c r="R735" s="76"/>
      <c r="S735" s="63"/>
      <c r="T735" s="76"/>
    </row>
    <row r="736" spans="2:20" x14ac:dyDescent="0.35">
      <c r="B736" s="35"/>
      <c r="C736" s="74"/>
      <c r="D736" s="75"/>
      <c r="E736" s="75"/>
      <c r="F736" s="75"/>
      <c r="G736" s="76"/>
      <c r="H736" s="63"/>
      <c r="I736" s="63"/>
      <c r="J736" s="76"/>
      <c r="K736" s="76"/>
      <c r="L736" s="37"/>
      <c r="M736" s="37"/>
      <c r="N736" s="76"/>
      <c r="O736" s="76"/>
      <c r="P736" s="37"/>
      <c r="Q736" s="37"/>
      <c r="R736" s="76"/>
      <c r="S736" s="63"/>
      <c r="T736" s="76"/>
    </row>
    <row r="737" spans="2:20" x14ac:dyDescent="0.35">
      <c r="B737" s="35"/>
      <c r="C737" s="74"/>
      <c r="D737" s="75"/>
      <c r="E737" s="75"/>
      <c r="F737" s="75"/>
      <c r="G737" s="76"/>
      <c r="H737" s="63"/>
      <c r="I737" s="63"/>
      <c r="J737" s="76"/>
      <c r="K737" s="76"/>
      <c r="L737" s="37"/>
      <c r="M737" s="37"/>
      <c r="N737" s="76"/>
      <c r="O737" s="76"/>
      <c r="P737" s="37"/>
      <c r="Q737" s="37"/>
      <c r="R737" s="76"/>
      <c r="S737" s="63"/>
      <c r="T737" s="76"/>
    </row>
    <row r="738" spans="2:20" x14ac:dyDescent="0.35">
      <c r="B738" s="35"/>
      <c r="C738" s="74"/>
      <c r="D738" s="75"/>
      <c r="E738" s="75"/>
      <c r="F738" s="75"/>
      <c r="G738" s="76"/>
      <c r="H738" s="63"/>
      <c r="I738" s="63"/>
      <c r="J738" s="76"/>
      <c r="K738" s="76"/>
      <c r="L738" s="37"/>
      <c r="M738" s="37"/>
      <c r="N738" s="76"/>
      <c r="O738" s="76"/>
      <c r="P738" s="37"/>
      <c r="Q738" s="37"/>
      <c r="R738" s="76"/>
      <c r="S738" s="63"/>
      <c r="T738" s="76"/>
    </row>
    <row r="739" spans="2:20" x14ac:dyDescent="0.35">
      <c r="B739" s="35"/>
      <c r="C739" s="74"/>
      <c r="D739" s="75"/>
      <c r="E739" s="75"/>
      <c r="F739" s="75"/>
      <c r="G739" s="76"/>
      <c r="H739" s="63"/>
      <c r="I739" s="63"/>
      <c r="J739" s="76"/>
      <c r="K739" s="76"/>
      <c r="L739" s="37"/>
      <c r="M739" s="37"/>
      <c r="N739" s="76"/>
      <c r="O739" s="76"/>
      <c r="P739" s="37"/>
      <c r="Q739" s="37"/>
      <c r="R739" s="76"/>
      <c r="S739" s="63"/>
      <c r="T739" s="76"/>
    </row>
    <row r="740" spans="2:20" x14ac:dyDescent="0.35">
      <c r="B740" s="35"/>
      <c r="C740" s="74"/>
      <c r="D740" s="75"/>
      <c r="E740" s="75"/>
      <c r="F740" s="75"/>
      <c r="G740" s="76"/>
      <c r="H740" s="63"/>
      <c r="I740" s="63"/>
      <c r="J740" s="76"/>
      <c r="K740" s="76"/>
      <c r="L740" s="37"/>
      <c r="M740" s="37"/>
      <c r="N740" s="76"/>
      <c r="O740" s="76"/>
      <c r="P740" s="37"/>
      <c r="Q740" s="37"/>
      <c r="R740" s="76"/>
      <c r="S740" s="63"/>
      <c r="T740" s="76"/>
    </row>
    <row r="741" spans="2:20" x14ac:dyDescent="0.35">
      <c r="B741" s="35"/>
      <c r="C741" s="74"/>
      <c r="D741" s="75"/>
      <c r="E741" s="75"/>
      <c r="F741" s="75"/>
      <c r="G741" s="76"/>
      <c r="H741" s="63"/>
      <c r="I741" s="63"/>
      <c r="J741" s="76"/>
      <c r="K741" s="76"/>
      <c r="L741" s="37"/>
      <c r="M741" s="37"/>
      <c r="N741" s="76"/>
      <c r="O741" s="76"/>
      <c r="P741" s="37"/>
      <c r="Q741" s="37"/>
      <c r="R741" s="76"/>
      <c r="S741" s="63"/>
      <c r="T741" s="76"/>
    </row>
    <row r="742" spans="2:20" x14ac:dyDescent="0.35">
      <c r="B742" s="35"/>
      <c r="C742" s="74"/>
      <c r="D742" s="75"/>
      <c r="E742" s="75"/>
      <c r="F742" s="75"/>
      <c r="G742" s="76"/>
      <c r="H742" s="63"/>
      <c r="I742" s="63"/>
      <c r="J742" s="76"/>
      <c r="K742" s="76"/>
      <c r="L742" s="37"/>
      <c r="M742" s="37"/>
      <c r="N742" s="76"/>
      <c r="O742" s="76"/>
      <c r="P742" s="37"/>
      <c r="Q742" s="37"/>
      <c r="R742" s="76"/>
      <c r="S742" s="63"/>
      <c r="T742" s="76"/>
    </row>
    <row r="743" spans="2:20" x14ac:dyDescent="0.35">
      <c r="B743" s="35"/>
      <c r="C743" s="74"/>
      <c r="D743" s="75"/>
      <c r="E743" s="75"/>
      <c r="F743" s="75"/>
      <c r="G743" s="76"/>
      <c r="H743" s="63"/>
      <c r="I743" s="63"/>
      <c r="J743" s="76"/>
      <c r="K743" s="76"/>
      <c r="L743" s="37"/>
      <c r="M743" s="37"/>
      <c r="N743" s="76"/>
      <c r="O743" s="76"/>
      <c r="P743" s="37"/>
      <c r="Q743" s="37"/>
      <c r="R743" s="76"/>
      <c r="S743" s="63"/>
      <c r="T743" s="76"/>
    </row>
    <row r="744" spans="2:20" x14ac:dyDescent="0.35">
      <c r="B744" s="35"/>
      <c r="C744" s="74"/>
      <c r="D744" s="75"/>
      <c r="E744" s="75"/>
      <c r="F744" s="75"/>
      <c r="G744" s="76"/>
      <c r="H744" s="63"/>
      <c r="I744" s="63"/>
      <c r="J744" s="76"/>
      <c r="K744" s="76"/>
      <c r="L744" s="37"/>
      <c r="M744" s="37"/>
      <c r="N744" s="76"/>
      <c r="O744" s="76"/>
      <c r="P744" s="37"/>
      <c r="Q744" s="37"/>
      <c r="R744" s="76"/>
      <c r="S744" s="63"/>
      <c r="T744" s="76"/>
    </row>
    <row r="745" spans="2:20" x14ac:dyDescent="0.35">
      <c r="B745" s="35"/>
      <c r="C745" s="74"/>
      <c r="D745" s="75"/>
      <c r="E745" s="75"/>
      <c r="F745" s="75"/>
      <c r="G745" s="76"/>
      <c r="H745" s="63"/>
      <c r="I745" s="63"/>
      <c r="J745" s="76"/>
      <c r="K745" s="76"/>
      <c r="L745" s="37"/>
      <c r="M745" s="37"/>
      <c r="N745" s="76"/>
      <c r="O745" s="76"/>
      <c r="P745" s="37"/>
      <c r="Q745" s="37"/>
      <c r="R745" s="76"/>
      <c r="S745" s="63"/>
      <c r="T745" s="76"/>
    </row>
    <row r="746" spans="2:20" x14ac:dyDescent="0.35">
      <c r="B746" s="35"/>
      <c r="C746" s="74"/>
      <c r="D746" s="75"/>
      <c r="E746" s="75"/>
      <c r="F746" s="75"/>
      <c r="G746" s="76"/>
      <c r="H746" s="63"/>
      <c r="I746" s="63"/>
      <c r="J746" s="76"/>
      <c r="K746" s="76"/>
      <c r="L746" s="37"/>
      <c r="M746" s="37"/>
      <c r="N746" s="76"/>
      <c r="O746" s="76"/>
      <c r="P746" s="37"/>
      <c r="Q746" s="37"/>
      <c r="R746" s="76"/>
      <c r="S746" s="63"/>
      <c r="T746" s="76"/>
    </row>
    <row r="747" spans="2:20" x14ac:dyDescent="0.35">
      <c r="B747" s="35"/>
      <c r="C747" s="74"/>
      <c r="D747" s="75"/>
      <c r="E747" s="75"/>
      <c r="F747" s="75"/>
      <c r="G747" s="76"/>
      <c r="H747" s="63"/>
      <c r="I747" s="63"/>
      <c r="J747" s="76"/>
      <c r="K747" s="76"/>
      <c r="L747" s="37"/>
      <c r="M747" s="37"/>
      <c r="N747" s="76"/>
      <c r="O747" s="76"/>
      <c r="P747" s="37"/>
      <c r="Q747" s="37"/>
      <c r="R747" s="76"/>
      <c r="S747" s="63"/>
      <c r="T747" s="76"/>
    </row>
    <row r="748" spans="2:20" x14ac:dyDescent="0.35">
      <c r="B748" s="35"/>
      <c r="C748" s="74"/>
      <c r="D748" s="75"/>
      <c r="E748" s="75"/>
      <c r="F748" s="75"/>
      <c r="G748" s="76"/>
      <c r="H748" s="63"/>
      <c r="I748" s="63"/>
      <c r="J748" s="76"/>
      <c r="K748" s="76"/>
      <c r="L748" s="37"/>
      <c r="M748" s="37"/>
      <c r="N748" s="76"/>
      <c r="O748" s="76"/>
      <c r="P748" s="37"/>
      <c r="Q748" s="37"/>
      <c r="R748" s="76"/>
      <c r="S748" s="63"/>
      <c r="T748" s="76"/>
    </row>
    <row r="749" spans="2:20" x14ac:dyDescent="0.35">
      <c r="B749" s="35"/>
      <c r="C749" s="74"/>
      <c r="D749" s="75"/>
      <c r="E749" s="75"/>
      <c r="F749" s="75"/>
      <c r="G749" s="76"/>
      <c r="H749" s="63"/>
      <c r="I749" s="63"/>
      <c r="J749" s="76"/>
      <c r="K749" s="76"/>
      <c r="L749" s="37"/>
      <c r="M749" s="37"/>
      <c r="N749" s="76"/>
      <c r="O749" s="76"/>
      <c r="P749" s="37"/>
      <c r="Q749" s="37"/>
      <c r="R749" s="76"/>
      <c r="S749" s="63"/>
      <c r="T749" s="76"/>
    </row>
    <row r="750" spans="2:20" x14ac:dyDescent="0.35">
      <c r="B750" s="35"/>
      <c r="C750" s="74"/>
      <c r="D750" s="75"/>
      <c r="E750" s="75"/>
      <c r="F750" s="75"/>
      <c r="G750" s="76"/>
      <c r="H750" s="63"/>
      <c r="I750" s="63"/>
      <c r="J750" s="76"/>
      <c r="K750" s="76"/>
      <c r="L750" s="37"/>
      <c r="M750" s="37"/>
      <c r="N750" s="76"/>
      <c r="O750" s="76"/>
      <c r="P750" s="37"/>
      <c r="Q750" s="37"/>
      <c r="R750" s="76"/>
      <c r="S750" s="63"/>
      <c r="T750" s="76"/>
    </row>
    <row r="751" spans="2:20" x14ac:dyDescent="0.35">
      <c r="B751" s="35"/>
      <c r="C751" s="74"/>
      <c r="D751" s="75"/>
      <c r="E751" s="75"/>
      <c r="F751" s="75"/>
      <c r="G751" s="76"/>
      <c r="H751" s="63"/>
      <c r="I751" s="63"/>
      <c r="J751" s="76"/>
      <c r="K751" s="76"/>
      <c r="L751" s="37"/>
      <c r="M751" s="37"/>
      <c r="N751" s="76"/>
      <c r="O751" s="76"/>
      <c r="P751" s="37"/>
      <c r="Q751" s="37"/>
      <c r="R751" s="76"/>
      <c r="S751" s="63"/>
      <c r="T751" s="76"/>
    </row>
    <row r="752" spans="2:20" x14ac:dyDescent="0.35">
      <c r="B752" s="35"/>
      <c r="C752" s="74"/>
      <c r="D752" s="75"/>
      <c r="E752" s="75"/>
      <c r="F752" s="75"/>
      <c r="G752" s="76"/>
      <c r="H752" s="63"/>
      <c r="I752" s="63"/>
      <c r="J752" s="76"/>
      <c r="K752" s="76"/>
      <c r="L752" s="37"/>
      <c r="M752" s="37"/>
      <c r="N752" s="76"/>
      <c r="O752" s="76"/>
      <c r="P752" s="37"/>
      <c r="Q752" s="37"/>
      <c r="R752" s="76"/>
      <c r="S752" s="63"/>
      <c r="T752" s="76"/>
    </row>
    <row r="753" spans="2:20" x14ac:dyDescent="0.35">
      <c r="B753" s="35"/>
      <c r="C753" s="74"/>
      <c r="D753" s="75"/>
      <c r="E753" s="75"/>
      <c r="F753" s="75"/>
      <c r="G753" s="76"/>
      <c r="H753" s="63"/>
      <c r="I753" s="63"/>
      <c r="J753" s="76"/>
      <c r="K753" s="76"/>
      <c r="L753" s="37"/>
      <c r="M753" s="37"/>
      <c r="N753" s="76"/>
      <c r="O753" s="76"/>
      <c r="P753" s="37"/>
      <c r="Q753" s="37"/>
      <c r="R753" s="76"/>
      <c r="S753" s="63"/>
      <c r="T753" s="76"/>
    </row>
    <row r="754" spans="2:20" x14ac:dyDescent="0.35">
      <c r="B754" s="35"/>
      <c r="C754" s="74"/>
      <c r="D754" s="75"/>
      <c r="E754" s="75"/>
      <c r="F754" s="75"/>
      <c r="G754" s="76"/>
      <c r="H754" s="63"/>
      <c r="I754" s="63"/>
      <c r="J754" s="76"/>
      <c r="K754" s="76"/>
      <c r="L754" s="37"/>
      <c r="M754" s="37"/>
      <c r="N754" s="76"/>
      <c r="O754" s="76"/>
      <c r="P754" s="37"/>
      <c r="Q754" s="37"/>
      <c r="R754" s="76"/>
      <c r="S754" s="63"/>
      <c r="T754" s="76"/>
    </row>
    <row r="755" spans="2:20" x14ac:dyDescent="0.35">
      <c r="B755" s="35"/>
      <c r="C755" s="74"/>
      <c r="D755" s="75"/>
      <c r="E755" s="75"/>
      <c r="F755" s="75"/>
      <c r="G755" s="76"/>
      <c r="H755" s="63"/>
      <c r="I755" s="63"/>
      <c r="J755" s="76"/>
      <c r="K755" s="76"/>
      <c r="L755" s="37"/>
      <c r="M755" s="37"/>
      <c r="N755" s="76"/>
      <c r="O755" s="76"/>
      <c r="P755" s="37"/>
      <c r="Q755" s="37"/>
      <c r="R755" s="76"/>
      <c r="S755" s="63"/>
      <c r="T755" s="76"/>
    </row>
    <row r="756" spans="2:20" x14ac:dyDescent="0.35">
      <c r="B756" s="35"/>
      <c r="C756" s="74"/>
      <c r="D756" s="75"/>
      <c r="E756" s="75"/>
      <c r="F756" s="75"/>
      <c r="G756" s="76"/>
      <c r="H756" s="63"/>
      <c r="I756" s="63"/>
      <c r="J756" s="76"/>
      <c r="K756" s="76"/>
      <c r="L756" s="37"/>
      <c r="M756" s="37"/>
      <c r="N756" s="76"/>
      <c r="O756" s="76"/>
      <c r="P756" s="37"/>
      <c r="Q756" s="37"/>
      <c r="R756" s="76"/>
      <c r="S756" s="63"/>
      <c r="T756" s="76"/>
    </row>
    <row r="757" spans="2:20" x14ac:dyDescent="0.35">
      <c r="B757" s="35"/>
      <c r="C757" s="74"/>
      <c r="D757" s="75"/>
      <c r="E757" s="75"/>
      <c r="F757" s="75"/>
      <c r="G757" s="76"/>
      <c r="H757" s="63"/>
      <c r="I757" s="63"/>
      <c r="J757" s="76"/>
      <c r="K757" s="76"/>
      <c r="L757" s="37"/>
      <c r="M757" s="37"/>
      <c r="N757" s="76"/>
      <c r="O757" s="76"/>
      <c r="P757" s="37"/>
      <c r="Q757" s="37"/>
      <c r="R757" s="76"/>
      <c r="S757" s="63"/>
      <c r="T757" s="76"/>
    </row>
    <row r="758" spans="2:20" x14ac:dyDescent="0.35">
      <c r="B758" s="35"/>
      <c r="C758" s="74"/>
      <c r="D758" s="75"/>
      <c r="E758" s="75"/>
      <c r="F758" s="75"/>
      <c r="G758" s="76"/>
      <c r="H758" s="63"/>
      <c r="I758" s="63"/>
      <c r="J758" s="76"/>
      <c r="K758" s="76"/>
      <c r="L758" s="37"/>
      <c r="M758" s="37"/>
      <c r="N758" s="76"/>
      <c r="O758" s="76"/>
      <c r="P758" s="37"/>
      <c r="Q758" s="37"/>
      <c r="R758" s="76"/>
      <c r="S758" s="63"/>
      <c r="T758" s="76"/>
    </row>
    <row r="759" spans="2:20" x14ac:dyDescent="0.35">
      <c r="B759" s="35"/>
      <c r="C759" s="74"/>
      <c r="D759" s="75"/>
      <c r="E759" s="75"/>
      <c r="F759" s="75"/>
      <c r="G759" s="76"/>
      <c r="H759" s="63"/>
      <c r="I759" s="63"/>
      <c r="J759" s="76"/>
      <c r="K759" s="76"/>
      <c r="L759" s="37"/>
      <c r="M759" s="37"/>
      <c r="N759" s="76"/>
      <c r="O759" s="76"/>
      <c r="P759" s="37"/>
      <c r="Q759" s="37"/>
      <c r="R759" s="76"/>
      <c r="S759" s="63"/>
      <c r="T759" s="76"/>
    </row>
    <row r="760" spans="2:20" x14ac:dyDescent="0.35">
      <c r="B760" s="35"/>
      <c r="C760" s="74"/>
      <c r="D760" s="75"/>
      <c r="E760" s="75"/>
      <c r="F760" s="75"/>
      <c r="G760" s="76"/>
      <c r="H760" s="63"/>
      <c r="I760" s="63"/>
      <c r="J760" s="76"/>
      <c r="K760" s="76"/>
      <c r="L760" s="37"/>
      <c r="M760" s="37"/>
      <c r="N760" s="76"/>
      <c r="O760" s="76"/>
      <c r="P760" s="37"/>
      <c r="Q760" s="37"/>
      <c r="R760" s="76"/>
      <c r="S760" s="63"/>
      <c r="T760" s="76"/>
    </row>
    <row r="761" spans="2:20" x14ac:dyDescent="0.35">
      <c r="B761" s="35"/>
      <c r="C761" s="74"/>
      <c r="D761" s="75"/>
      <c r="E761" s="75"/>
      <c r="F761" s="75"/>
      <c r="G761" s="76"/>
      <c r="H761" s="63"/>
      <c r="I761" s="63"/>
      <c r="J761" s="76"/>
      <c r="K761" s="76"/>
      <c r="L761" s="37"/>
      <c r="M761" s="37"/>
      <c r="N761" s="76"/>
      <c r="O761" s="76"/>
      <c r="P761" s="37"/>
      <c r="Q761" s="37"/>
      <c r="R761" s="76"/>
      <c r="S761" s="63"/>
      <c r="T761" s="76"/>
    </row>
    <row r="762" spans="2:20" x14ac:dyDescent="0.35">
      <c r="B762" s="35"/>
      <c r="C762" s="74"/>
      <c r="D762" s="75"/>
      <c r="E762" s="75"/>
      <c r="F762" s="75"/>
      <c r="G762" s="76"/>
      <c r="H762" s="63"/>
      <c r="I762" s="63"/>
      <c r="J762" s="76"/>
      <c r="K762" s="76"/>
      <c r="L762" s="37"/>
      <c r="M762" s="37"/>
      <c r="N762" s="76"/>
      <c r="O762" s="76"/>
      <c r="P762" s="37"/>
      <c r="Q762" s="37"/>
      <c r="R762" s="76"/>
      <c r="S762" s="63"/>
      <c r="T762" s="76"/>
    </row>
    <row r="763" spans="2:20" x14ac:dyDescent="0.35">
      <c r="B763" s="35"/>
      <c r="C763" s="74"/>
      <c r="D763" s="75"/>
      <c r="E763" s="75"/>
      <c r="F763" s="75"/>
      <c r="G763" s="76"/>
      <c r="H763" s="63"/>
      <c r="I763" s="63"/>
      <c r="J763" s="76"/>
      <c r="K763" s="76"/>
      <c r="L763" s="37"/>
      <c r="M763" s="37"/>
      <c r="N763" s="76"/>
      <c r="O763" s="76"/>
      <c r="P763" s="37"/>
      <c r="Q763" s="37"/>
      <c r="R763" s="76"/>
      <c r="S763" s="63"/>
      <c r="T763" s="76"/>
    </row>
    <row r="764" spans="2:20" x14ac:dyDescent="0.35">
      <c r="B764" s="35"/>
      <c r="C764" s="74"/>
      <c r="D764" s="75"/>
      <c r="E764" s="75"/>
      <c r="F764" s="75"/>
      <c r="G764" s="76"/>
      <c r="H764" s="63"/>
      <c r="I764" s="63"/>
      <c r="J764" s="76"/>
      <c r="K764" s="76"/>
      <c r="L764" s="37"/>
      <c r="M764" s="37"/>
      <c r="N764" s="76"/>
      <c r="O764" s="76"/>
      <c r="P764" s="37"/>
      <c r="Q764" s="37"/>
      <c r="R764" s="76"/>
      <c r="S764" s="63"/>
      <c r="T764" s="76"/>
    </row>
    <row r="765" spans="2:20" x14ac:dyDescent="0.35">
      <c r="B765" s="35"/>
      <c r="C765" s="74"/>
      <c r="D765" s="75"/>
      <c r="E765" s="75"/>
      <c r="F765" s="75"/>
      <c r="G765" s="76"/>
      <c r="H765" s="63"/>
      <c r="I765" s="63"/>
      <c r="J765" s="76"/>
      <c r="K765" s="76"/>
      <c r="L765" s="37"/>
      <c r="M765" s="37"/>
      <c r="N765" s="76"/>
      <c r="O765" s="76"/>
      <c r="P765" s="37"/>
      <c r="Q765" s="37"/>
      <c r="R765" s="76"/>
      <c r="S765" s="63"/>
      <c r="T765" s="76"/>
    </row>
    <row r="766" spans="2:20" x14ac:dyDescent="0.35">
      <c r="B766" s="35"/>
      <c r="C766" s="74"/>
      <c r="D766" s="75"/>
      <c r="E766" s="75"/>
      <c r="F766" s="75"/>
      <c r="G766" s="76"/>
      <c r="H766" s="63"/>
      <c r="I766" s="63"/>
      <c r="J766" s="76"/>
      <c r="K766" s="76"/>
      <c r="L766" s="37"/>
      <c r="M766" s="37"/>
      <c r="N766" s="76"/>
      <c r="O766" s="76"/>
      <c r="P766" s="37"/>
      <c r="Q766" s="37"/>
      <c r="R766" s="76"/>
      <c r="S766" s="63"/>
      <c r="T766" s="76"/>
    </row>
    <row r="767" spans="2:20" x14ac:dyDescent="0.35">
      <c r="B767" s="35"/>
      <c r="C767" s="74"/>
      <c r="D767" s="75"/>
      <c r="E767" s="75"/>
      <c r="F767" s="75"/>
      <c r="G767" s="76"/>
      <c r="H767" s="63"/>
      <c r="I767" s="63"/>
      <c r="J767" s="76"/>
      <c r="K767" s="76"/>
      <c r="L767" s="37"/>
      <c r="M767" s="37"/>
      <c r="N767" s="76"/>
      <c r="O767" s="76"/>
      <c r="P767" s="37"/>
      <c r="Q767" s="37"/>
      <c r="R767" s="76"/>
      <c r="S767" s="63"/>
      <c r="T767" s="76"/>
    </row>
    <row r="768" spans="2:20" x14ac:dyDescent="0.35">
      <c r="B768" s="35"/>
      <c r="C768" s="74"/>
      <c r="D768" s="75"/>
      <c r="E768" s="75"/>
      <c r="F768" s="75"/>
      <c r="G768" s="76"/>
      <c r="H768" s="63"/>
      <c r="I768" s="63"/>
      <c r="J768" s="76"/>
      <c r="K768" s="76"/>
      <c r="L768" s="37"/>
      <c r="M768" s="37"/>
      <c r="N768" s="76"/>
      <c r="O768" s="76"/>
      <c r="P768" s="37"/>
      <c r="Q768" s="37"/>
      <c r="R768" s="76"/>
      <c r="S768" s="63"/>
      <c r="T768" s="76"/>
    </row>
    <row r="769" spans="2:20" x14ac:dyDescent="0.35">
      <c r="B769" s="35"/>
      <c r="C769" s="74"/>
      <c r="D769" s="75"/>
      <c r="E769" s="75"/>
      <c r="F769" s="75"/>
      <c r="G769" s="76"/>
      <c r="H769" s="63"/>
      <c r="I769" s="63"/>
      <c r="J769" s="76"/>
      <c r="K769" s="76"/>
      <c r="L769" s="37"/>
      <c r="M769" s="37"/>
      <c r="N769" s="76"/>
      <c r="O769" s="76"/>
      <c r="P769" s="37"/>
      <c r="Q769" s="37"/>
      <c r="R769" s="76"/>
      <c r="S769" s="63"/>
      <c r="T769" s="76"/>
    </row>
    <row r="770" spans="2:20" x14ac:dyDescent="0.35">
      <c r="B770" s="35"/>
      <c r="C770" s="74"/>
      <c r="D770" s="75"/>
      <c r="E770" s="75"/>
      <c r="F770" s="75"/>
      <c r="G770" s="76"/>
      <c r="H770" s="63"/>
      <c r="I770" s="63"/>
      <c r="J770" s="76"/>
      <c r="K770" s="76"/>
      <c r="L770" s="37"/>
      <c r="M770" s="37"/>
      <c r="N770" s="76"/>
      <c r="O770" s="76"/>
      <c r="P770" s="37"/>
      <c r="Q770" s="37"/>
      <c r="R770" s="76"/>
      <c r="S770" s="63"/>
      <c r="T770" s="76"/>
    </row>
    <row r="771" spans="2:20" x14ac:dyDescent="0.35">
      <c r="B771" s="35"/>
      <c r="C771" s="74"/>
      <c r="D771" s="75"/>
      <c r="E771" s="75"/>
      <c r="F771" s="75"/>
      <c r="G771" s="76"/>
      <c r="H771" s="63"/>
      <c r="I771" s="63"/>
      <c r="J771" s="76"/>
      <c r="K771" s="76"/>
      <c r="L771" s="37"/>
      <c r="M771" s="37"/>
      <c r="N771" s="76"/>
      <c r="O771" s="76"/>
      <c r="P771" s="37"/>
      <c r="Q771" s="37"/>
      <c r="R771" s="76"/>
      <c r="S771" s="63"/>
      <c r="T771" s="76"/>
    </row>
    <row r="772" spans="2:20" x14ac:dyDescent="0.35">
      <c r="B772" s="35"/>
      <c r="C772" s="74"/>
      <c r="D772" s="75"/>
      <c r="E772" s="75"/>
      <c r="F772" s="75"/>
      <c r="G772" s="76"/>
      <c r="H772" s="63"/>
      <c r="I772" s="63"/>
      <c r="J772" s="76"/>
      <c r="K772" s="76"/>
      <c r="L772" s="37"/>
      <c r="M772" s="37"/>
      <c r="N772" s="76"/>
      <c r="O772" s="76"/>
      <c r="P772" s="37"/>
      <c r="Q772" s="37"/>
      <c r="R772" s="76"/>
      <c r="S772" s="63"/>
      <c r="T772" s="76"/>
    </row>
    <row r="773" spans="2:20" x14ac:dyDescent="0.35">
      <c r="B773" s="35"/>
      <c r="C773" s="74"/>
      <c r="D773" s="75"/>
      <c r="E773" s="75"/>
      <c r="F773" s="75"/>
      <c r="G773" s="76"/>
      <c r="H773" s="63"/>
      <c r="I773" s="63"/>
      <c r="J773" s="76"/>
      <c r="K773" s="76"/>
      <c r="L773" s="37"/>
      <c r="M773" s="37"/>
      <c r="N773" s="76"/>
      <c r="O773" s="76"/>
      <c r="P773" s="37"/>
      <c r="Q773" s="37"/>
      <c r="R773" s="76"/>
      <c r="S773" s="63"/>
      <c r="T773" s="76"/>
    </row>
    <row r="774" spans="2:20" x14ac:dyDescent="0.35">
      <c r="B774" s="35"/>
      <c r="C774" s="74"/>
      <c r="D774" s="75"/>
      <c r="E774" s="75"/>
      <c r="F774" s="75"/>
      <c r="G774" s="76"/>
      <c r="H774" s="63"/>
      <c r="I774" s="63"/>
      <c r="J774" s="76"/>
      <c r="K774" s="76"/>
      <c r="L774" s="37"/>
      <c r="M774" s="37"/>
      <c r="N774" s="76"/>
      <c r="O774" s="76"/>
      <c r="P774" s="37"/>
      <c r="Q774" s="37"/>
      <c r="R774" s="76"/>
      <c r="S774" s="63"/>
      <c r="T774" s="76"/>
    </row>
    <row r="775" spans="2:20" x14ac:dyDescent="0.35">
      <c r="B775" s="35"/>
      <c r="C775" s="74"/>
      <c r="D775" s="75"/>
      <c r="E775" s="75"/>
      <c r="F775" s="75"/>
      <c r="G775" s="76"/>
      <c r="H775" s="63"/>
      <c r="I775" s="63"/>
      <c r="J775" s="76"/>
      <c r="K775" s="76"/>
      <c r="L775" s="37"/>
      <c r="M775" s="37"/>
      <c r="N775" s="76"/>
      <c r="O775" s="76"/>
      <c r="P775" s="37"/>
      <c r="Q775" s="37"/>
      <c r="R775" s="76"/>
      <c r="S775" s="63"/>
      <c r="T775" s="76"/>
    </row>
    <row r="776" spans="2:20" x14ac:dyDescent="0.35">
      <c r="B776" s="35"/>
      <c r="C776" s="74"/>
      <c r="D776" s="75"/>
      <c r="E776" s="75"/>
      <c r="F776" s="75"/>
      <c r="G776" s="76"/>
      <c r="H776" s="63"/>
      <c r="I776" s="63"/>
      <c r="J776" s="76"/>
      <c r="K776" s="76"/>
      <c r="L776" s="37"/>
      <c r="M776" s="37"/>
      <c r="N776" s="76"/>
      <c r="O776" s="76"/>
      <c r="P776" s="37"/>
      <c r="Q776" s="37"/>
      <c r="R776" s="76"/>
      <c r="S776" s="63"/>
      <c r="T776" s="76"/>
    </row>
    <row r="777" spans="2:20" x14ac:dyDescent="0.35">
      <c r="B777" s="35"/>
      <c r="C777" s="74"/>
      <c r="D777" s="75"/>
      <c r="E777" s="75"/>
      <c r="F777" s="75"/>
      <c r="G777" s="76"/>
      <c r="H777" s="63"/>
      <c r="I777" s="63"/>
      <c r="J777" s="76"/>
      <c r="K777" s="76"/>
      <c r="L777" s="37"/>
      <c r="M777" s="37"/>
      <c r="N777" s="76"/>
      <c r="O777" s="76"/>
      <c r="P777" s="37"/>
      <c r="Q777" s="37"/>
      <c r="R777" s="76"/>
      <c r="S777" s="63"/>
      <c r="T777" s="76"/>
    </row>
    <row r="778" spans="2:20" x14ac:dyDescent="0.35">
      <c r="B778" s="35"/>
      <c r="C778" s="74"/>
      <c r="D778" s="75"/>
      <c r="E778" s="75"/>
      <c r="F778" s="75"/>
      <c r="G778" s="76"/>
      <c r="H778" s="63"/>
      <c r="I778" s="63"/>
      <c r="J778" s="76"/>
      <c r="K778" s="76"/>
      <c r="L778" s="37"/>
      <c r="M778" s="37"/>
      <c r="N778" s="76"/>
      <c r="O778" s="76"/>
      <c r="P778" s="37"/>
      <c r="Q778" s="37"/>
      <c r="R778" s="76"/>
      <c r="S778" s="63"/>
      <c r="T778" s="76"/>
    </row>
    <row r="779" spans="2:20" x14ac:dyDescent="0.35">
      <c r="B779" s="35"/>
      <c r="C779" s="74"/>
      <c r="D779" s="75"/>
      <c r="E779" s="75"/>
      <c r="F779" s="75"/>
      <c r="G779" s="76"/>
      <c r="H779" s="63"/>
      <c r="I779" s="63"/>
      <c r="J779" s="76"/>
      <c r="K779" s="76"/>
      <c r="L779" s="37"/>
      <c r="M779" s="37"/>
      <c r="N779" s="76"/>
      <c r="O779" s="76"/>
      <c r="P779" s="37"/>
      <c r="Q779" s="37"/>
      <c r="R779" s="76"/>
      <c r="S779" s="63"/>
      <c r="T779" s="76"/>
    </row>
    <row r="780" spans="2:20" x14ac:dyDescent="0.35">
      <c r="B780" s="35"/>
      <c r="C780" s="74"/>
      <c r="D780" s="75"/>
      <c r="E780" s="75"/>
      <c r="F780" s="75"/>
      <c r="G780" s="76"/>
      <c r="H780" s="63"/>
      <c r="I780" s="63"/>
      <c r="J780" s="76"/>
      <c r="K780" s="76"/>
      <c r="L780" s="37"/>
      <c r="M780" s="37"/>
      <c r="N780" s="76"/>
      <c r="O780" s="76"/>
      <c r="P780" s="37"/>
      <c r="Q780" s="37"/>
      <c r="R780" s="76"/>
      <c r="S780" s="63"/>
      <c r="T780" s="76"/>
    </row>
    <row r="781" spans="2:20" x14ac:dyDescent="0.35">
      <c r="B781" s="35"/>
      <c r="C781" s="74"/>
      <c r="D781" s="75"/>
      <c r="E781" s="75"/>
      <c r="F781" s="75"/>
      <c r="G781" s="76"/>
      <c r="H781" s="63"/>
      <c r="I781" s="63"/>
      <c r="J781" s="76"/>
      <c r="K781" s="76"/>
      <c r="L781" s="37"/>
      <c r="M781" s="37"/>
      <c r="N781" s="76"/>
      <c r="O781" s="76"/>
      <c r="P781" s="37"/>
      <c r="Q781" s="37"/>
      <c r="R781" s="76"/>
      <c r="S781" s="63"/>
      <c r="T781" s="76"/>
    </row>
    <row r="782" spans="2:20" x14ac:dyDescent="0.35">
      <c r="B782" s="35"/>
      <c r="C782" s="74"/>
      <c r="D782" s="75"/>
      <c r="E782" s="75"/>
      <c r="F782" s="75"/>
      <c r="G782" s="76"/>
      <c r="H782" s="63"/>
      <c r="I782" s="63"/>
      <c r="J782" s="76"/>
      <c r="K782" s="76"/>
      <c r="L782" s="37"/>
      <c r="M782" s="37"/>
      <c r="N782" s="76"/>
      <c r="O782" s="76"/>
      <c r="P782" s="37"/>
      <c r="Q782" s="37"/>
      <c r="R782" s="76"/>
      <c r="S782" s="63"/>
      <c r="T782" s="76"/>
    </row>
    <row r="783" spans="2:20" x14ac:dyDescent="0.35">
      <c r="B783" s="35"/>
      <c r="C783" s="74"/>
      <c r="D783" s="75"/>
      <c r="E783" s="75"/>
      <c r="F783" s="75"/>
      <c r="G783" s="76"/>
      <c r="H783" s="63"/>
      <c r="I783" s="63"/>
      <c r="J783" s="76"/>
      <c r="K783" s="76"/>
      <c r="L783" s="37"/>
      <c r="M783" s="37"/>
      <c r="N783" s="76"/>
      <c r="O783" s="76"/>
      <c r="P783" s="37"/>
      <c r="Q783" s="37"/>
      <c r="R783" s="76"/>
      <c r="S783" s="63"/>
      <c r="T783" s="76"/>
    </row>
    <row r="784" spans="2:20" x14ac:dyDescent="0.35">
      <c r="B784" s="35"/>
      <c r="C784" s="74"/>
      <c r="D784" s="75"/>
      <c r="E784" s="75"/>
      <c r="F784" s="75"/>
      <c r="G784" s="76"/>
      <c r="H784" s="63"/>
      <c r="I784" s="63"/>
      <c r="J784" s="76"/>
      <c r="K784" s="76"/>
      <c r="L784" s="37"/>
      <c r="M784" s="37"/>
      <c r="N784" s="76"/>
      <c r="O784" s="76"/>
      <c r="P784" s="37"/>
      <c r="Q784" s="37"/>
      <c r="R784" s="76"/>
      <c r="S784" s="63"/>
      <c r="T784" s="76"/>
    </row>
    <row r="785" spans="2:20" x14ac:dyDescent="0.35">
      <c r="B785" s="35"/>
      <c r="C785" s="74"/>
      <c r="D785" s="75"/>
      <c r="E785" s="75"/>
      <c r="F785" s="75"/>
      <c r="G785" s="76"/>
      <c r="H785" s="63"/>
      <c r="I785" s="63"/>
      <c r="J785" s="76"/>
      <c r="K785" s="76"/>
      <c r="L785" s="37"/>
      <c r="M785" s="37"/>
      <c r="N785" s="76"/>
      <c r="O785" s="76"/>
      <c r="P785" s="37"/>
      <c r="Q785" s="37"/>
      <c r="R785" s="76"/>
      <c r="S785" s="63"/>
      <c r="T785" s="76"/>
    </row>
    <row r="786" spans="2:20" x14ac:dyDescent="0.35">
      <c r="B786" s="35"/>
      <c r="C786" s="74"/>
      <c r="D786" s="75"/>
      <c r="E786" s="75"/>
      <c r="F786" s="75"/>
      <c r="G786" s="76"/>
      <c r="H786" s="63"/>
      <c r="I786" s="63"/>
      <c r="J786" s="76"/>
      <c r="K786" s="76"/>
      <c r="L786" s="37"/>
      <c r="M786" s="37"/>
      <c r="N786" s="76"/>
      <c r="O786" s="76"/>
      <c r="P786" s="37"/>
      <c r="Q786" s="37"/>
      <c r="R786" s="76"/>
      <c r="S786" s="63"/>
      <c r="T786" s="76"/>
    </row>
    <row r="787" spans="2:20" x14ac:dyDescent="0.35">
      <c r="B787" s="35"/>
      <c r="C787" s="74"/>
      <c r="D787" s="75"/>
      <c r="E787" s="75"/>
      <c r="F787" s="75"/>
      <c r="G787" s="76"/>
      <c r="H787" s="63"/>
      <c r="I787" s="63"/>
      <c r="J787" s="76"/>
      <c r="K787" s="76"/>
      <c r="L787" s="37"/>
      <c r="M787" s="37"/>
      <c r="N787" s="76"/>
      <c r="O787" s="76"/>
      <c r="P787" s="37"/>
      <c r="Q787" s="37"/>
      <c r="R787" s="76"/>
      <c r="S787" s="63"/>
      <c r="T787" s="76"/>
    </row>
    <row r="788" spans="2:20" x14ac:dyDescent="0.35">
      <c r="B788" s="35"/>
      <c r="C788" s="74"/>
      <c r="D788" s="75"/>
      <c r="E788" s="75"/>
      <c r="F788" s="75"/>
      <c r="G788" s="76"/>
      <c r="H788" s="63"/>
      <c r="I788" s="63"/>
      <c r="J788" s="76"/>
      <c r="K788" s="76"/>
      <c r="L788" s="37"/>
      <c r="M788" s="37"/>
      <c r="N788" s="76"/>
      <c r="O788" s="76"/>
      <c r="P788" s="37"/>
      <c r="Q788" s="37"/>
      <c r="R788" s="76"/>
      <c r="S788" s="63"/>
      <c r="T788" s="76"/>
    </row>
    <row r="789" spans="2:20" x14ac:dyDescent="0.35">
      <c r="B789" s="35"/>
      <c r="C789" s="74"/>
      <c r="D789" s="75"/>
      <c r="E789" s="75"/>
      <c r="F789" s="75"/>
      <c r="G789" s="76"/>
      <c r="H789" s="63"/>
      <c r="I789" s="63"/>
      <c r="J789" s="76"/>
      <c r="K789" s="76"/>
      <c r="L789" s="37"/>
      <c r="M789" s="37"/>
      <c r="N789" s="76"/>
      <c r="O789" s="76"/>
      <c r="P789" s="37"/>
      <c r="Q789" s="37"/>
      <c r="R789" s="76"/>
      <c r="S789" s="63"/>
      <c r="T789" s="76"/>
    </row>
    <row r="790" spans="2:20" x14ac:dyDescent="0.35">
      <c r="B790" s="35"/>
      <c r="C790" s="74"/>
      <c r="D790" s="75"/>
      <c r="E790" s="75"/>
      <c r="F790" s="75"/>
      <c r="G790" s="76"/>
      <c r="H790" s="63"/>
      <c r="I790" s="63"/>
      <c r="J790" s="76"/>
      <c r="K790" s="76"/>
      <c r="L790" s="37"/>
      <c r="M790" s="37"/>
      <c r="N790" s="76"/>
      <c r="O790" s="76"/>
      <c r="P790" s="37"/>
      <c r="Q790" s="37"/>
      <c r="R790" s="76"/>
      <c r="S790" s="63"/>
      <c r="T790" s="76"/>
    </row>
    <row r="791" spans="2:20" x14ac:dyDescent="0.35">
      <c r="B791" s="35"/>
      <c r="C791" s="74"/>
      <c r="D791" s="75"/>
      <c r="E791" s="75"/>
      <c r="F791" s="75"/>
      <c r="G791" s="76"/>
      <c r="H791" s="63"/>
      <c r="I791" s="63"/>
      <c r="J791" s="76"/>
      <c r="K791" s="76"/>
      <c r="L791" s="37"/>
      <c r="M791" s="37"/>
      <c r="N791" s="76"/>
      <c r="O791" s="76"/>
      <c r="P791" s="37"/>
      <c r="Q791" s="37"/>
      <c r="R791" s="76"/>
      <c r="S791" s="63"/>
      <c r="T791" s="76"/>
    </row>
    <row r="792" spans="2:20" x14ac:dyDescent="0.35">
      <c r="B792" s="35"/>
      <c r="C792" s="74"/>
      <c r="D792" s="75"/>
      <c r="E792" s="75"/>
      <c r="F792" s="75"/>
      <c r="G792" s="76"/>
      <c r="H792" s="63"/>
      <c r="I792" s="63"/>
      <c r="J792" s="76"/>
      <c r="K792" s="76"/>
      <c r="L792" s="37"/>
      <c r="M792" s="37"/>
      <c r="N792" s="76"/>
      <c r="O792" s="76"/>
      <c r="P792" s="37"/>
      <c r="Q792" s="37"/>
      <c r="R792" s="76"/>
      <c r="S792" s="63"/>
      <c r="T792" s="76"/>
    </row>
    <row r="793" spans="2:20" x14ac:dyDescent="0.35">
      <c r="B793" s="35"/>
      <c r="C793" s="74"/>
      <c r="D793" s="75"/>
      <c r="E793" s="75"/>
      <c r="F793" s="75"/>
      <c r="G793" s="76"/>
      <c r="H793" s="63"/>
      <c r="I793" s="63"/>
      <c r="J793" s="76"/>
      <c r="K793" s="76"/>
      <c r="L793" s="37"/>
      <c r="M793" s="37"/>
      <c r="N793" s="76"/>
      <c r="O793" s="76"/>
      <c r="P793" s="37"/>
      <c r="Q793" s="37"/>
      <c r="R793" s="76"/>
      <c r="S793" s="63"/>
      <c r="T793" s="76"/>
    </row>
    <row r="794" spans="2:20" x14ac:dyDescent="0.35">
      <c r="B794" s="35"/>
      <c r="C794" s="74"/>
      <c r="D794" s="75"/>
      <c r="E794" s="75"/>
      <c r="F794" s="75"/>
      <c r="G794" s="76"/>
      <c r="H794" s="63"/>
      <c r="I794" s="63"/>
      <c r="J794" s="76"/>
      <c r="K794" s="76"/>
      <c r="L794" s="37"/>
      <c r="M794" s="37"/>
      <c r="N794" s="76"/>
      <c r="O794" s="76"/>
      <c r="P794" s="37"/>
      <c r="Q794" s="37"/>
      <c r="R794" s="76"/>
      <c r="S794" s="63"/>
      <c r="T794" s="76"/>
    </row>
    <row r="795" spans="2:20" x14ac:dyDescent="0.35">
      <c r="B795" s="35"/>
      <c r="C795" s="74"/>
      <c r="D795" s="75"/>
      <c r="E795" s="75"/>
      <c r="F795" s="75"/>
      <c r="G795" s="76"/>
      <c r="H795" s="63"/>
      <c r="I795" s="63"/>
      <c r="J795" s="76"/>
      <c r="K795" s="76"/>
      <c r="L795" s="37"/>
      <c r="M795" s="37"/>
      <c r="N795" s="76"/>
      <c r="O795" s="76"/>
      <c r="P795" s="37"/>
      <c r="Q795" s="37"/>
      <c r="R795" s="76"/>
      <c r="S795" s="63"/>
      <c r="T795" s="76"/>
    </row>
    <row r="796" spans="2:20" x14ac:dyDescent="0.35">
      <c r="B796" s="35"/>
      <c r="C796" s="74"/>
      <c r="D796" s="75"/>
      <c r="E796" s="75"/>
      <c r="F796" s="75"/>
      <c r="G796" s="76"/>
      <c r="H796" s="63"/>
      <c r="I796" s="63"/>
      <c r="J796" s="76"/>
      <c r="K796" s="76"/>
      <c r="L796" s="37"/>
      <c r="M796" s="37"/>
      <c r="N796" s="76"/>
      <c r="O796" s="76"/>
      <c r="P796" s="37"/>
      <c r="Q796" s="37"/>
      <c r="R796" s="76"/>
      <c r="S796" s="63"/>
      <c r="T796" s="76"/>
    </row>
    <row r="797" spans="2:20" x14ac:dyDescent="0.35">
      <c r="B797" s="35"/>
      <c r="C797" s="74"/>
      <c r="D797" s="75"/>
      <c r="E797" s="75"/>
      <c r="F797" s="75"/>
      <c r="G797" s="76"/>
      <c r="H797" s="63"/>
      <c r="I797" s="63"/>
      <c r="J797" s="76"/>
      <c r="K797" s="76"/>
      <c r="L797" s="37"/>
      <c r="M797" s="37"/>
      <c r="N797" s="76"/>
      <c r="O797" s="76"/>
      <c r="P797" s="37"/>
      <c r="Q797" s="37"/>
      <c r="R797" s="76"/>
      <c r="S797" s="63"/>
      <c r="T797" s="76"/>
    </row>
    <row r="798" spans="2:20" x14ac:dyDescent="0.35">
      <c r="B798" s="35"/>
      <c r="C798" s="74"/>
      <c r="D798" s="75"/>
      <c r="E798" s="75"/>
      <c r="F798" s="75"/>
      <c r="G798" s="76"/>
      <c r="H798" s="63"/>
      <c r="I798" s="63"/>
      <c r="J798" s="76"/>
      <c r="K798" s="76"/>
      <c r="L798" s="37"/>
      <c r="M798" s="37"/>
      <c r="N798" s="76"/>
      <c r="O798" s="76"/>
      <c r="P798" s="37"/>
      <c r="Q798" s="37"/>
      <c r="R798" s="76"/>
      <c r="S798" s="63"/>
      <c r="T798" s="76"/>
    </row>
    <row r="799" spans="2:20" x14ac:dyDescent="0.35">
      <c r="B799" s="35"/>
      <c r="C799" s="74"/>
      <c r="D799" s="75"/>
      <c r="E799" s="75"/>
      <c r="F799" s="75"/>
      <c r="G799" s="76"/>
      <c r="H799" s="63"/>
      <c r="I799" s="63"/>
      <c r="J799" s="76"/>
      <c r="K799" s="76"/>
      <c r="L799" s="37"/>
      <c r="M799" s="37"/>
      <c r="N799" s="76"/>
      <c r="O799" s="76"/>
      <c r="P799" s="37"/>
      <c r="Q799" s="37"/>
      <c r="R799" s="76"/>
      <c r="S799" s="63"/>
      <c r="T799" s="76"/>
    </row>
    <row r="800" spans="2:20" x14ac:dyDescent="0.35">
      <c r="B800" s="35"/>
      <c r="C800" s="74"/>
      <c r="D800" s="75"/>
      <c r="E800" s="75"/>
      <c r="F800" s="75"/>
      <c r="G800" s="76"/>
      <c r="H800" s="63"/>
      <c r="I800" s="63"/>
      <c r="J800" s="76"/>
      <c r="K800" s="76"/>
      <c r="L800" s="37"/>
      <c r="M800" s="37"/>
      <c r="N800" s="76"/>
      <c r="O800" s="76"/>
      <c r="P800" s="37"/>
      <c r="Q800" s="37"/>
      <c r="R800" s="76"/>
      <c r="S800" s="63"/>
      <c r="T800" s="76"/>
    </row>
    <row r="801" spans="2:20" x14ac:dyDescent="0.35">
      <c r="B801" s="35"/>
      <c r="C801" s="74"/>
      <c r="D801" s="75"/>
      <c r="E801" s="75"/>
      <c r="F801" s="75"/>
      <c r="G801" s="76"/>
      <c r="H801" s="63"/>
      <c r="I801" s="63"/>
      <c r="J801" s="76"/>
      <c r="K801" s="76"/>
      <c r="L801" s="37"/>
      <c r="M801" s="37"/>
      <c r="N801" s="76"/>
      <c r="O801" s="76"/>
      <c r="P801" s="37"/>
      <c r="Q801" s="37"/>
      <c r="R801" s="76"/>
      <c r="S801" s="63"/>
      <c r="T801" s="76"/>
    </row>
    <row r="802" spans="2:20" x14ac:dyDescent="0.35">
      <c r="B802" s="35"/>
      <c r="C802" s="74"/>
      <c r="D802" s="75"/>
      <c r="E802" s="75"/>
      <c r="F802" s="75"/>
      <c r="G802" s="76"/>
      <c r="H802" s="63"/>
      <c r="I802" s="63"/>
      <c r="J802" s="76"/>
      <c r="K802" s="76"/>
      <c r="L802" s="37"/>
      <c r="M802" s="37"/>
      <c r="N802" s="76"/>
      <c r="O802" s="76"/>
      <c r="P802" s="37"/>
      <c r="Q802" s="37"/>
      <c r="R802" s="76"/>
      <c r="S802" s="63"/>
      <c r="T802" s="76"/>
    </row>
    <row r="803" spans="2:20" x14ac:dyDescent="0.35">
      <c r="B803" s="35"/>
      <c r="C803" s="74"/>
      <c r="D803" s="75"/>
      <c r="E803" s="75"/>
      <c r="F803" s="75"/>
      <c r="G803" s="76"/>
      <c r="H803" s="63"/>
      <c r="I803" s="63"/>
      <c r="J803" s="76"/>
      <c r="K803" s="76"/>
      <c r="L803" s="37"/>
      <c r="M803" s="37"/>
      <c r="N803" s="76"/>
      <c r="O803" s="76"/>
      <c r="P803" s="37"/>
      <c r="Q803" s="37"/>
      <c r="R803" s="76"/>
      <c r="S803" s="63"/>
      <c r="T803" s="76"/>
    </row>
    <row r="804" spans="2:20" x14ac:dyDescent="0.35">
      <c r="B804" s="35"/>
      <c r="C804" s="74"/>
      <c r="D804" s="75"/>
      <c r="E804" s="75"/>
      <c r="F804" s="75"/>
      <c r="G804" s="76"/>
      <c r="H804" s="63"/>
      <c r="I804" s="63"/>
      <c r="J804" s="76"/>
      <c r="K804" s="76"/>
      <c r="L804" s="37"/>
      <c r="M804" s="37"/>
      <c r="N804" s="76"/>
      <c r="O804" s="76"/>
      <c r="P804" s="37"/>
      <c r="Q804" s="37"/>
      <c r="R804" s="76"/>
      <c r="S804" s="63"/>
      <c r="T804" s="76"/>
    </row>
    <row r="805" spans="2:20" x14ac:dyDescent="0.35">
      <c r="B805" s="35"/>
      <c r="C805" s="74"/>
      <c r="D805" s="75"/>
      <c r="E805" s="75"/>
      <c r="F805" s="75"/>
      <c r="G805" s="76"/>
      <c r="H805" s="63"/>
      <c r="I805" s="63"/>
      <c r="J805" s="76"/>
      <c r="K805" s="76"/>
      <c r="L805" s="37"/>
      <c r="M805" s="37"/>
      <c r="N805" s="76"/>
      <c r="O805" s="76"/>
      <c r="P805" s="37"/>
      <c r="Q805" s="37"/>
      <c r="R805" s="76"/>
      <c r="S805" s="63"/>
      <c r="T805" s="76"/>
    </row>
    <row r="806" spans="2:20" x14ac:dyDescent="0.35">
      <c r="B806" s="35"/>
      <c r="C806" s="74"/>
      <c r="D806" s="75"/>
      <c r="E806" s="75"/>
      <c r="F806" s="75"/>
      <c r="G806" s="76"/>
      <c r="H806" s="63"/>
      <c r="I806" s="63"/>
      <c r="J806" s="76"/>
      <c r="K806" s="76"/>
      <c r="L806" s="37"/>
      <c r="M806" s="37"/>
      <c r="N806" s="76"/>
      <c r="O806" s="76"/>
      <c r="P806" s="37"/>
      <c r="Q806" s="37"/>
      <c r="R806" s="76"/>
      <c r="S806" s="63"/>
      <c r="T806" s="76"/>
    </row>
    <row r="807" spans="2:20" x14ac:dyDescent="0.35">
      <c r="B807" s="35"/>
      <c r="C807" s="74"/>
      <c r="D807" s="75"/>
      <c r="E807" s="75"/>
      <c r="F807" s="75"/>
      <c r="G807" s="76"/>
      <c r="H807" s="63"/>
      <c r="I807" s="63"/>
      <c r="J807" s="76"/>
      <c r="K807" s="76"/>
      <c r="L807" s="37"/>
      <c r="M807" s="37"/>
      <c r="N807" s="76"/>
      <c r="O807" s="76"/>
      <c r="P807" s="37"/>
      <c r="Q807" s="37"/>
      <c r="R807" s="76"/>
      <c r="S807" s="63"/>
      <c r="T807" s="76"/>
    </row>
    <row r="808" spans="2:20" x14ac:dyDescent="0.35">
      <c r="B808" s="35"/>
      <c r="C808" s="74"/>
      <c r="D808" s="75"/>
      <c r="E808" s="75"/>
      <c r="F808" s="75"/>
      <c r="G808" s="76"/>
      <c r="H808" s="63"/>
      <c r="I808" s="63"/>
      <c r="J808" s="76"/>
      <c r="K808" s="76"/>
      <c r="L808" s="37"/>
      <c r="M808" s="37"/>
      <c r="N808" s="76"/>
      <c r="O808" s="76"/>
      <c r="P808" s="37"/>
      <c r="Q808" s="37"/>
      <c r="R808" s="76"/>
      <c r="S808" s="63"/>
      <c r="T808" s="76"/>
    </row>
    <row r="809" spans="2:20" x14ac:dyDescent="0.35">
      <c r="B809" s="35"/>
      <c r="C809" s="74"/>
      <c r="D809" s="75"/>
      <c r="E809" s="75"/>
      <c r="F809" s="75"/>
      <c r="G809" s="76"/>
      <c r="H809" s="63"/>
      <c r="I809" s="63"/>
      <c r="J809" s="76"/>
      <c r="K809" s="76"/>
      <c r="L809" s="37"/>
      <c r="M809" s="37"/>
      <c r="N809" s="76"/>
      <c r="O809" s="76"/>
      <c r="P809" s="37"/>
      <c r="Q809" s="37"/>
      <c r="R809" s="76"/>
      <c r="S809" s="63"/>
      <c r="T809" s="76"/>
    </row>
    <row r="810" spans="2:20" x14ac:dyDescent="0.35">
      <c r="B810" s="35"/>
      <c r="C810" s="74"/>
      <c r="D810" s="75"/>
      <c r="E810" s="75"/>
      <c r="F810" s="75"/>
      <c r="G810" s="76"/>
      <c r="H810" s="63"/>
      <c r="I810" s="63"/>
      <c r="J810" s="76"/>
      <c r="K810" s="76"/>
      <c r="L810" s="37"/>
      <c r="M810" s="37"/>
      <c r="N810" s="76"/>
      <c r="O810" s="76"/>
      <c r="P810" s="37"/>
      <c r="Q810" s="37"/>
      <c r="R810" s="76"/>
      <c r="S810" s="63"/>
      <c r="T810" s="76"/>
    </row>
    <row r="811" spans="2:20" x14ac:dyDescent="0.35">
      <c r="B811" s="35"/>
      <c r="C811" s="74"/>
      <c r="D811" s="75"/>
      <c r="E811" s="75"/>
      <c r="F811" s="75"/>
      <c r="G811" s="76"/>
      <c r="H811" s="63"/>
      <c r="I811" s="63"/>
      <c r="J811" s="76"/>
      <c r="K811" s="76"/>
      <c r="L811" s="37"/>
      <c r="M811" s="37"/>
      <c r="N811" s="76"/>
      <c r="O811" s="76"/>
      <c r="P811" s="37"/>
      <c r="Q811" s="37"/>
      <c r="R811" s="76"/>
      <c r="S811" s="63"/>
      <c r="T811" s="76"/>
    </row>
    <row r="812" spans="2:20" x14ac:dyDescent="0.35">
      <c r="B812" s="35"/>
      <c r="C812" s="74"/>
      <c r="D812" s="75"/>
      <c r="E812" s="75"/>
      <c r="F812" s="75"/>
      <c r="G812" s="76"/>
      <c r="H812" s="63"/>
      <c r="I812" s="63"/>
      <c r="J812" s="76"/>
      <c r="K812" s="76"/>
      <c r="L812" s="37"/>
      <c r="M812" s="37"/>
      <c r="N812" s="76"/>
      <c r="O812" s="76"/>
      <c r="P812" s="37"/>
      <c r="Q812" s="37"/>
      <c r="R812" s="76"/>
      <c r="S812" s="63"/>
      <c r="T812" s="76"/>
    </row>
    <row r="813" spans="2:20" x14ac:dyDescent="0.35">
      <c r="B813" s="35"/>
      <c r="C813" s="74"/>
      <c r="D813" s="75"/>
      <c r="E813" s="75"/>
      <c r="F813" s="75"/>
      <c r="G813" s="76"/>
      <c r="H813" s="63"/>
      <c r="I813" s="63"/>
      <c r="J813" s="76"/>
      <c r="K813" s="76"/>
      <c r="L813" s="37"/>
      <c r="M813" s="37"/>
      <c r="N813" s="76"/>
      <c r="O813" s="76"/>
      <c r="P813" s="37"/>
      <c r="Q813" s="37"/>
      <c r="R813" s="76"/>
      <c r="S813" s="63"/>
      <c r="T813" s="76"/>
    </row>
    <row r="814" spans="2:20" x14ac:dyDescent="0.35">
      <c r="B814" s="35"/>
      <c r="C814" s="74"/>
      <c r="D814" s="75"/>
      <c r="E814" s="75"/>
      <c r="F814" s="75"/>
      <c r="G814" s="76"/>
      <c r="H814" s="63"/>
      <c r="I814" s="63"/>
      <c r="J814" s="76"/>
      <c r="K814" s="76"/>
      <c r="L814" s="37"/>
      <c r="M814" s="37"/>
      <c r="N814" s="76"/>
      <c r="O814" s="76"/>
      <c r="P814" s="37"/>
      <c r="Q814" s="37"/>
      <c r="R814" s="76"/>
      <c r="S814" s="63"/>
      <c r="T814" s="76"/>
    </row>
    <row r="815" spans="2:20" x14ac:dyDescent="0.35">
      <c r="B815" s="35"/>
      <c r="C815" s="74"/>
      <c r="D815" s="75"/>
      <c r="E815" s="75"/>
      <c r="F815" s="75"/>
      <c r="G815" s="76"/>
      <c r="H815" s="63"/>
      <c r="I815" s="63"/>
      <c r="J815" s="76"/>
      <c r="K815" s="76"/>
      <c r="L815" s="37"/>
      <c r="M815" s="37"/>
      <c r="N815" s="76"/>
      <c r="O815" s="76"/>
      <c r="P815" s="37"/>
      <c r="Q815" s="37"/>
      <c r="R815" s="76"/>
      <c r="S815" s="63"/>
      <c r="T815" s="76"/>
    </row>
    <row r="816" spans="2:20" x14ac:dyDescent="0.35">
      <c r="B816" s="35"/>
      <c r="C816" s="74"/>
      <c r="D816" s="75"/>
      <c r="E816" s="75"/>
      <c r="F816" s="75"/>
      <c r="G816" s="76"/>
      <c r="H816" s="63"/>
      <c r="I816" s="63"/>
      <c r="J816" s="76"/>
      <c r="K816" s="76"/>
      <c r="L816" s="37"/>
      <c r="M816" s="37"/>
      <c r="N816" s="76"/>
      <c r="O816" s="76"/>
      <c r="P816" s="37"/>
      <c r="Q816" s="37"/>
      <c r="R816" s="76"/>
      <c r="S816" s="63"/>
      <c r="T816" s="76"/>
    </row>
    <row r="817" spans="2:20" x14ac:dyDescent="0.35">
      <c r="B817" s="35"/>
      <c r="C817" s="74"/>
      <c r="D817" s="75"/>
      <c r="E817" s="75"/>
      <c r="F817" s="75"/>
      <c r="G817" s="76"/>
      <c r="H817" s="63"/>
      <c r="I817" s="63"/>
      <c r="J817" s="76"/>
      <c r="K817" s="76"/>
      <c r="L817" s="37"/>
      <c r="M817" s="37"/>
      <c r="N817" s="76"/>
      <c r="O817" s="76"/>
      <c r="P817" s="37"/>
      <c r="Q817" s="37"/>
      <c r="R817" s="76"/>
      <c r="S817" s="63"/>
      <c r="T817" s="76"/>
    </row>
    <row r="818" spans="2:20" x14ac:dyDescent="0.35">
      <c r="B818" s="35"/>
      <c r="C818" s="74"/>
      <c r="D818" s="75"/>
      <c r="E818" s="75"/>
      <c r="F818" s="75"/>
      <c r="G818" s="76"/>
      <c r="H818" s="63"/>
      <c r="I818" s="63"/>
      <c r="J818" s="76"/>
      <c r="K818" s="76"/>
      <c r="L818" s="37"/>
      <c r="M818" s="37"/>
      <c r="N818" s="76"/>
      <c r="O818" s="76"/>
      <c r="P818" s="37"/>
      <c r="Q818" s="37"/>
      <c r="R818" s="76"/>
      <c r="S818" s="63"/>
      <c r="T818" s="76"/>
    </row>
    <row r="819" spans="2:20" x14ac:dyDescent="0.35">
      <c r="B819" s="35"/>
      <c r="C819" s="74"/>
      <c r="D819" s="75"/>
      <c r="E819" s="75"/>
      <c r="F819" s="75"/>
      <c r="G819" s="76"/>
      <c r="H819" s="63"/>
      <c r="I819" s="63"/>
      <c r="J819" s="76"/>
      <c r="K819" s="76"/>
      <c r="L819" s="37"/>
      <c r="M819" s="37"/>
      <c r="N819" s="76"/>
      <c r="O819" s="76"/>
      <c r="P819" s="37"/>
      <c r="Q819" s="37"/>
      <c r="R819" s="76"/>
      <c r="S819" s="63"/>
      <c r="T819" s="76"/>
    </row>
    <row r="820" spans="2:20" x14ac:dyDescent="0.35">
      <c r="B820" s="35"/>
      <c r="C820" s="74"/>
      <c r="D820" s="75"/>
      <c r="E820" s="75"/>
      <c r="F820" s="75"/>
      <c r="G820" s="76"/>
      <c r="H820" s="63"/>
      <c r="I820" s="63"/>
      <c r="J820" s="76"/>
      <c r="K820" s="76"/>
      <c r="L820" s="37"/>
      <c r="M820" s="37"/>
      <c r="N820" s="76"/>
      <c r="O820" s="76"/>
      <c r="P820" s="37"/>
      <c r="Q820" s="37"/>
      <c r="R820" s="76"/>
      <c r="S820" s="63"/>
      <c r="T820" s="76"/>
    </row>
    <row r="821" spans="2:20" x14ac:dyDescent="0.35">
      <c r="B821" s="35"/>
      <c r="C821" s="74"/>
      <c r="D821" s="75"/>
      <c r="E821" s="75"/>
      <c r="F821" s="75"/>
      <c r="G821" s="76"/>
      <c r="H821" s="63"/>
      <c r="I821" s="63"/>
      <c r="J821" s="76"/>
      <c r="K821" s="76"/>
      <c r="L821" s="37"/>
      <c r="M821" s="37"/>
      <c r="N821" s="76"/>
      <c r="O821" s="76"/>
      <c r="P821" s="37"/>
      <c r="Q821" s="37"/>
      <c r="R821" s="76"/>
      <c r="S821" s="63"/>
      <c r="T821" s="76"/>
    </row>
    <row r="822" spans="2:20" x14ac:dyDescent="0.35">
      <c r="B822" s="35"/>
      <c r="C822" s="74"/>
      <c r="D822" s="75"/>
      <c r="E822" s="75"/>
      <c r="F822" s="75"/>
      <c r="G822" s="76"/>
      <c r="H822" s="63"/>
      <c r="I822" s="63"/>
      <c r="J822" s="76"/>
      <c r="K822" s="76"/>
      <c r="L822" s="37"/>
      <c r="M822" s="37"/>
      <c r="N822" s="76"/>
      <c r="O822" s="76"/>
      <c r="P822" s="37"/>
      <c r="Q822" s="37"/>
      <c r="R822" s="76"/>
      <c r="S822" s="63"/>
      <c r="T822" s="76"/>
    </row>
    <row r="823" spans="2:20" x14ac:dyDescent="0.35">
      <c r="B823" s="35"/>
      <c r="C823" s="74"/>
      <c r="D823" s="75"/>
      <c r="E823" s="75"/>
      <c r="F823" s="75"/>
      <c r="G823" s="76"/>
      <c r="H823" s="63"/>
      <c r="I823" s="63"/>
      <c r="J823" s="76"/>
      <c r="K823" s="76"/>
      <c r="L823" s="37"/>
      <c r="M823" s="37"/>
      <c r="N823" s="76"/>
      <c r="O823" s="76"/>
      <c r="P823" s="37"/>
      <c r="Q823" s="37"/>
      <c r="R823" s="76"/>
      <c r="S823" s="63"/>
      <c r="T823" s="76"/>
    </row>
    <row r="824" spans="2:20" x14ac:dyDescent="0.35">
      <c r="B824" s="35"/>
      <c r="C824" s="74"/>
      <c r="D824" s="75"/>
      <c r="E824" s="75"/>
      <c r="F824" s="75"/>
      <c r="G824" s="76"/>
      <c r="H824" s="63"/>
      <c r="I824" s="63"/>
      <c r="J824" s="76"/>
      <c r="K824" s="76"/>
      <c r="L824" s="37"/>
      <c r="M824" s="37"/>
      <c r="N824" s="76"/>
      <c r="O824" s="76"/>
      <c r="P824" s="37"/>
      <c r="Q824" s="37"/>
      <c r="R824" s="76"/>
      <c r="S824" s="63"/>
      <c r="T824" s="76"/>
    </row>
    <row r="825" spans="2:20" x14ac:dyDescent="0.35">
      <c r="B825" s="35"/>
      <c r="C825" s="74"/>
      <c r="D825" s="75"/>
      <c r="E825" s="75"/>
      <c r="F825" s="75"/>
      <c r="G825" s="76"/>
      <c r="H825" s="63"/>
      <c r="I825" s="63"/>
      <c r="J825" s="76"/>
      <c r="K825" s="76"/>
      <c r="L825" s="37"/>
      <c r="M825" s="37"/>
      <c r="N825" s="76"/>
      <c r="O825" s="76"/>
      <c r="P825" s="37"/>
      <c r="Q825" s="37"/>
      <c r="R825" s="76"/>
      <c r="S825" s="63"/>
      <c r="T825" s="76"/>
    </row>
    <row r="826" spans="2:20" x14ac:dyDescent="0.35">
      <c r="B826" s="35"/>
      <c r="C826" s="74"/>
      <c r="D826" s="75"/>
      <c r="E826" s="75"/>
      <c r="F826" s="75"/>
      <c r="G826" s="76"/>
      <c r="H826" s="63"/>
      <c r="I826" s="63"/>
      <c r="J826" s="76"/>
      <c r="K826" s="76"/>
      <c r="L826" s="37"/>
      <c r="M826" s="37"/>
      <c r="N826" s="76"/>
      <c r="O826" s="76"/>
      <c r="P826" s="37"/>
      <c r="Q826" s="37"/>
      <c r="R826" s="76"/>
      <c r="S826" s="63"/>
      <c r="T826" s="76"/>
    </row>
    <row r="827" spans="2:20" x14ac:dyDescent="0.35">
      <c r="B827" s="35"/>
      <c r="C827" s="74"/>
      <c r="D827" s="75"/>
      <c r="E827" s="75"/>
      <c r="F827" s="75"/>
      <c r="G827" s="76"/>
      <c r="H827" s="63"/>
      <c r="I827" s="63"/>
      <c r="J827" s="76"/>
      <c r="K827" s="76"/>
      <c r="L827" s="37"/>
      <c r="M827" s="37"/>
      <c r="N827" s="76"/>
      <c r="O827" s="76"/>
      <c r="P827" s="37"/>
      <c r="Q827" s="37"/>
      <c r="R827" s="76"/>
      <c r="S827" s="63"/>
      <c r="T827" s="76"/>
    </row>
    <row r="828" spans="2:20" x14ac:dyDescent="0.35">
      <c r="B828" s="35"/>
      <c r="C828" s="74"/>
      <c r="D828" s="75"/>
      <c r="E828" s="75"/>
      <c r="F828" s="75"/>
      <c r="G828" s="76"/>
      <c r="H828" s="63"/>
      <c r="I828" s="63"/>
      <c r="J828" s="76"/>
      <c r="K828" s="76"/>
      <c r="L828" s="37"/>
      <c r="M828" s="37"/>
      <c r="N828" s="76"/>
      <c r="O828" s="76"/>
      <c r="P828" s="37"/>
      <c r="Q828" s="37"/>
      <c r="R828" s="76"/>
      <c r="S828" s="63"/>
      <c r="T828" s="76"/>
    </row>
    <row r="829" spans="2:20" x14ac:dyDescent="0.35">
      <c r="B829" s="35"/>
      <c r="C829" s="74"/>
      <c r="D829" s="75"/>
      <c r="E829" s="75"/>
      <c r="F829" s="75"/>
      <c r="G829" s="76"/>
      <c r="H829" s="63"/>
      <c r="I829" s="63"/>
      <c r="J829" s="76"/>
      <c r="K829" s="76"/>
      <c r="L829" s="37"/>
      <c r="M829" s="37"/>
      <c r="N829" s="76"/>
      <c r="O829" s="76"/>
      <c r="P829" s="37"/>
      <c r="Q829" s="37"/>
      <c r="R829" s="76"/>
      <c r="S829" s="63"/>
      <c r="T829" s="76"/>
    </row>
    <row r="830" spans="2:20" x14ac:dyDescent="0.35">
      <c r="B830" s="35"/>
      <c r="C830" s="74"/>
      <c r="D830" s="75"/>
      <c r="E830" s="75"/>
      <c r="F830" s="75"/>
      <c r="G830" s="76"/>
      <c r="H830" s="63"/>
      <c r="I830" s="63"/>
      <c r="J830" s="76"/>
      <c r="K830" s="76"/>
      <c r="L830" s="37"/>
      <c r="M830" s="37"/>
      <c r="N830" s="76"/>
      <c r="O830" s="76"/>
      <c r="P830" s="37"/>
      <c r="Q830" s="37"/>
      <c r="R830" s="76"/>
      <c r="S830" s="63"/>
      <c r="T830" s="76"/>
    </row>
    <row r="831" spans="2:20" x14ac:dyDescent="0.35">
      <c r="B831" s="35"/>
      <c r="C831" s="74"/>
      <c r="D831" s="75"/>
      <c r="E831" s="75"/>
      <c r="F831" s="75"/>
      <c r="G831" s="76"/>
      <c r="H831" s="63"/>
      <c r="I831" s="63"/>
      <c r="J831" s="76"/>
      <c r="K831" s="76"/>
      <c r="L831" s="37"/>
      <c r="M831" s="37"/>
      <c r="N831" s="76"/>
      <c r="O831" s="76"/>
      <c r="P831" s="37"/>
      <c r="Q831" s="37"/>
      <c r="R831" s="76"/>
      <c r="S831" s="63"/>
      <c r="T831" s="76"/>
    </row>
    <row r="832" spans="2:20" x14ac:dyDescent="0.35">
      <c r="B832" s="35"/>
      <c r="C832" s="74"/>
      <c r="D832" s="75"/>
      <c r="E832" s="75"/>
      <c r="F832" s="75"/>
      <c r="G832" s="76"/>
      <c r="H832" s="63"/>
      <c r="I832" s="63"/>
      <c r="J832" s="76"/>
      <c r="K832" s="76"/>
      <c r="L832" s="37"/>
      <c r="M832" s="37"/>
      <c r="N832" s="76"/>
      <c r="O832" s="76"/>
      <c r="P832" s="37"/>
      <c r="Q832" s="37"/>
      <c r="R832" s="76"/>
      <c r="S832" s="63"/>
      <c r="T832" s="76"/>
    </row>
    <row r="833" spans="2:20" x14ac:dyDescent="0.35">
      <c r="B833" s="35"/>
      <c r="C833" s="74"/>
      <c r="D833" s="75"/>
      <c r="E833" s="75"/>
      <c r="F833" s="75"/>
      <c r="G833" s="76"/>
      <c r="H833" s="63"/>
      <c r="I833" s="63"/>
      <c r="J833" s="76"/>
      <c r="K833" s="76"/>
      <c r="L833" s="37"/>
      <c r="M833" s="37"/>
      <c r="N833" s="76"/>
      <c r="O833" s="76"/>
      <c r="P833" s="37"/>
      <c r="Q833" s="37"/>
      <c r="R833" s="76"/>
      <c r="S833" s="63"/>
      <c r="T833" s="76"/>
    </row>
    <row r="834" spans="2:20" x14ac:dyDescent="0.35">
      <c r="B834" s="35"/>
      <c r="C834" s="74"/>
      <c r="D834" s="75"/>
      <c r="E834" s="75"/>
      <c r="F834" s="75"/>
      <c r="G834" s="76"/>
      <c r="H834" s="63"/>
      <c r="I834" s="63"/>
      <c r="J834" s="76"/>
      <c r="K834" s="76"/>
      <c r="L834" s="37"/>
      <c r="M834" s="37"/>
      <c r="N834" s="76"/>
      <c r="O834" s="76"/>
      <c r="P834" s="37"/>
      <c r="Q834" s="37"/>
      <c r="R834" s="76"/>
      <c r="S834" s="63"/>
      <c r="T834" s="76"/>
    </row>
    <row r="835" spans="2:20" x14ac:dyDescent="0.35">
      <c r="B835" s="35"/>
      <c r="C835" s="74"/>
      <c r="D835" s="75"/>
      <c r="E835" s="75"/>
      <c r="F835" s="75"/>
      <c r="G835" s="76"/>
      <c r="H835" s="63"/>
      <c r="I835" s="63"/>
      <c r="J835" s="76"/>
      <c r="K835" s="76"/>
      <c r="L835" s="37"/>
      <c r="M835" s="37"/>
      <c r="N835" s="76"/>
      <c r="O835" s="76"/>
      <c r="P835" s="37"/>
      <c r="Q835" s="37"/>
      <c r="R835" s="76"/>
      <c r="S835" s="63"/>
      <c r="T835" s="76"/>
    </row>
    <row r="836" spans="2:20" x14ac:dyDescent="0.35">
      <c r="B836" s="35"/>
      <c r="C836" s="74"/>
      <c r="D836" s="75"/>
      <c r="E836" s="75"/>
      <c r="F836" s="75"/>
      <c r="G836" s="76"/>
      <c r="H836" s="63"/>
      <c r="I836" s="63"/>
      <c r="J836" s="76"/>
      <c r="K836" s="76"/>
      <c r="L836" s="37"/>
      <c r="M836" s="37"/>
      <c r="N836" s="76"/>
      <c r="O836" s="76"/>
      <c r="P836" s="37"/>
      <c r="Q836" s="37"/>
      <c r="R836" s="76"/>
      <c r="S836" s="63"/>
      <c r="T836" s="76"/>
    </row>
    <row r="837" spans="2:20" x14ac:dyDescent="0.35">
      <c r="B837" s="35"/>
      <c r="C837" s="74"/>
      <c r="D837" s="75"/>
      <c r="E837" s="75"/>
      <c r="F837" s="75"/>
      <c r="G837" s="76"/>
      <c r="H837" s="63"/>
      <c r="I837" s="63"/>
      <c r="J837" s="76"/>
      <c r="K837" s="76"/>
      <c r="L837" s="37"/>
      <c r="M837" s="37"/>
      <c r="N837" s="76"/>
      <c r="O837" s="76"/>
      <c r="P837" s="37"/>
      <c r="Q837" s="37"/>
      <c r="R837" s="76"/>
      <c r="S837" s="63"/>
      <c r="T837" s="76"/>
    </row>
    <row r="838" spans="2:20" x14ac:dyDescent="0.35">
      <c r="B838" s="35"/>
      <c r="C838" s="74"/>
      <c r="D838" s="75"/>
      <c r="E838" s="75"/>
      <c r="F838" s="75"/>
      <c r="G838" s="76"/>
      <c r="H838" s="63"/>
      <c r="I838" s="63"/>
      <c r="J838" s="76"/>
      <c r="K838" s="76"/>
      <c r="L838" s="37"/>
      <c r="M838" s="37"/>
      <c r="N838" s="76"/>
      <c r="O838" s="76"/>
      <c r="P838" s="37"/>
      <c r="Q838" s="37"/>
      <c r="R838" s="76"/>
      <c r="S838" s="63"/>
      <c r="T838" s="76"/>
    </row>
    <row r="839" spans="2:20" x14ac:dyDescent="0.35">
      <c r="B839" s="35"/>
      <c r="C839" s="74"/>
      <c r="D839" s="75"/>
      <c r="E839" s="75"/>
      <c r="F839" s="75"/>
      <c r="G839" s="76"/>
      <c r="H839" s="63"/>
      <c r="I839" s="63"/>
      <c r="J839" s="76"/>
      <c r="K839" s="76"/>
      <c r="L839" s="37"/>
      <c r="M839" s="37"/>
      <c r="N839" s="76"/>
      <c r="O839" s="76"/>
      <c r="P839" s="37"/>
      <c r="Q839" s="37"/>
      <c r="R839" s="76"/>
      <c r="S839" s="63"/>
      <c r="T839" s="76"/>
    </row>
    <row r="840" spans="2:20" x14ac:dyDescent="0.35">
      <c r="B840" s="35"/>
      <c r="C840" s="74"/>
      <c r="D840" s="75"/>
      <c r="E840" s="75"/>
      <c r="F840" s="75"/>
      <c r="G840" s="76"/>
      <c r="H840" s="63"/>
      <c r="I840" s="63"/>
      <c r="J840" s="76"/>
      <c r="K840" s="76"/>
      <c r="L840" s="37"/>
      <c r="M840" s="37"/>
      <c r="N840" s="76"/>
      <c r="O840" s="76"/>
      <c r="P840" s="37"/>
      <c r="Q840" s="37"/>
      <c r="R840" s="76"/>
      <c r="S840" s="63"/>
      <c r="T840" s="76"/>
    </row>
    <row r="841" spans="2:20" x14ac:dyDescent="0.35">
      <c r="B841" s="35"/>
      <c r="C841" s="74"/>
      <c r="D841" s="75"/>
      <c r="E841" s="75"/>
      <c r="F841" s="75"/>
      <c r="G841" s="76"/>
      <c r="H841" s="63"/>
      <c r="I841" s="63"/>
      <c r="J841" s="76"/>
      <c r="K841" s="76"/>
      <c r="L841" s="37"/>
      <c r="M841" s="37"/>
      <c r="N841" s="76"/>
      <c r="O841" s="76"/>
      <c r="P841" s="37"/>
      <c r="Q841" s="37"/>
      <c r="R841" s="76"/>
      <c r="S841" s="63"/>
      <c r="T841" s="76"/>
    </row>
    <row r="842" spans="2:20" x14ac:dyDescent="0.35">
      <c r="B842" s="35"/>
      <c r="C842" s="74"/>
      <c r="D842" s="75"/>
      <c r="E842" s="75"/>
      <c r="F842" s="75"/>
      <c r="G842" s="76"/>
      <c r="H842" s="63"/>
      <c r="I842" s="63"/>
      <c r="J842" s="76"/>
      <c r="K842" s="76"/>
      <c r="L842" s="37"/>
      <c r="M842" s="37"/>
      <c r="N842" s="76"/>
      <c r="O842" s="76"/>
      <c r="P842" s="37"/>
      <c r="Q842" s="37"/>
      <c r="R842" s="76"/>
      <c r="S842" s="63"/>
      <c r="T842" s="76"/>
    </row>
    <row r="843" spans="2:20" x14ac:dyDescent="0.35">
      <c r="B843" s="35"/>
      <c r="C843" s="74"/>
      <c r="D843" s="75"/>
      <c r="E843" s="75"/>
      <c r="F843" s="75"/>
      <c r="G843" s="76"/>
      <c r="H843" s="63"/>
      <c r="I843" s="63"/>
      <c r="J843" s="76"/>
      <c r="K843" s="76"/>
      <c r="L843" s="37"/>
      <c r="M843" s="37"/>
      <c r="N843" s="76"/>
      <c r="O843" s="76"/>
      <c r="P843" s="37"/>
      <c r="Q843" s="37"/>
      <c r="R843" s="76"/>
      <c r="S843" s="63"/>
      <c r="T843" s="76"/>
    </row>
    <row r="844" spans="2:20" x14ac:dyDescent="0.35">
      <c r="B844" s="35"/>
      <c r="C844" s="74"/>
      <c r="D844" s="75"/>
      <c r="E844" s="75"/>
      <c r="F844" s="75"/>
      <c r="G844" s="76"/>
      <c r="H844" s="63"/>
      <c r="I844" s="63"/>
      <c r="J844" s="76"/>
      <c r="K844" s="76"/>
      <c r="L844" s="37"/>
      <c r="M844" s="37"/>
      <c r="N844" s="76"/>
      <c r="O844" s="76"/>
      <c r="P844" s="37"/>
      <c r="Q844" s="37"/>
      <c r="R844" s="76"/>
      <c r="S844" s="63"/>
      <c r="T844" s="76"/>
    </row>
    <row r="845" spans="2:20" x14ac:dyDescent="0.35">
      <c r="B845" s="35"/>
      <c r="C845" s="74"/>
      <c r="D845" s="75"/>
      <c r="E845" s="75"/>
      <c r="F845" s="75"/>
      <c r="G845" s="76"/>
      <c r="H845" s="63"/>
      <c r="I845" s="63"/>
      <c r="J845" s="76"/>
      <c r="K845" s="76"/>
      <c r="L845" s="37"/>
      <c r="M845" s="37"/>
      <c r="N845" s="76"/>
      <c r="O845" s="76"/>
      <c r="P845" s="37"/>
      <c r="Q845" s="37"/>
      <c r="R845" s="76"/>
      <c r="S845" s="63"/>
      <c r="T845" s="76"/>
    </row>
    <row r="846" spans="2:20" x14ac:dyDescent="0.35">
      <c r="B846" s="35"/>
      <c r="C846" s="74"/>
      <c r="D846" s="75"/>
      <c r="E846" s="75"/>
      <c r="F846" s="75"/>
      <c r="G846" s="76"/>
      <c r="H846" s="63"/>
      <c r="I846" s="63"/>
      <c r="J846" s="76"/>
      <c r="K846" s="76"/>
      <c r="L846" s="37"/>
      <c r="M846" s="37"/>
      <c r="N846" s="76"/>
      <c r="O846" s="76"/>
      <c r="P846" s="37"/>
      <c r="Q846" s="37"/>
      <c r="R846" s="76"/>
      <c r="S846" s="63"/>
      <c r="T846" s="76"/>
    </row>
    <row r="847" spans="2:20" x14ac:dyDescent="0.35">
      <c r="B847" s="35"/>
      <c r="C847" s="74"/>
      <c r="D847" s="75"/>
      <c r="E847" s="75"/>
      <c r="F847" s="75"/>
      <c r="G847" s="76"/>
      <c r="H847" s="63"/>
      <c r="I847" s="63"/>
      <c r="J847" s="76"/>
      <c r="K847" s="76"/>
      <c r="L847" s="37"/>
      <c r="M847" s="37"/>
      <c r="N847" s="76"/>
      <c r="O847" s="76"/>
      <c r="P847" s="37"/>
      <c r="Q847" s="37"/>
      <c r="R847" s="76"/>
      <c r="S847" s="63"/>
      <c r="T847" s="76"/>
    </row>
    <row r="848" spans="2:20" x14ac:dyDescent="0.35">
      <c r="B848" s="35"/>
      <c r="C848" s="74"/>
      <c r="D848" s="75"/>
      <c r="E848" s="75"/>
      <c r="F848" s="75"/>
      <c r="G848" s="76"/>
      <c r="H848" s="63"/>
      <c r="I848" s="63"/>
      <c r="J848" s="76"/>
      <c r="K848" s="76"/>
      <c r="L848" s="37"/>
      <c r="M848" s="37"/>
      <c r="N848" s="76"/>
      <c r="O848" s="76"/>
      <c r="P848" s="37"/>
      <c r="Q848" s="37"/>
      <c r="R848" s="76"/>
      <c r="S848" s="63"/>
      <c r="T848" s="76"/>
    </row>
    <row r="849" spans="2:20" x14ac:dyDescent="0.35">
      <c r="B849" s="35"/>
      <c r="C849" s="74"/>
      <c r="D849" s="75"/>
      <c r="E849" s="75"/>
      <c r="F849" s="75"/>
      <c r="G849" s="76"/>
      <c r="H849" s="63"/>
      <c r="I849" s="63"/>
      <c r="J849" s="76"/>
      <c r="K849" s="76"/>
      <c r="L849" s="37"/>
      <c r="M849" s="37"/>
      <c r="N849" s="76"/>
      <c r="O849" s="76"/>
      <c r="P849" s="37"/>
      <c r="Q849" s="37"/>
      <c r="R849" s="76"/>
      <c r="S849" s="63"/>
      <c r="T849" s="76"/>
    </row>
    <row r="850" spans="2:20" x14ac:dyDescent="0.35">
      <c r="B850" s="35"/>
      <c r="C850" s="74"/>
      <c r="D850" s="75"/>
      <c r="E850" s="75"/>
      <c r="F850" s="75"/>
      <c r="G850" s="76"/>
      <c r="H850" s="63"/>
      <c r="I850" s="63"/>
      <c r="J850" s="76"/>
      <c r="K850" s="76"/>
      <c r="L850" s="37"/>
      <c r="M850" s="37"/>
      <c r="N850" s="76"/>
      <c r="O850" s="76"/>
      <c r="P850" s="37"/>
      <c r="Q850" s="37"/>
      <c r="R850" s="76"/>
      <c r="S850" s="63"/>
      <c r="T850" s="76"/>
    </row>
    <row r="851" spans="2:20" x14ac:dyDescent="0.35">
      <c r="B851" s="35"/>
      <c r="C851" s="74"/>
      <c r="D851" s="75"/>
      <c r="E851" s="75"/>
      <c r="F851" s="75"/>
      <c r="G851" s="76"/>
      <c r="H851" s="63"/>
      <c r="I851" s="63"/>
      <c r="J851" s="76"/>
      <c r="K851" s="76"/>
      <c r="L851" s="37"/>
      <c r="M851" s="37"/>
      <c r="N851" s="76"/>
      <c r="O851" s="76"/>
      <c r="P851" s="37"/>
      <c r="Q851" s="37"/>
      <c r="R851" s="76"/>
      <c r="S851" s="63"/>
      <c r="T851" s="76"/>
    </row>
    <row r="852" spans="2:20" x14ac:dyDescent="0.35">
      <c r="B852" s="35"/>
      <c r="C852" s="74"/>
      <c r="D852" s="75"/>
      <c r="E852" s="75"/>
      <c r="F852" s="75"/>
      <c r="G852" s="76"/>
      <c r="H852" s="63"/>
      <c r="I852" s="63"/>
      <c r="J852" s="76"/>
      <c r="K852" s="76"/>
      <c r="L852" s="37"/>
      <c r="M852" s="37"/>
      <c r="N852" s="76"/>
      <c r="O852" s="76"/>
      <c r="P852" s="37"/>
      <c r="Q852" s="37"/>
      <c r="R852" s="76"/>
      <c r="S852" s="63"/>
      <c r="T852" s="76"/>
    </row>
    <row r="853" spans="2:20" x14ac:dyDescent="0.35">
      <c r="B853" s="35"/>
      <c r="C853" s="74"/>
      <c r="D853" s="75"/>
      <c r="E853" s="75"/>
      <c r="F853" s="75"/>
      <c r="G853" s="76"/>
      <c r="H853" s="63"/>
      <c r="I853" s="63"/>
      <c r="J853" s="76"/>
      <c r="K853" s="76"/>
      <c r="L853" s="37"/>
      <c r="M853" s="37"/>
      <c r="N853" s="76"/>
      <c r="O853" s="76"/>
      <c r="P853" s="37"/>
      <c r="Q853" s="37"/>
      <c r="R853" s="76"/>
      <c r="S853" s="63"/>
      <c r="T853" s="76"/>
    </row>
    <row r="854" spans="2:20" x14ac:dyDescent="0.35">
      <c r="B854" s="35"/>
      <c r="C854" s="74"/>
      <c r="D854" s="75"/>
      <c r="E854" s="75"/>
      <c r="F854" s="75"/>
      <c r="G854" s="76"/>
      <c r="H854" s="63"/>
      <c r="I854" s="63"/>
      <c r="J854" s="76"/>
      <c r="K854" s="76"/>
      <c r="L854" s="37"/>
      <c r="M854" s="37"/>
      <c r="N854" s="76"/>
      <c r="O854" s="76"/>
      <c r="P854" s="37"/>
      <c r="Q854" s="37"/>
      <c r="R854" s="76"/>
      <c r="S854" s="63"/>
      <c r="T854" s="76"/>
    </row>
    <row r="855" spans="2:20" x14ac:dyDescent="0.35">
      <c r="B855" s="35"/>
      <c r="C855" s="74"/>
      <c r="D855" s="75"/>
      <c r="E855" s="75"/>
      <c r="F855" s="75"/>
      <c r="G855" s="76"/>
      <c r="H855" s="63"/>
      <c r="I855" s="63"/>
      <c r="J855" s="76"/>
      <c r="K855" s="76"/>
      <c r="L855" s="37"/>
      <c r="M855" s="37"/>
      <c r="N855" s="76"/>
      <c r="O855" s="76"/>
      <c r="P855" s="37"/>
      <c r="Q855" s="37"/>
      <c r="R855" s="76"/>
      <c r="S855" s="63"/>
      <c r="T855" s="76"/>
    </row>
    <row r="856" spans="2:20" x14ac:dyDescent="0.35">
      <c r="B856" s="35"/>
      <c r="C856" s="74"/>
      <c r="D856" s="75"/>
      <c r="E856" s="75"/>
      <c r="F856" s="75"/>
      <c r="G856" s="76"/>
      <c r="H856" s="63"/>
      <c r="I856" s="63"/>
      <c r="J856" s="76"/>
      <c r="K856" s="76"/>
      <c r="L856" s="37"/>
      <c r="M856" s="37"/>
      <c r="N856" s="76"/>
      <c r="O856" s="76"/>
      <c r="P856" s="37"/>
      <c r="Q856" s="37"/>
      <c r="R856" s="76"/>
      <c r="S856" s="63"/>
      <c r="T856" s="76"/>
    </row>
    <row r="857" spans="2:20" x14ac:dyDescent="0.35">
      <c r="B857" s="35"/>
      <c r="C857" s="74"/>
      <c r="D857" s="75"/>
      <c r="E857" s="75"/>
      <c r="F857" s="75"/>
      <c r="G857" s="76"/>
      <c r="H857" s="63"/>
      <c r="I857" s="63"/>
      <c r="J857" s="76"/>
      <c r="K857" s="76"/>
      <c r="L857" s="37"/>
      <c r="M857" s="37"/>
      <c r="N857" s="76"/>
      <c r="O857" s="76"/>
      <c r="P857" s="37"/>
      <c r="Q857" s="37"/>
      <c r="R857" s="76"/>
      <c r="S857" s="63"/>
      <c r="T857" s="76"/>
    </row>
    <row r="858" spans="2:20" x14ac:dyDescent="0.35">
      <c r="B858" s="35"/>
      <c r="C858" s="74"/>
      <c r="D858" s="75"/>
      <c r="E858" s="75"/>
      <c r="F858" s="75"/>
      <c r="G858" s="76"/>
      <c r="H858" s="63"/>
      <c r="I858" s="63"/>
      <c r="J858" s="76"/>
      <c r="K858" s="76"/>
      <c r="L858" s="37"/>
      <c r="M858" s="37"/>
      <c r="N858" s="76"/>
      <c r="O858" s="76"/>
      <c r="P858" s="37"/>
      <c r="Q858" s="37"/>
      <c r="R858" s="76"/>
      <c r="S858" s="63"/>
      <c r="T858" s="76"/>
    </row>
    <row r="859" spans="2:20" x14ac:dyDescent="0.35">
      <c r="B859" s="35"/>
      <c r="C859" s="74"/>
      <c r="D859" s="75"/>
      <c r="E859" s="75"/>
      <c r="F859" s="75"/>
      <c r="G859" s="76"/>
      <c r="H859" s="63"/>
      <c r="I859" s="63"/>
      <c r="J859" s="76"/>
      <c r="K859" s="76"/>
      <c r="L859" s="37"/>
      <c r="M859" s="37"/>
      <c r="N859" s="76"/>
      <c r="O859" s="76"/>
      <c r="P859" s="37"/>
      <c r="Q859" s="37"/>
      <c r="R859" s="76"/>
      <c r="S859" s="63"/>
      <c r="T859" s="76"/>
    </row>
    <row r="860" spans="2:20" x14ac:dyDescent="0.35">
      <c r="B860" s="35"/>
      <c r="C860" s="74"/>
      <c r="D860" s="75"/>
      <c r="E860" s="75"/>
      <c r="F860" s="75"/>
      <c r="G860" s="76"/>
      <c r="H860" s="63"/>
      <c r="I860" s="63"/>
      <c r="J860" s="76"/>
      <c r="K860" s="76"/>
      <c r="L860" s="37"/>
      <c r="M860" s="37"/>
      <c r="N860" s="76"/>
      <c r="O860" s="76"/>
      <c r="P860" s="37"/>
      <c r="Q860" s="37"/>
      <c r="R860" s="76"/>
      <c r="S860" s="63"/>
      <c r="T860" s="76"/>
    </row>
    <row r="861" spans="2:20" x14ac:dyDescent="0.35">
      <c r="B861" s="35"/>
      <c r="C861" s="74"/>
      <c r="D861" s="75"/>
      <c r="E861" s="75"/>
      <c r="F861" s="75"/>
      <c r="G861" s="76"/>
      <c r="H861" s="63"/>
      <c r="I861" s="63"/>
      <c r="J861" s="76"/>
      <c r="K861" s="76"/>
      <c r="L861" s="37"/>
      <c r="M861" s="37"/>
      <c r="N861" s="76"/>
      <c r="O861" s="76"/>
      <c r="P861" s="37"/>
      <c r="Q861" s="37"/>
      <c r="R861" s="76"/>
      <c r="S861" s="63"/>
      <c r="T861" s="76"/>
    </row>
    <row r="862" spans="2:20" x14ac:dyDescent="0.35">
      <c r="B862" s="35"/>
      <c r="C862" s="74"/>
      <c r="D862" s="75"/>
      <c r="E862" s="75"/>
      <c r="F862" s="75"/>
      <c r="G862" s="76"/>
      <c r="H862" s="63"/>
      <c r="I862" s="63"/>
      <c r="J862" s="76"/>
      <c r="K862" s="76"/>
      <c r="L862" s="37"/>
      <c r="M862" s="37"/>
      <c r="N862" s="76"/>
      <c r="O862" s="76"/>
      <c r="P862" s="37"/>
      <c r="Q862" s="37"/>
      <c r="R862" s="76"/>
      <c r="S862" s="63"/>
      <c r="T862" s="76"/>
    </row>
    <row r="863" spans="2:20" x14ac:dyDescent="0.35">
      <c r="B863" s="35"/>
      <c r="C863" s="74"/>
      <c r="D863" s="75"/>
      <c r="E863" s="75"/>
      <c r="F863" s="75"/>
      <c r="G863" s="76"/>
      <c r="H863" s="63"/>
      <c r="I863" s="63"/>
      <c r="J863" s="76"/>
      <c r="K863" s="76"/>
      <c r="L863" s="37"/>
      <c r="M863" s="37"/>
      <c r="N863" s="76"/>
      <c r="O863" s="76"/>
      <c r="P863" s="37"/>
      <c r="Q863" s="37"/>
      <c r="R863" s="76"/>
      <c r="S863" s="63"/>
      <c r="T863" s="76"/>
    </row>
    <row r="864" spans="2:20" x14ac:dyDescent="0.35">
      <c r="B864" s="35"/>
      <c r="C864" s="74"/>
      <c r="D864" s="75"/>
      <c r="E864" s="75"/>
      <c r="F864" s="75"/>
      <c r="G864" s="76"/>
      <c r="H864" s="63"/>
      <c r="I864" s="63"/>
      <c r="J864" s="76"/>
      <c r="K864" s="76"/>
      <c r="L864" s="37"/>
      <c r="M864" s="37"/>
      <c r="N864" s="76"/>
      <c r="O864" s="76"/>
      <c r="P864" s="37"/>
      <c r="Q864" s="37"/>
      <c r="R864" s="76"/>
      <c r="S864" s="63"/>
      <c r="T864" s="76"/>
    </row>
    <row r="865" spans="2:20" x14ac:dyDescent="0.35">
      <c r="B865" s="35"/>
      <c r="C865" s="74"/>
      <c r="D865" s="75"/>
      <c r="E865" s="75"/>
      <c r="F865" s="75"/>
      <c r="G865" s="76"/>
      <c r="H865" s="63"/>
      <c r="I865" s="63"/>
      <c r="J865" s="76"/>
      <c r="K865" s="76"/>
      <c r="L865" s="37"/>
      <c r="M865" s="37"/>
      <c r="N865" s="76"/>
      <c r="O865" s="76"/>
      <c r="P865" s="37"/>
      <c r="Q865" s="37"/>
      <c r="R865" s="76"/>
      <c r="S865" s="63"/>
      <c r="T865" s="76"/>
    </row>
    <row r="866" spans="2:20" x14ac:dyDescent="0.35">
      <c r="B866" s="35"/>
      <c r="C866" s="74"/>
      <c r="D866" s="75"/>
      <c r="E866" s="75"/>
      <c r="F866" s="75"/>
      <c r="G866" s="76"/>
      <c r="H866" s="63"/>
      <c r="I866" s="63"/>
      <c r="J866" s="76"/>
      <c r="K866" s="76"/>
      <c r="L866" s="37"/>
      <c r="M866" s="37"/>
      <c r="N866" s="76"/>
      <c r="O866" s="76"/>
      <c r="P866" s="37"/>
      <c r="Q866" s="37"/>
      <c r="R866" s="76"/>
      <c r="S866" s="63"/>
      <c r="T866" s="76"/>
    </row>
    <row r="867" spans="2:20" x14ac:dyDescent="0.35">
      <c r="B867" s="35"/>
      <c r="C867" s="74"/>
      <c r="D867" s="75"/>
      <c r="E867" s="75"/>
      <c r="F867" s="75"/>
      <c r="G867" s="76"/>
      <c r="H867" s="63"/>
      <c r="I867" s="63"/>
      <c r="J867" s="76"/>
      <c r="K867" s="76"/>
      <c r="L867" s="37"/>
      <c r="M867" s="37"/>
      <c r="N867" s="76"/>
      <c r="O867" s="76"/>
      <c r="P867" s="37"/>
      <c r="Q867" s="37"/>
      <c r="R867" s="76"/>
      <c r="S867" s="63"/>
      <c r="T867" s="76"/>
    </row>
    <row r="868" spans="2:20" x14ac:dyDescent="0.35">
      <c r="B868" s="35"/>
      <c r="C868" s="74"/>
      <c r="D868" s="75"/>
      <c r="E868" s="75"/>
      <c r="F868" s="75"/>
      <c r="G868" s="76"/>
      <c r="H868" s="63"/>
      <c r="I868" s="63"/>
      <c r="J868" s="76"/>
      <c r="K868" s="76"/>
      <c r="L868" s="37"/>
      <c r="M868" s="37"/>
      <c r="N868" s="76"/>
      <c r="O868" s="76"/>
      <c r="P868" s="37"/>
      <c r="Q868" s="37"/>
      <c r="R868" s="76"/>
      <c r="S868" s="63"/>
      <c r="T868" s="76"/>
    </row>
    <row r="869" spans="2:20" x14ac:dyDescent="0.35">
      <c r="B869" s="35"/>
      <c r="C869" s="74"/>
      <c r="D869" s="75"/>
      <c r="E869" s="75"/>
      <c r="F869" s="75"/>
      <c r="G869" s="76"/>
      <c r="H869" s="63"/>
      <c r="I869" s="63"/>
      <c r="J869" s="76"/>
      <c r="K869" s="76"/>
      <c r="L869" s="37"/>
      <c r="M869" s="37"/>
      <c r="N869" s="76"/>
      <c r="O869" s="76"/>
      <c r="P869" s="37"/>
      <c r="Q869" s="37"/>
      <c r="R869" s="76"/>
      <c r="S869" s="63"/>
      <c r="T869" s="76"/>
    </row>
    <row r="870" spans="2:20" x14ac:dyDescent="0.35">
      <c r="B870" s="35"/>
      <c r="C870" s="74"/>
      <c r="D870" s="75"/>
      <c r="E870" s="75"/>
      <c r="F870" s="75"/>
      <c r="G870" s="76"/>
      <c r="H870" s="63"/>
      <c r="I870" s="63"/>
      <c r="J870" s="76"/>
      <c r="K870" s="76"/>
      <c r="L870" s="37"/>
      <c r="M870" s="37"/>
      <c r="N870" s="76"/>
      <c r="O870" s="76"/>
      <c r="P870" s="37"/>
      <c r="Q870" s="37"/>
      <c r="R870" s="76"/>
      <c r="S870" s="63"/>
      <c r="T870" s="76"/>
    </row>
    <row r="871" spans="2:20" x14ac:dyDescent="0.35">
      <c r="B871" s="35"/>
      <c r="C871" s="74"/>
      <c r="D871" s="75"/>
      <c r="E871" s="75"/>
      <c r="F871" s="75"/>
      <c r="G871" s="76"/>
      <c r="H871" s="63"/>
      <c r="I871" s="63"/>
      <c r="J871" s="76"/>
      <c r="K871" s="76"/>
      <c r="L871" s="37"/>
      <c r="M871" s="37"/>
      <c r="N871" s="76"/>
      <c r="O871" s="76"/>
      <c r="P871" s="37"/>
      <c r="Q871" s="37"/>
      <c r="R871" s="76"/>
      <c r="S871" s="63"/>
      <c r="T871" s="76"/>
    </row>
    <row r="872" spans="2:20" x14ac:dyDescent="0.35">
      <c r="B872" s="35"/>
      <c r="C872" s="74"/>
      <c r="D872" s="75"/>
      <c r="E872" s="75"/>
      <c r="F872" s="75"/>
      <c r="G872" s="76"/>
      <c r="H872" s="63"/>
      <c r="I872" s="63"/>
      <c r="J872" s="76"/>
      <c r="K872" s="76"/>
      <c r="L872" s="37"/>
      <c r="M872" s="37"/>
      <c r="N872" s="76"/>
      <c r="O872" s="76"/>
      <c r="P872" s="37"/>
      <c r="Q872" s="37"/>
      <c r="R872" s="76"/>
      <c r="S872" s="63"/>
      <c r="T872" s="76"/>
    </row>
    <row r="873" spans="2:20" x14ac:dyDescent="0.35">
      <c r="B873" s="35"/>
      <c r="C873" s="74"/>
      <c r="D873" s="75"/>
      <c r="E873" s="75"/>
      <c r="F873" s="75"/>
      <c r="G873" s="76"/>
      <c r="H873" s="63"/>
      <c r="I873" s="63"/>
      <c r="J873" s="76"/>
      <c r="K873" s="76"/>
      <c r="L873" s="37"/>
      <c r="M873" s="37"/>
      <c r="N873" s="76"/>
      <c r="O873" s="76"/>
      <c r="P873" s="37"/>
      <c r="Q873" s="37"/>
      <c r="R873" s="76"/>
      <c r="S873" s="63"/>
      <c r="T873" s="76"/>
    </row>
    <row r="874" spans="2:20" x14ac:dyDescent="0.35">
      <c r="B874" s="35"/>
      <c r="C874" s="74"/>
      <c r="D874" s="75"/>
      <c r="E874" s="75"/>
      <c r="F874" s="75"/>
      <c r="G874" s="76"/>
      <c r="H874" s="63"/>
      <c r="I874" s="63"/>
      <c r="J874" s="76"/>
      <c r="K874" s="76"/>
      <c r="L874" s="37"/>
      <c r="M874" s="37"/>
      <c r="N874" s="76"/>
      <c r="O874" s="76"/>
      <c r="P874" s="37"/>
      <c r="Q874" s="37"/>
      <c r="R874" s="76"/>
      <c r="S874" s="63"/>
      <c r="T874" s="76"/>
    </row>
    <row r="875" spans="2:20" x14ac:dyDescent="0.35">
      <c r="B875" s="35"/>
      <c r="C875" s="74"/>
      <c r="D875" s="75"/>
      <c r="E875" s="75"/>
      <c r="F875" s="75"/>
      <c r="G875" s="76"/>
      <c r="H875" s="63"/>
      <c r="I875" s="63"/>
      <c r="J875" s="76"/>
      <c r="K875" s="76"/>
      <c r="L875" s="37"/>
      <c r="M875" s="37"/>
      <c r="N875" s="76"/>
      <c r="O875" s="76"/>
      <c r="P875" s="37"/>
      <c r="Q875" s="37"/>
      <c r="R875" s="76"/>
      <c r="S875" s="63"/>
      <c r="T875" s="76"/>
    </row>
    <row r="876" spans="2:20" x14ac:dyDescent="0.35">
      <c r="B876" s="35"/>
      <c r="C876" s="74"/>
      <c r="D876" s="75"/>
      <c r="E876" s="75"/>
      <c r="F876" s="75"/>
      <c r="G876" s="76"/>
      <c r="H876" s="63"/>
      <c r="I876" s="63"/>
      <c r="J876" s="76"/>
      <c r="K876" s="76"/>
      <c r="L876" s="37"/>
      <c r="M876" s="37"/>
      <c r="N876" s="76"/>
      <c r="O876" s="76"/>
      <c r="P876" s="37"/>
      <c r="Q876" s="37"/>
      <c r="R876" s="76"/>
      <c r="S876" s="63"/>
      <c r="T876" s="76"/>
    </row>
    <row r="877" spans="2:20" x14ac:dyDescent="0.35">
      <c r="B877" s="35"/>
      <c r="C877" s="74"/>
      <c r="D877" s="75"/>
      <c r="E877" s="75"/>
      <c r="F877" s="75"/>
      <c r="G877" s="76"/>
      <c r="H877" s="63"/>
      <c r="I877" s="63"/>
      <c r="J877" s="76"/>
      <c r="K877" s="76"/>
      <c r="L877" s="37"/>
      <c r="M877" s="37"/>
      <c r="N877" s="76"/>
      <c r="O877" s="76"/>
      <c r="P877" s="37"/>
      <c r="Q877" s="37"/>
      <c r="R877" s="76"/>
      <c r="S877" s="63"/>
      <c r="T877" s="76"/>
    </row>
    <row r="878" spans="2:20" x14ac:dyDescent="0.35">
      <c r="B878" s="35"/>
      <c r="C878" s="74"/>
      <c r="D878" s="75"/>
      <c r="E878" s="75"/>
      <c r="F878" s="75"/>
      <c r="G878" s="76"/>
      <c r="H878" s="63"/>
      <c r="I878" s="63"/>
      <c r="J878" s="76"/>
      <c r="K878" s="76"/>
      <c r="L878" s="37"/>
      <c r="M878" s="37"/>
      <c r="N878" s="76"/>
      <c r="O878" s="76"/>
      <c r="P878" s="37"/>
      <c r="Q878" s="37"/>
      <c r="R878" s="76"/>
      <c r="S878" s="63"/>
      <c r="T878" s="76"/>
    </row>
    <row r="879" spans="2:20" x14ac:dyDescent="0.35">
      <c r="B879" s="35"/>
      <c r="C879" s="74"/>
      <c r="D879" s="75"/>
      <c r="E879" s="75"/>
      <c r="F879" s="75"/>
      <c r="G879" s="76"/>
      <c r="H879" s="63"/>
      <c r="I879" s="63"/>
      <c r="J879" s="76"/>
      <c r="K879" s="76"/>
      <c r="L879" s="37"/>
      <c r="M879" s="37"/>
      <c r="N879" s="76"/>
      <c r="O879" s="76"/>
      <c r="P879" s="37"/>
      <c r="Q879" s="37"/>
      <c r="R879" s="76"/>
      <c r="S879" s="63"/>
      <c r="T879" s="76"/>
    </row>
    <row r="880" spans="2:20" x14ac:dyDescent="0.35">
      <c r="B880" s="35"/>
      <c r="C880" s="74"/>
      <c r="D880" s="75"/>
      <c r="E880" s="75"/>
      <c r="F880" s="75"/>
      <c r="G880" s="76"/>
      <c r="H880" s="63"/>
      <c r="I880" s="63"/>
      <c r="J880" s="76"/>
      <c r="K880" s="76"/>
      <c r="L880" s="37"/>
      <c r="M880" s="37"/>
      <c r="N880" s="76"/>
      <c r="O880" s="76"/>
      <c r="P880" s="37"/>
      <c r="Q880" s="37"/>
      <c r="R880" s="76"/>
      <c r="S880" s="63"/>
      <c r="T880" s="76"/>
    </row>
    <row r="881" spans="2:20" x14ac:dyDescent="0.35">
      <c r="B881" s="35"/>
      <c r="C881" s="74"/>
      <c r="D881" s="75"/>
      <c r="E881" s="75"/>
      <c r="F881" s="75"/>
      <c r="G881" s="76"/>
      <c r="H881" s="63"/>
      <c r="I881" s="63"/>
      <c r="J881" s="76"/>
      <c r="K881" s="76"/>
      <c r="L881" s="37"/>
      <c r="M881" s="37"/>
      <c r="N881" s="76"/>
      <c r="O881" s="76"/>
      <c r="P881" s="37"/>
      <c r="Q881" s="37"/>
      <c r="R881" s="76"/>
      <c r="S881" s="63"/>
      <c r="T881" s="76"/>
    </row>
    <row r="882" spans="2:20" x14ac:dyDescent="0.35">
      <c r="B882" s="35"/>
      <c r="C882" s="74"/>
      <c r="D882" s="75"/>
      <c r="E882" s="75"/>
      <c r="F882" s="75"/>
      <c r="G882" s="76"/>
      <c r="H882" s="63"/>
      <c r="I882" s="63"/>
      <c r="J882" s="76"/>
      <c r="K882" s="76"/>
      <c r="L882" s="37"/>
      <c r="M882" s="37"/>
      <c r="N882" s="76"/>
      <c r="O882" s="76"/>
      <c r="P882" s="37"/>
      <c r="Q882" s="37"/>
      <c r="R882" s="76"/>
      <c r="S882" s="63"/>
      <c r="T882" s="76"/>
    </row>
    <row r="883" spans="2:20" x14ac:dyDescent="0.35">
      <c r="B883" s="35"/>
      <c r="C883" s="74"/>
      <c r="D883" s="75"/>
      <c r="E883" s="75"/>
      <c r="F883" s="75"/>
      <c r="G883" s="76"/>
      <c r="H883" s="63"/>
      <c r="I883" s="63"/>
      <c r="J883" s="76"/>
      <c r="K883" s="76"/>
      <c r="L883" s="37"/>
      <c r="M883" s="37"/>
      <c r="N883" s="76"/>
      <c r="O883" s="76"/>
      <c r="P883" s="37"/>
      <c r="Q883" s="37"/>
      <c r="R883" s="76"/>
      <c r="S883" s="63"/>
      <c r="T883" s="76"/>
    </row>
    <row r="884" spans="2:20" x14ac:dyDescent="0.35">
      <c r="B884" s="35"/>
      <c r="C884" s="74"/>
      <c r="D884" s="75"/>
      <c r="E884" s="75"/>
      <c r="F884" s="75"/>
      <c r="G884" s="76"/>
      <c r="H884" s="63"/>
      <c r="I884" s="63"/>
      <c r="J884" s="76"/>
      <c r="K884" s="76"/>
      <c r="L884" s="37"/>
      <c r="M884" s="37"/>
      <c r="N884" s="76"/>
      <c r="O884" s="76"/>
      <c r="P884" s="37"/>
      <c r="Q884" s="37"/>
      <c r="R884" s="76"/>
      <c r="S884" s="63"/>
      <c r="T884" s="76"/>
    </row>
    <row r="885" spans="2:20" x14ac:dyDescent="0.35">
      <c r="B885" s="35"/>
      <c r="C885" s="74"/>
      <c r="D885" s="75"/>
      <c r="E885" s="75"/>
      <c r="F885" s="75"/>
      <c r="G885" s="76"/>
      <c r="H885" s="63"/>
      <c r="I885" s="63"/>
      <c r="J885" s="76"/>
      <c r="K885" s="76"/>
      <c r="L885" s="37"/>
      <c r="M885" s="37"/>
      <c r="N885" s="76"/>
      <c r="O885" s="76"/>
      <c r="P885" s="37"/>
      <c r="Q885" s="37"/>
      <c r="R885" s="76"/>
      <c r="S885" s="63"/>
      <c r="T885" s="76"/>
    </row>
    <row r="886" spans="2:20" x14ac:dyDescent="0.35">
      <c r="B886" s="35"/>
      <c r="C886" s="74"/>
      <c r="D886" s="75"/>
      <c r="E886" s="75"/>
      <c r="F886" s="75"/>
      <c r="G886" s="76"/>
      <c r="H886" s="63"/>
      <c r="I886" s="63"/>
      <c r="J886" s="76"/>
      <c r="K886" s="76"/>
      <c r="L886" s="37"/>
      <c r="M886" s="37"/>
      <c r="N886" s="76"/>
      <c r="O886" s="76"/>
      <c r="P886" s="37"/>
      <c r="Q886" s="37"/>
      <c r="R886" s="76"/>
      <c r="S886" s="63"/>
      <c r="T886" s="76"/>
    </row>
    <row r="887" spans="2:20" x14ac:dyDescent="0.35">
      <c r="B887" s="35"/>
      <c r="C887" s="74"/>
      <c r="D887" s="75"/>
      <c r="E887" s="75"/>
      <c r="F887" s="75"/>
      <c r="G887" s="76"/>
      <c r="H887" s="63"/>
      <c r="I887" s="63"/>
      <c r="J887" s="76"/>
      <c r="K887" s="76"/>
      <c r="L887" s="37"/>
      <c r="M887" s="37"/>
      <c r="N887" s="76"/>
      <c r="O887" s="76"/>
      <c r="P887" s="37"/>
      <c r="Q887" s="37"/>
      <c r="R887" s="76"/>
      <c r="S887" s="63"/>
      <c r="T887" s="76"/>
    </row>
    <row r="888" spans="2:20" x14ac:dyDescent="0.35">
      <c r="B888" s="35"/>
      <c r="C888" s="74"/>
      <c r="D888" s="75"/>
      <c r="E888" s="75"/>
      <c r="F888" s="75"/>
      <c r="G888" s="76"/>
      <c r="H888" s="63"/>
      <c r="I888" s="63"/>
      <c r="J888" s="76"/>
      <c r="K888" s="76"/>
      <c r="L888" s="37"/>
      <c r="M888" s="37"/>
      <c r="N888" s="76"/>
      <c r="O888" s="76"/>
      <c r="P888" s="37"/>
      <c r="Q888" s="37"/>
      <c r="R888" s="76"/>
      <c r="S888" s="63"/>
      <c r="T888" s="76"/>
    </row>
    <row r="889" spans="2:20" x14ac:dyDescent="0.35">
      <c r="B889" s="35"/>
      <c r="C889" s="74"/>
      <c r="D889" s="75"/>
      <c r="E889" s="75"/>
      <c r="F889" s="75"/>
      <c r="G889" s="76"/>
      <c r="H889" s="63"/>
      <c r="I889" s="63"/>
      <c r="J889" s="76"/>
      <c r="K889" s="76"/>
      <c r="L889" s="37"/>
      <c r="M889" s="37"/>
      <c r="N889" s="76"/>
      <c r="O889" s="76"/>
      <c r="P889" s="37"/>
      <c r="Q889" s="37"/>
      <c r="R889" s="76"/>
      <c r="S889" s="63"/>
      <c r="T889" s="76"/>
    </row>
    <row r="890" spans="2:20" x14ac:dyDescent="0.35">
      <c r="B890" s="35"/>
      <c r="C890" s="74"/>
      <c r="D890" s="75"/>
      <c r="E890" s="75"/>
      <c r="F890" s="75"/>
      <c r="G890" s="76"/>
      <c r="H890" s="63"/>
      <c r="I890" s="63"/>
      <c r="J890" s="76"/>
      <c r="K890" s="76"/>
      <c r="L890" s="37"/>
      <c r="M890" s="37"/>
      <c r="N890" s="76"/>
      <c r="O890" s="76"/>
      <c r="P890" s="37"/>
      <c r="Q890" s="37"/>
      <c r="R890" s="76"/>
      <c r="S890" s="63"/>
      <c r="T890" s="76"/>
    </row>
    <row r="891" spans="2:20" x14ac:dyDescent="0.35">
      <c r="B891" s="35"/>
      <c r="C891" s="74"/>
      <c r="D891" s="75"/>
      <c r="E891" s="75"/>
      <c r="F891" s="75"/>
      <c r="G891" s="76"/>
      <c r="H891" s="63"/>
      <c r="I891" s="63"/>
      <c r="J891" s="76"/>
      <c r="K891" s="76"/>
      <c r="L891" s="37"/>
      <c r="M891" s="37"/>
      <c r="N891" s="76"/>
      <c r="O891" s="76"/>
      <c r="P891" s="37"/>
      <c r="Q891" s="37"/>
      <c r="R891" s="76"/>
      <c r="S891" s="63"/>
      <c r="T891" s="76"/>
    </row>
    <row r="892" spans="2:20" x14ac:dyDescent="0.35">
      <c r="B892" s="35"/>
      <c r="C892" s="74"/>
      <c r="D892" s="75"/>
      <c r="E892" s="75"/>
      <c r="F892" s="75"/>
      <c r="G892" s="76"/>
      <c r="H892" s="63"/>
      <c r="I892" s="63"/>
      <c r="J892" s="76"/>
      <c r="K892" s="76"/>
      <c r="L892" s="37"/>
      <c r="M892" s="37"/>
      <c r="N892" s="76"/>
      <c r="O892" s="76"/>
      <c r="P892" s="37"/>
      <c r="Q892" s="37"/>
      <c r="R892" s="76"/>
      <c r="S892" s="63"/>
      <c r="T892" s="76"/>
    </row>
    <row r="893" spans="2:20" x14ac:dyDescent="0.35">
      <c r="B893" s="35"/>
      <c r="C893" s="74"/>
      <c r="D893" s="75"/>
      <c r="E893" s="75"/>
      <c r="F893" s="75"/>
      <c r="G893" s="76"/>
      <c r="H893" s="63"/>
      <c r="I893" s="63"/>
      <c r="J893" s="76"/>
      <c r="K893" s="76"/>
      <c r="L893" s="37"/>
      <c r="M893" s="37"/>
      <c r="N893" s="76"/>
      <c r="O893" s="76"/>
      <c r="P893" s="37"/>
      <c r="Q893" s="37"/>
      <c r="R893" s="76"/>
      <c r="S893" s="63"/>
      <c r="T893" s="76"/>
    </row>
    <row r="894" spans="2:20" x14ac:dyDescent="0.35">
      <c r="B894" s="35"/>
      <c r="C894" s="74"/>
      <c r="D894" s="75"/>
      <c r="E894" s="75"/>
      <c r="F894" s="75"/>
      <c r="G894" s="76"/>
      <c r="H894" s="63"/>
      <c r="I894" s="63"/>
      <c r="J894" s="76"/>
      <c r="K894" s="76"/>
      <c r="L894" s="37"/>
      <c r="M894" s="37"/>
      <c r="N894" s="76"/>
      <c r="O894" s="76"/>
      <c r="P894" s="37"/>
      <c r="Q894" s="37"/>
      <c r="R894" s="76"/>
      <c r="S894" s="63"/>
      <c r="T894" s="76"/>
    </row>
    <row r="895" spans="2:20" x14ac:dyDescent="0.35">
      <c r="B895" s="35"/>
      <c r="C895" s="74"/>
      <c r="D895" s="75"/>
      <c r="E895" s="75"/>
      <c r="F895" s="75"/>
      <c r="G895" s="76"/>
      <c r="H895" s="63"/>
      <c r="I895" s="63"/>
      <c r="J895" s="76"/>
      <c r="K895" s="76"/>
      <c r="L895" s="37"/>
      <c r="M895" s="37"/>
      <c r="N895" s="76"/>
      <c r="O895" s="76"/>
      <c r="P895" s="37"/>
      <c r="Q895" s="37"/>
      <c r="R895" s="76"/>
      <c r="S895" s="63"/>
      <c r="T895" s="76"/>
    </row>
    <row r="896" spans="2:20" x14ac:dyDescent="0.35">
      <c r="B896" s="35"/>
      <c r="C896" s="74"/>
      <c r="D896" s="75"/>
      <c r="E896" s="75"/>
      <c r="F896" s="75"/>
      <c r="G896" s="76"/>
      <c r="H896" s="63"/>
      <c r="I896" s="63"/>
      <c r="J896" s="76"/>
      <c r="K896" s="76"/>
      <c r="L896" s="37"/>
      <c r="M896" s="37"/>
      <c r="N896" s="76"/>
      <c r="O896" s="76"/>
      <c r="P896" s="37"/>
      <c r="Q896" s="37"/>
      <c r="R896" s="76"/>
      <c r="S896" s="63"/>
      <c r="T896" s="76"/>
    </row>
    <row r="897" spans="2:20" x14ac:dyDescent="0.35">
      <c r="B897" s="35"/>
      <c r="C897" s="74"/>
      <c r="D897" s="75"/>
      <c r="E897" s="75"/>
      <c r="F897" s="75"/>
      <c r="G897" s="76"/>
      <c r="H897" s="63"/>
      <c r="I897" s="63"/>
      <c r="J897" s="76"/>
      <c r="K897" s="76"/>
      <c r="L897" s="37"/>
      <c r="M897" s="37"/>
      <c r="N897" s="76"/>
      <c r="O897" s="76"/>
      <c r="P897" s="37"/>
      <c r="Q897" s="37"/>
      <c r="R897" s="76"/>
      <c r="S897" s="63"/>
      <c r="T897" s="76"/>
    </row>
    <row r="898" spans="2:20" x14ac:dyDescent="0.35">
      <c r="B898" s="35"/>
      <c r="C898" s="74"/>
      <c r="D898" s="75"/>
      <c r="E898" s="75"/>
      <c r="F898" s="75"/>
      <c r="G898" s="76"/>
      <c r="H898" s="63"/>
      <c r="I898" s="63"/>
      <c r="J898" s="76"/>
      <c r="K898" s="76"/>
      <c r="L898" s="37"/>
      <c r="M898" s="37"/>
      <c r="N898" s="76"/>
      <c r="O898" s="76"/>
      <c r="P898" s="37"/>
      <c r="Q898" s="37"/>
      <c r="R898" s="76"/>
      <c r="S898" s="63"/>
      <c r="T898" s="76"/>
    </row>
    <row r="899" spans="2:20" x14ac:dyDescent="0.35">
      <c r="B899" s="35"/>
      <c r="C899" s="74"/>
      <c r="D899" s="75"/>
      <c r="E899" s="75"/>
      <c r="F899" s="75"/>
      <c r="G899" s="76"/>
      <c r="H899" s="63"/>
      <c r="I899" s="63"/>
      <c r="J899" s="76"/>
      <c r="K899" s="76"/>
      <c r="L899" s="37"/>
      <c r="M899" s="37"/>
      <c r="N899" s="76"/>
      <c r="O899" s="76"/>
      <c r="P899" s="37"/>
      <c r="Q899" s="37"/>
      <c r="R899" s="76"/>
      <c r="S899" s="63"/>
      <c r="T899" s="76"/>
    </row>
    <row r="900" spans="2:20" x14ac:dyDescent="0.35">
      <c r="B900" s="35"/>
      <c r="C900" s="74"/>
      <c r="D900" s="75"/>
      <c r="E900" s="75"/>
      <c r="F900" s="75"/>
      <c r="G900" s="76"/>
      <c r="H900" s="63"/>
      <c r="I900" s="63"/>
      <c r="J900" s="76"/>
      <c r="K900" s="76"/>
      <c r="L900" s="37"/>
      <c r="M900" s="37"/>
      <c r="N900" s="76"/>
      <c r="O900" s="76"/>
      <c r="P900" s="37"/>
      <c r="Q900" s="37"/>
      <c r="R900" s="76"/>
      <c r="S900" s="63"/>
      <c r="T900" s="76"/>
    </row>
    <row r="901" spans="2:20" x14ac:dyDescent="0.35">
      <c r="B901" s="35"/>
      <c r="C901" s="74"/>
      <c r="D901" s="75"/>
      <c r="E901" s="75"/>
      <c r="F901" s="75"/>
      <c r="G901" s="76"/>
      <c r="H901" s="63"/>
      <c r="I901" s="63"/>
      <c r="J901" s="76"/>
      <c r="K901" s="76"/>
      <c r="L901" s="37"/>
      <c r="M901" s="37"/>
      <c r="N901" s="76"/>
      <c r="O901" s="76"/>
      <c r="P901" s="37"/>
      <c r="Q901" s="37"/>
      <c r="R901" s="76"/>
      <c r="S901" s="63"/>
      <c r="T901" s="76"/>
    </row>
    <row r="902" spans="2:20" x14ac:dyDescent="0.35">
      <c r="B902" s="35"/>
      <c r="C902" s="74"/>
      <c r="D902" s="75"/>
      <c r="E902" s="75"/>
      <c r="F902" s="75"/>
      <c r="G902" s="76"/>
      <c r="H902" s="63"/>
      <c r="I902" s="63"/>
      <c r="J902" s="76"/>
      <c r="K902" s="76"/>
      <c r="L902" s="37"/>
      <c r="M902" s="37"/>
      <c r="N902" s="76"/>
      <c r="O902" s="76"/>
      <c r="P902" s="37"/>
      <c r="Q902" s="37"/>
      <c r="R902" s="76"/>
      <c r="S902" s="63"/>
      <c r="T902" s="76"/>
    </row>
    <row r="903" spans="2:20" x14ac:dyDescent="0.35">
      <c r="B903" s="35"/>
      <c r="C903" s="74"/>
      <c r="D903" s="75"/>
      <c r="E903" s="75"/>
      <c r="F903" s="75"/>
      <c r="G903" s="76"/>
      <c r="H903" s="63"/>
      <c r="I903" s="63"/>
      <c r="J903" s="76"/>
      <c r="K903" s="76"/>
      <c r="L903" s="37"/>
      <c r="M903" s="37"/>
      <c r="N903" s="76"/>
      <c r="O903" s="76"/>
      <c r="P903" s="37"/>
      <c r="Q903" s="37"/>
      <c r="R903" s="76"/>
      <c r="S903" s="63"/>
      <c r="T903" s="76"/>
    </row>
    <row r="904" spans="2:20" x14ac:dyDescent="0.35">
      <c r="B904" s="35"/>
      <c r="C904" s="74"/>
      <c r="D904" s="75"/>
      <c r="E904" s="75"/>
      <c r="F904" s="75"/>
      <c r="G904" s="76"/>
      <c r="H904" s="63"/>
      <c r="I904" s="63"/>
      <c r="J904" s="76"/>
      <c r="K904" s="76"/>
      <c r="L904" s="37"/>
      <c r="M904" s="37"/>
      <c r="N904" s="76"/>
      <c r="O904" s="76"/>
      <c r="P904" s="37"/>
      <c r="Q904" s="37"/>
      <c r="R904" s="76"/>
      <c r="S904" s="63"/>
      <c r="T904" s="76"/>
    </row>
    <row r="905" spans="2:20" x14ac:dyDescent="0.35">
      <c r="B905" s="35"/>
      <c r="C905" s="74"/>
      <c r="D905" s="75"/>
      <c r="E905" s="75"/>
      <c r="F905" s="75"/>
      <c r="G905" s="76"/>
      <c r="H905" s="63"/>
      <c r="I905" s="63"/>
      <c r="J905" s="76"/>
      <c r="K905" s="76"/>
      <c r="L905" s="37"/>
      <c r="M905" s="37"/>
      <c r="N905" s="76"/>
      <c r="O905" s="76"/>
      <c r="P905" s="37"/>
      <c r="Q905" s="37"/>
      <c r="R905" s="76"/>
      <c r="S905" s="63"/>
      <c r="T905" s="76"/>
    </row>
    <row r="906" spans="2:20" x14ac:dyDescent="0.35">
      <c r="B906" s="35"/>
      <c r="C906" s="74"/>
      <c r="D906" s="75"/>
      <c r="E906" s="75"/>
      <c r="F906" s="75"/>
      <c r="G906" s="76"/>
      <c r="H906" s="63"/>
      <c r="I906" s="63"/>
      <c r="J906" s="76"/>
      <c r="K906" s="76"/>
      <c r="L906" s="37"/>
      <c r="M906" s="37"/>
      <c r="N906" s="76"/>
      <c r="O906" s="76"/>
      <c r="P906" s="37"/>
      <c r="Q906" s="37"/>
      <c r="R906" s="76"/>
      <c r="S906" s="63"/>
      <c r="T906" s="76"/>
    </row>
    <row r="907" spans="2:20" x14ac:dyDescent="0.35">
      <c r="B907" s="35"/>
      <c r="C907" s="74"/>
      <c r="D907" s="75"/>
      <c r="E907" s="75"/>
      <c r="F907" s="75"/>
      <c r="G907" s="76"/>
      <c r="H907" s="63"/>
      <c r="I907" s="63"/>
      <c r="J907" s="76"/>
      <c r="K907" s="76"/>
      <c r="L907" s="37"/>
      <c r="M907" s="37"/>
      <c r="N907" s="76"/>
      <c r="O907" s="76"/>
      <c r="P907" s="37"/>
      <c r="Q907" s="37"/>
      <c r="R907" s="76"/>
      <c r="S907" s="63"/>
      <c r="T907" s="76"/>
    </row>
    <row r="908" spans="2:20" x14ac:dyDescent="0.35">
      <c r="B908" s="35"/>
      <c r="C908" s="74"/>
      <c r="D908" s="75"/>
      <c r="E908" s="75"/>
      <c r="F908" s="75"/>
      <c r="G908" s="76"/>
      <c r="H908" s="63"/>
      <c r="I908" s="63"/>
      <c r="J908" s="76"/>
      <c r="K908" s="76"/>
      <c r="L908" s="37"/>
      <c r="M908" s="37"/>
      <c r="N908" s="76"/>
      <c r="O908" s="76"/>
      <c r="P908" s="37"/>
      <c r="Q908" s="37"/>
      <c r="R908" s="76"/>
      <c r="S908" s="63"/>
      <c r="T908" s="76"/>
    </row>
    <row r="909" spans="2:20" x14ac:dyDescent="0.35">
      <c r="B909" s="35"/>
      <c r="C909" s="74"/>
      <c r="D909" s="75"/>
      <c r="E909" s="75"/>
      <c r="F909" s="75"/>
      <c r="G909" s="76"/>
      <c r="H909" s="63"/>
      <c r="I909" s="63"/>
      <c r="J909" s="76"/>
      <c r="K909" s="76"/>
      <c r="L909" s="37"/>
      <c r="M909" s="37"/>
      <c r="N909" s="76"/>
      <c r="O909" s="76"/>
      <c r="P909" s="37"/>
      <c r="Q909" s="37"/>
      <c r="R909" s="76"/>
      <c r="S909" s="63"/>
      <c r="T909" s="76"/>
    </row>
    <row r="910" spans="2:20" x14ac:dyDescent="0.35">
      <c r="B910" s="35"/>
      <c r="C910" s="74"/>
      <c r="D910" s="75"/>
      <c r="E910" s="75"/>
      <c r="F910" s="75"/>
      <c r="G910" s="76"/>
      <c r="H910" s="63"/>
      <c r="I910" s="63"/>
      <c r="J910" s="76"/>
      <c r="K910" s="76"/>
      <c r="L910" s="37"/>
      <c r="M910" s="37"/>
      <c r="N910" s="76"/>
      <c r="O910" s="76"/>
      <c r="P910" s="37"/>
      <c r="Q910" s="37"/>
      <c r="R910" s="76"/>
      <c r="S910" s="63"/>
      <c r="T910" s="76"/>
    </row>
    <row r="911" spans="2:20" x14ac:dyDescent="0.35">
      <c r="B911" s="35"/>
      <c r="C911" s="74"/>
      <c r="D911" s="75"/>
      <c r="E911" s="75"/>
      <c r="F911" s="75"/>
      <c r="G911" s="76"/>
      <c r="H911" s="63"/>
      <c r="I911" s="63"/>
      <c r="J911" s="76"/>
      <c r="K911" s="76"/>
      <c r="L911" s="37"/>
      <c r="M911" s="37"/>
      <c r="N911" s="76"/>
      <c r="O911" s="76"/>
      <c r="P911" s="37"/>
      <c r="Q911" s="37"/>
      <c r="R911" s="76"/>
      <c r="S911" s="63"/>
      <c r="T911" s="76"/>
    </row>
    <row r="912" spans="2:20" x14ac:dyDescent="0.35">
      <c r="B912" s="35"/>
      <c r="C912" s="74"/>
      <c r="D912" s="75"/>
      <c r="E912" s="75"/>
      <c r="F912" s="75"/>
      <c r="G912" s="76"/>
      <c r="H912" s="63"/>
      <c r="I912" s="63"/>
      <c r="J912" s="76"/>
      <c r="K912" s="76"/>
      <c r="L912" s="37"/>
      <c r="M912" s="37"/>
      <c r="N912" s="76"/>
      <c r="O912" s="76"/>
      <c r="P912" s="37"/>
      <c r="Q912" s="37"/>
      <c r="R912" s="76"/>
      <c r="S912" s="63"/>
      <c r="T912" s="76"/>
    </row>
    <row r="913" spans="2:20" x14ac:dyDescent="0.35">
      <c r="B913" s="35"/>
      <c r="C913" s="74"/>
      <c r="D913" s="75"/>
      <c r="E913" s="75"/>
      <c r="F913" s="75"/>
      <c r="G913" s="76"/>
      <c r="H913" s="63"/>
      <c r="I913" s="63"/>
      <c r="J913" s="76"/>
      <c r="K913" s="76"/>
      <c r="L913" s="37"/>
      <c r="M913" s="37"/>
      <c r="N913" s="76"/>
      <c r="O913" s="76"/>
      <c r="P913" s="37"/>
      <c r="Q913" s="37"/>
      <c r="R913" s="76"/>
      <c r="S913" s="63"/>
      <c r="T913" s="76"/>
    </row>
    <row r="914" spans="2:20" x14ac:dyDescent="0.35">
      <c r="B914" s="35"/>
      <c r="C914" s="74"/>
      <c r="D914" s="75"/>
      <c r="E914" s="75"/>
      <c r="F914" s="75"/>
      <c r="G914" s="76"/>
      <c r="H914" s="63"/>
      <c r="I914" s="63"/>
      <c r="J914" s="76"/>
      <c r="K914" s="76"/>
      <c r="L914" s="37"/>
      <c r="M914" s="37"/>
      <c r="N914" s="76"/>
      <c r="O914" s="76"/>
      <c r="P914" s="37"/>
      <c r="Q914" s="37"/>
      <c r="R914" s="76"/>
      <c r="S914" s="63"/>
      <c r="T914" s="76"/>
    </row>
    <row r="915" spans="2:20" x14ac:dyDescent="0.35">
      <c r="B915" s="35"/>
      <c r="C915" s="74"/>
      <c r="D915" s="75"/>
      <c r="E915" s="75"/>
      <c r="F915" s="75"/>
      <c r="G915" s="76"/>
      <c r="H915" s="63"/>
      <c r="I915" s="63"/>
      <c r="J915" s="76"/>
      <c r="K915" s="76"/>
      <c r="L915" s="37"/>
      <c r="M915" s="37"/>
      <c r="N915" s="76"/>
      <c r="O915" s="76"/>
      <c r="P915" s="37"/>
      <c r="Q915" s="37"/>
      <c r="R915" s="76"/>
      <c r="S915" s="63"/>
      <c r="T915" s="76"/>
    </row>
    <row r="916" spans="2:20" x14ac:dyDescent="0.35">
      <c r="B916" s="35"/>
      <c r="C916" s="74"/>
      <c r="D916" s="75"/>
      <c r="E916" s="75"/>
      <c r="F916" s="75"/>
      <c r="G916" s="76"/>
      <c r="H916" s="63"/>
      <c r="I916" s="63"/>
      <c r="J916" s="76"/>
      <c r="K916" s="76"/>
      <c r="L916" s="37"/>
      <c r="M916" s="37"/>
      <c r="N916" s="76"/>
      <c r="O916" s="76"/>
      <c r="P916" s="37"/>
      <c r="Q916" s="37"/>
      <c r="R916" s="76"/>
      <c r="S916" s="63"/>
      <c r="T916" s="76"/>
    </row>
    <row r="917" spans="2:20" x14ac:dyDescent="0.35">
      <c r="B917" s="35"/>
      <c r="C917" s="74"/>
      <c r="D917" s="75"/>
      <c r="E917" s="75"/>
      <c r="F917" s="75"/>
      <c r="G917" s="76"/>
      <c r="H917" s="63"/>
      <c r="I917" s="63"/>
      <c r="J917" s="76"/>
      <c r="K917" s="76"/>
      <c r="L917" s="37"/>
      <c r="M917" s="37"/>
      <c r="N917" s="76"/>
      <c r="O917" s="76"/>
      <c r="P917" s="37"/>
      <c r="Q917" s="37"/>
      <c r="R917" s="76"/>
      <c r="S917" s="63"/>
      <c r="T917" s="76"/>
    </row>
    <row r="918" spans="2:20" x14ac:dyDescent="0.35">
      <c r="B918" s="35"/>
      <c r="C918" s="74"/>
      <c r="D918" s="75"/>
      <c r="E918" s="75"/>
      <c r="F918" s="75"/>
      <c r="G918" s="76"/>
      <c r="H918" s="63"/>
      <c r="I918" s="63"/>
      <c r="J918" s="76"/>
      <c r="K918" s="76"/>
      <c r="L918" s="37"/>
      <c r="M918" s="37"/>
      <c r="N918" s="76"/>
      <c r="O918" s="76"/>
      <c r="P918" s="37"/>
      <c r="Q918" s="37"/>
      <c r="R918" s="76"/>
      <c r="S918" s="63"/>
      <c r="T918" s="76"/>
    </row>
    <row r="919" spans="2:20" x14ac:dyDescent="0.35">
      <c r="B919" s="35"/>
      <c r="C919" s="74"/>
      <c r="D919" s="75"/>
      <c r="E919" s="75"/>
      <c r="F919" s="75"/>
      <c r="G919" s="76"/>
      <c r="H919" s="63"/>
      <c r="I919" s="63"/>
      <c r="J919" s="76"/>
      <c r="K919" s="76"/>
      <c r="L919" s="37"/>
      <c r="M919" s="37"/>
      <c r="N919" s="76"/>
      <c r="O919" s="76"/>
      <c r="P919" s="37"/>
      <c r="Q919" s="37"/>
      <c r="R919" s="76"/>
      <c r="S919" s="63"/>
      <c r="T919" s="76"/>
    </row>
    <row r="920" spans="2:20" x14ac:dyDescent="0.35">
      <c r="B920" s="35"/>
      <c r="C920" s="74"/>
      <c r="D920" s="75"/>
      <c r="E920" s="75"/>
      <c r="F920" s="75"/>
      <c r="G920" s="76"/>
      <c r="H920" s="63"/>
      <c r="I920" s="63"/>
      <c r="J920" s="76"/>
      <c r="K920" s="76"/>
      <c r="L920" s="37"/>
      <c r="M920" s="37"/>
      <c r="N920" s="76"/>
      <c r="O920" s="76"/>
      <c r="P920" s="37"/>
      <c r="Q920" s="37"/>
      <c r="R920" s="76"/>
      <c r="S920" s="63"/>
      <c r="T920" s="76"/>
    </row>
    <row r="921" spans="2:20" x14ac:dyDescent="0.35">
      <c r="B921" s="35"/>
      <c r="C921" s="74"/>
      <c r="D921" s="75"/>
      <c r="E921" s="75"/>
      <c r="F921" s="75"/>
      <c r="G921" s="76"/>
      <c r="H921" s="63"/>
      <c r="I921" s="63"/>
      <c r="J921" s="76"/>
      <c r="K921" s="76"/>
      <c r="L921" s="37"/>
      <c r="M921" s="37"/>
      <c r="N921" s="76"/>
      <c r="O921" s="76"/>
      <c r="P921" s="37"/>
      <c r="Q921" s="37"/>
      <c r="R921" s="76"/>
      <c r="S921" s="63"/>
      <c r="T921" s="76"/>
    </row>
    <row r="922" spans="2:20" x14ac:dyDescent="0.35">
      <c r="B922" s="35"/>
      <c r="C922" s="74"/>
      <c r="D922" s="75"/>
      <c r="E922" s="75"/>
      <c r="F922" s="75"/>
      <c r="G922" s="76"/>
      <c r="H922" s="63"/>
      <c r="I922" s="63"/>
      <c r="J922" s="76"/>
      <c r="K922" s="76"/>
      <c r="L922" s="37"/>
      <c r="M922" s="37"/>
      <c r="N922" s="76"/>
      <c r="O922" s="76"/>
      <c r="P922" s="37"/>
      <c r="Q922" s="37"/>
      <c r="R922" s="76"/>
      <c r="S922" s="63"/>
      <c r="T922" s="76"/>
    </row>
    <row r="923" spans="2:20" x14ac:dyDescent="0.35">
      <c r="B923" s="35"/>
      <c r="C923" s="74"/>
      <c r="D923" s="75"/>
      <c r="E923" s="75"/>
      <c r="F923" s="75"/>
      <c r="G923" s="76"/>
      <c r="H923" s="63"/>
      <c r="I923" s="63"/>
      <c r="J923" s="76"/>
      <c r="K923" s="76"/>
      <c r="L923" s="37"/>
      <c r="M923" s="37"/>
      <c r="N923" s="76"/>
      <c r="O923" s="76"/>
      <c r="P923" s="37"/>
      <c r="Q923" s="37"/>
      <c r="R923" s="76"/>
      <c r="S923" s="63"/>
      <c r="T923" s="76"/>
    </row>
    <row r="924" spans="2:20" x14ac:dyDescent="0.35">
      <c r="B924" s="35"/>
      <c r="C924" s="74"/>
      <c r="D924" s="75"/>
      <c r="E924" s="75"/>
      <c r="F924" s="75"/>
      <c r="G924" s="76"/>
      <c r="H924" s="63"/>
      <c r="I924" s="63"/>
      <c r="J924" s="76"/>
      <c r="K924" s="76"/>
      <c r="L924" s="37"/>
      <c r="M924" s="37"/>
      <c r="N924" s="76"/>
      <c r="O924" s="76"/>
      <c r="P924" s="37"/>
      <c r="Q924" s="37"/>
      <c r="R924" s="76"/>
      <c r="S924" s="63"/>
      <c r="T924" s="76"/>
    </row>
    <row r="925" spans="2:20" x14ac:dyDescent="0.35">
      <c r="B925" s="35"/>
      <c r="C925" s="74"/>
      <c r="D925" s="75"/>
      <c r="E925" s="75"/>
      <c r="F925" s="75"/>
      <c r="G925" s="76"/>
      <c r="H925" s="63"/>
      <c r="I925" s="63"/>
      <c r="J925" s="76"/>
      <c r="K925" s="76"/>
      <c r="L925" s="37"/>
      <c r="M925" s="37"/>
      <c r="N925" s="76"/>
      <c r="O925" s="76"/>
      <c r="P925" s="37"/>
      <c r="Q925" s="37"/>
      <c r="R925" s="76"/>
      <c r="S925" s="63"/>
      <c r="T925" s="76"/>
    </row>
    <row r="926" spans="2:20" x14ac:dyDescent="0.35">
      <c r="B926" s="35"/>
      <c r="C926" s="74"/>
      <c r="D926" s="75"/>
      <c r="E926" s="75"/>
      <c r="F926" s="75"/>
      <c r="G926" s="76"/>
      <c r="H926" s="63"/>
      <c r="I926" s="63"/>
      <c r="J926" s="76"/>
      <c r="K926" s="76"/>
      <c r="L926" s="37"/>
      <c r="M926" s="37"/>
      <c r="N926" s="76"/>
      <c r="O926" s="76"/>
      <c r="P926" s="37"/>
      <c r="Q926" s="37"/>
      <c r="R926" s="76"/>
      <c r="S926" s="63"/>
      <c r="T926" s="76"/>
    </row>
    <row r="927" spans="2:20" x14ac:dyDescent="0.35">
      <c r="B927" s="35"/>
      <c r="C927" s="74"/>
      <c r="D927" s="75"/>
      <c r="E927" s="75"/>
      <c r="F927" s="75"/>
      <c r="G927" s="76"/>
      <c r="H927" s="63"/>
      <c r="I927" s="63"/>
      <c r="J927" s="76"/>
      <c r="K927" s="76"/>
      <c r="L927" s="37"/>
      <c r="M927" s="37"/>
      <c r="N927" s="76"/>
      <c r="O927" s="76"/>
      <c r="P927" s="37"/>
      <c r="Q927" s="37"/>
      <c r="R927" s="76"/>
      <c r="S927" s="63"/>
      <c r="T927" s="76"/>
    </row>
    <row r="928" spans="2:20" x14ac:dyDescent="0.35">
      <c r="B928" s="35"/>
      <c r="C928" s="74"/>
      <c r="D928" s="75"/>
      <c r="E928" s="75"/>
      <c r="F928" s="75"/>
      <c r="G928" s="76"/>
      <c r="H928" s="63"/>
      <c r="I928" s="63"/>
      <c r="J928" s="76"/>
      <c r="K928" s="76"/>
      <c r="L928" s="37"/>
      <c r="M928" s="37"/>
      <c r="N928" s="76"/>
      <c r="O928" s="76"/>
      <c r="P928" s="37"/>
      <c r="Q928" s="37"/>
      <c r="R928" s="76"/>
      <c r="S928" s="63"/>
      <c r="T928" s="76"/>
    </row>
    <row r="929" spans="2:20" x14ac:dyDescent="0.35">
      <c r="B929" s="35"/>
      <c r="C929" s="74"/>
      <c r="D929" s="75"/>
      <c r="E929" s="75"/>
      <c r="F929" s="75"/>
      <c r="G929" s="76"/>
      <c r="H929" s="63"/>
      <c r="I929" s="63"/>
      <c r="J929" s="76"/>
      <c r="K929" s="76"/>
      <c r="L929" s="37"/>
      <c r="M929" s="37"/>
      <c r="N929" s="76"/>
      <c r="O929" s="76"/>
      <c r="P929" s="37"/>
      <c r="Q929" s="37"/>
      <c r="R929" s="76"/>
      <c r="S929" s="63"/>
      <c r="T929" s="76"/>
    </row>
    <row r="930" spans="2:20" x14ac:dyDescent="0.35">
      <c r="B930" s="35"/>
      <c r="C930" s="74"/>
      <c r="D930" s="75"/>
      <c r="E930" s="75"/>
      <c r="F930" s="75"/>
      <c r="G930" s="76"/>
      <c r="H930" s="63"/>
      <c r="I930" s="63"/>
      <c r="J930" s="76"/>
      <c r="K930" s="76"/>
      <c r="L930" s="37"/>
      <c r="M930" s="37"/>
      <c r="N930" s="76"/>
      <c r="O930" s="76"/>
      <c r="P930" s="37"/>
      <c r="Q930" s="37"/>
      <c r="R930" s="76"/>
      <c r="S930" s="63"/>
      <c r="T930" s="76"/>
    </row>
    <row r="931" spans="2:20" x14ac:dyDescent="0.35">
      <c r="B931" s="35"/>
      <c r="C931" s="74"/>
      <c r="D931" s="75"/>
      <c r="E931" s="75"/>
      <c r="F931" s="75"/>
      <c r="G931" s="76"/>
      <c r="H931" s="63"/>
      <c r="I931" s="63"/>
      <c r="J931" s="76"/>
      <c r="K931" s="76"/>
      <c r="L931" s="37"/>
      <c r="M931" s="37"/>
      <c r="N931" s="76"/>
      <c r="O931" s="76"/>
      <c r="P931" s="37"/>
      <c r="Q931" s="37"/>
      <c r="R931" s="76"/>
      <c r="S931" s="63"/>
      <c r="T931" s="76"/>
    </row>
    <row r="932" spans="2:20" x14ac:dyDescent="0.35">
      <c r="B932" s="35"/>
      <c r="C932" s="74"/>
      <c r="D932" s="75"/>
      <c r="E932" s="75"/>
      <c r="F932" s="75"/>
      <c r="G932" s="76"/>
      <c r="H932" s="63"/>
      <c r="I932" s="63"/>
      <c r="J932" s="76"/>
      <c r="K932" s="76"/>
      <c r="L932" s="37"/>
      <c r="M932" s="37"/>
      <c r="N932" s="76"/>
      <c r="O932" s="76"/>
      <c r="P932" s="37"/>
      <c r="Q932" s="37"/>
      <c r="R932" s="76"/>
      <c r="S932" s="63"/>
      <c r="T932" s="76"/>
    </row>
    <row r="933" spans="2:20" x14ac:dyDescent="0.35">
      <c r="B933" s="35"/>
      <c r="C933" s="74"/>
      <c r="D933" s="75"/>
      <c r="E933" s="75"/>
      <c r="F933" s="75"/>
      <c r="G933" s="76"/>
      <c r="H933" s="63"/>
      <c r="I933" s="63"/>
      <c r="J933" s="76"/>
      <c r="K933" s="76"/>
      <c r="L933" s="37"/>
      <c r="M933" s="37"/>
      <c r="N933" s="76"/>
      <c r="O933" s="76"/>
      <c r="P933" s="37"/>
      <c r="Q933" s="37"/>
      <c r="R933" s="76"/>
      <c r="S933" s="63"/>
      <c r="T933" s="76"/>
    </row>
    <row r="934" spans="2:20" x14ac:dyDescent="0.35">
      <c r="B934" s="35"/>
      <c r="C934" s="74"/>
      <c r="D934" s="75"/>
      <c r="E934" s="75"/>
      <c r="F934" s="75"/>
      <c r="G934" s="76"/>
      <c r="H934" s="63"/>
      <c r="I934" s="63"/>
      <c r="J934" s="76"/>
      <c r="K934" s="76"/>
      <c r="L934" s="37"/>
      <c r="M934" s="37"/>
      <c r="N934" s="76"/>
      <c r="O934" s="76"/>
      <c r="P934" s="37"/>
      <c r="Q934" s="37"/>
      <c r="R934" s="76"/>
      <c r="S934" s="63"/>
      <c r="T934" s="76"/>
    </row>
    <row r="935" spans="2:20" x14ac:dyDescent="0.35">
      <c r="B935" s="35"/>
      <c r="C935" s="74"/>
      <c r="D935" s="75"/>
      <c r="E935" s="75"/>
      <c r="F935" s="75"/>
      <c r="G935" s="76"/>
      <c r="H935" s="63"/>
      <c r="I935" s="63"/>
      <c r="J935" s="76"/>
      <c r="K935" s="76"/>
      <c r="L935" s="37"/>
      <c r="M935" s="37"/>
      <c r="N935" s="76"/>
      <c r="O935" s="76"/>
      <c r="P935" s="37"/>
      <c r="Q935" s="37"/>
      <c r="R935" s="76"/>
      <c r="S935" s="63"/>
      <c r="T935" s="76"/>
    </row>
    <row r="936" spans="2:20" x14ac:dyDescent="0.35">
      <c r="B936" s="35"/>
      <c r="C936" s="74"/>
      <c r="D936" s="75"/>
      <c r="E936" s="75"/>
      <c r="F936" s="75"/>
      <c r="G936" s="76"/>
      <c r="H936" s="63"/>
      <c r="I936" s="63"/>
      <c r="J936" s="76"/>
      <c r="K936" s="76"/>
      <c r="L936" s="37"/>
      <c r="M936" s="37"/>
      <c r="N936" s="76"/>
      <c r="O936" s="76"/>
      <c r="P936" s="37"/>
      <c r="Q936" s="37"/>
      <c r="R936" s="76"/>
      <c r="S936" s="63"/>
      <c r="T936" s="76"/>
    </row>
    <row r="937" spans="2:20" x14ac:dyDescent="0.35">
      <c r="B937" s="35"/>
      <c r="C937" s="74"/>
      <c r="D937" s="75"/>
      <c r="E937" s="75"/>
      <c r="F937" s="75"/>
      <c r="G937" s="76"/>
      <c r="H937" s="63"/>
      <c r="I937" s="63"/>
      <c r="J937" s="76"/>
      <c r="K937" s="76"/>
      <c r="L937" s="37"/>
      <c r="M937" s="37"/>
      <c r="N937" s="76"/>
      <c r="O937" s="76"/>
      <c r="P937" s="37"/>
      <c r="Q937" s="37"/>
      <c r="R937" s="76"/>
      <c r="S937" s="63"/>
      <c r="T937" s="76"/>
    </row>
    <row r="938" spans="2:20" x14ac:dyDescent="0.35">
      <c r="B938" s="35"/>
      <c r="C938" s="74"/>
      <c r="D938" s="75"/>
      <c r="E938" s="75"/>
      <c r="F938" s="75"/>
      <c r="G938" s="76"/>
      <c r="H938" s="63"/>
      <c r="I938" s="63"/>
      <c r="J938" s="76"/>
      <c r="K938" s="76"/>
      <c r="L938" s="37"/>
      <c r="M938" s="37"/>
      <c r="N938" s="76"/>
      <c r="O938" s="76"/>
      <c r="P938" s="37"/>
      <c r="Q938" s="37"/>
      <c r="R938" s="76"/>
      <c r="S938" s="63"/>
      <c r="T938" s="76"/>
    </row>
    <row r="939" spans="2:20" x14ac:dyDescent="0.35">
      <c r="B939" s="35"/>
      <c r="C939" s="74"/>
      <c r="D939" s="75"/>
      <c r="E939" s="75"/>
      <c r="F939" s="75"/>
      <c r="G939" s="76"/>
      <c r="H939" s="63"/>
      <c r="I939" s="63"/>
      <c r="J939" s="76"/>
      <c r="K939" s="76"/>
      <c r="L939" s="37"/>
      <c r="M939" s="37"/>
      <c r="N939" s="76"/>
      <c r="O939" s="76"/>
      <c r="P939" s="37"/>
      <c r="Q939" s="37"/>
      <c r="R939" s="76"/>
      <c r="S939" s="63"/>
      <c r="T939" s="76"/>
    </row>
    <row r="940" spans="2:20" x14ac:dyDescent="0.35">
      <c r="B940" s="35"/>
      <c r="C940" s="74"/>
      <c r="D940" s="75"/>
      <c r="E940" s="75"/>
      <c r="F940" s="75"/>
      <c r="G940" s="76"/>
      <c r="H940" s="63"/>
      <c r="I940" s="63"/>
      <c r="J940" s="76"/>
      <c r="K940" s="76"/>
      <c r="L940" s="37"/>
      <c r="M940" s="37"/>
      <c r="N940" s="76"/>
      <c r="O940" s="76"/>
      <c r="P940" s="37"/>
      <c r="Q940" s="37"/>
      <c r="R940" s="76"/>
      <c r="S940" s="63"/>
      <c r="T940" s="76"/>
    </row>
    <row r="941" spans="2:20" x14ac:dyDescent="0.35">
      <c r="B941" s="35"/>
      <c r="C941" s="74"/>
      <c r="D941" s="75"/>
      <c r="E941" s="75"/>
      <c r="F941" s="75"/>
      <c r="G941" s="76"/>
      <c r="H941" s="63"/>
      <c r="I941" s="63"/>
      <c r="J941" s="76"/>
      <c r="K941" s="76"/>
      <c r="L941" s="37"/>
      <c r="M941" s="37"/>
      <c r="N941" s="76"/>
      <c r="O941" s="76"/>
      <c r="P941" s="37"/>
      <c r="Q941" s="37"/>
      <c r="R941" s="76"/>
      <c r="S941" s="63"/>
      <c r="T941" s="76"/>
    </row>
    <row r="942" spans="2:20" x14ac:dyDescent="0.35">
      <c r="B942" s="35"/>
      <c r="C942" s="74"/>
      <c r="D942" s="75"/>
      <c r="E942" s="75"/>
      <c r="F942" s="75"/>
      <c r="G942" s="76"/>
      <c r="H942" s="63"/>
      <c r="I942" s="63"/>
      <c r="J942" s="76"/>
      <c r="K942" s="76"/>
      <c r="L942" s="37"/>
      <c r="M942" s="37"/>
      <c r="N942" s="76"/>
      <c r="O942" s="76"/>
      <c r="P942" s="37"/>
      <c r="Q942" s="37"/>
      <c r="R942" s="76"/>
      <c r="S942" s="63"/>
      <c r="T942" s="76"/>
    </row>
    <row r="943" spans="2:20" x14ac:dyDescent="0.35">
      <c r="B943" s="35"/>
      <c r="C943" s="74"/>
      <c r="D943" s="75"/>
      <c r="E943" s="75"/>
      <c r="F943" s="75"/>
      <c r="G943" s="76"/>
      <c r="H943" s="63"/>
      <c r="I943" s="63"/>
      <c r="J943" s="76"/>
      <c r="K943" s="76"/>
      <c r="L943" s="37"/>
      <c r="M943" s="37"/>
      <c r="N943" s="76"/>
      <c r="O943" s="76"/>
      <c r="P943" s="37"/>
      <c r="Q943" s="37"/>
      <c r="R943" s="76"/>
      <c r="S943" s="63"/>
      <c r="T943" s="76"/>
    </row>
    <row r="944" spans="2:20" x14ac:dyDescent="0.35">
      <c r="B944" s="35"/>
      <c r="C944" s="74"/>
      <c r="D944" s="75"/>
      <c r="E944" s="75"/>
      <c r="F944" s="75"/>
      <c r="G944" s="76"/>
      <c r="H944" s="63"/>
      <c r="I944" s="63"/>
      <c r="J944" s="76"/>
      <c r="K944" s="76"/>
      <c r="L944" s="37"/>
      <c r="M944" s="37"/>
      <c r="N944" s="76"/>
      <c r="O944" s="76"/>
      <c r="P944" s="37"/>
      <c r="Q944" s="37"/>
      <c r="R944" s="76"/>
      <c r="S944" s="63"/>
      <c r="T944" s="76"/>
    </row>
    <row r="945" spans="2:20" x14ac:dyDescent="0.35">
      <c r="B945" s="35"/>
      <c r="C945" s="74"/>
      <c r="D945" s="75"/>
      <c r="E945" s="75"/>
      <c r="F945" s="75"/>
      <c r="G945" s="76"/>
      <c r="H945" s="63"/>
      <c r="I945" s="63"/>
      <c r="J945" s="76"/>
      <c r="K945" s="76"/>
      <c r="L945" s="37"/>
      <c r="M945" s="37"/>
      <c r="N945" s="76"/>
      <c r="O945" s="76"/>
      <c r="P945" s="37"/>
      <c r="Q945" s="37"/>
      <c r="R945" s="76"/>
      <c r="S945" s="63"/>
      <c r="T945" s="76"/>
    </row>
    <row r="946" spans="2:20" x14ac:dyDescent="0.35">
      <c r="B946" s="35"/>
      <c r="C946" s="74"/>
      <c r="D946" s="75"/>
      <c r="E946" s="75"/>
      <c r="F946" s="75"/>
      <c r="G946" s="76"/>
      <c r="H946" s="63"/>
      <c r="I946" s="63"/>
      <c r="J946" s="76"/>
      <c r="K946" s="76"/>
      <c r="L946" s="37"/>
      <c r="M946" s="37"/>
      <c r="N946" s="76"/>
      <c r="O946" s="76"/>
      <c r="P946" s="37"/>
      <c r="Q946" s="37"/>
      <c r="R946" s="76"/>
      <c r="S946" s="63"/>
      <c r="T946" s="76"/>
    </row>
    <row r="947" spans="2:20" x14ac:dyDescent="0.35">
      <c r="B947" s="35"/>
      <c r="C947" s="74"/>
      <c r="D947" s="75"/>
      <c r="E947" s="75"/>
      <c r="F947" s="75"/>
      <c r="G947" s="76"/>
      <c r="H947" s="63"/>
      <c r="I947" s="63"/>
      <c r="J947" s="76"/>
      <c r="K947" s="76"/>
      <c r="L947" s="37"/>
      <c r="M947" s="37"/>
      <c r="N947" s="76"/>
      <c r="O947" s="76"/>
      <c r="P947" s="37"/>
      <c r="Q947" s="37"/>
      <c r="R947" s="76"/>
      <c r="S947" s="63"/>
      <c r="T947" s="76"/>
    </row>
    <row r="948" spans="2:20" x14ac:dyDescent="0.35">
      <c r="B948" s="35"/>
      <c r="C948" s="74"/>
      <c r="D948" s="75"/>
      <c r="E948" s="75"/>
      <c r="F948" s="75"/>
      <c r="G948" s="76"/>
      <c r="H948" s="63"/>
      <c r="I948" s="63"/>
      <c r="J948" s="76"/>
      <c r="K948" s="76"/>
      <c r="L948" s="37"/>
      <c r="M948" s="37"/>
      <c r="N948" s="76"/>
      <c r="O948" s="76"/>
      <c r="P948" s="37"/>
      <c r="Q948" s="37"/>
      <c r="R948" s="76"/>
      <c r="S948" s="63"/>
      <c r="T948" s="76"/>
    </row>
    <row r="949" spans="2:20" x14ac:dyDescent="0.35">
      <c r="B949" s="35"/>
      <c r="C949" s="74"/>
      <c r="D949" s="75"/>
      <c r="E949" s="75"/>
      <c r="F949" s="75"/>
      <c r="G949" s="76"/>
      <c r="H949" s="63"/>
      <c r="I949" s="63"/>
      <c r="J949" s="76"/>
      <c r="K949" s="76"/>
      <c r="L949" s="37"/>
      <c r="M949" s="37"/>
      <c r="N949" s="76"/>
      <c r="O949" s="76"/>
      <c r="P949" s="37"/>
      <c r="Q949" s="37"/>
      <c r="R949" s="76"/>
      <c r="S949" s="63"/>
      <c r="T949" s="76"/>
    </row>
    <row r="950" spans="2:20" x14ac:dyDescent="0.35">
      <c r="B950" s="35"/>
      <c r="C950" s="74"/>
      <c r="D950" s="75"/>
      <c r="E950" s="75"/>
      <c r="F950" s="75"/>
      <c r="G950" s="76"/>
      <c r="H950" s="63"/>
      <c r="I950" s="63"/>
      <c r="J950" s="76"/>
      <c r="K950" s="76"/>
      <c r="L950" s="37"/>
      <c r="M950" s="37"/>
      <c r="N950" s="76"/>
      <c r="O950" s="76"/>
      <c r="P950" s="37"/>
      <c r="Q950" s="37"/>
      <c r="R950" s="76"/>
      <c r="S950" s="63"/>
      <c r="T950" s="76"/>
    </row>
    <row r="951" spans="2:20" x14ac:dyDescent="0.35">
      <c r="B951" s="35"/>
      <c r="C951" s="74"/>
      <c r="D951" s="75"/>
      <c r="E951" s="75"/>
      <c r="F951" s="75"/>
      <c r="G951" s="76"/>
      <c r="H951" s="63"/>
      <c r="I951" s="63"/>
      <c r="J951" s="76"/>
      <c r="K951" s="76"/>
      <c r="L951" s="37"/>
      <c r="M951" s="37"/>
      <c r="N951" s="76"/>
      <c r="O951" s="76"/>
      <c r="P951" s="37"/>
      <c r="Q951" s="37"/>
      <c r="R951" s="76"/>
      <c r="S951" s="63"/>
      <c r="T951" s="76"/>
    </row>
    <row r="952" spans="2:20" x14ac:dyDescent="0.35">
      <c r="B952" s="35"/>
      <c r="C952" s="74"/>
      <c r="D952" s="75"/>
      <c r="E952" s="75"/>
      <c r="F952" s="75"/>
      <c r="G952" s="76"/>
      <c r="H952" s="63"/>
      <c r="I952" s="63"/>
      <c r="J952" s="76"/>
      <c r="K952" s="76"/>
      <c r="L952" s="37"/>
      <c r="M952" s="37"/>
      <c r="N952" s="76"/>
      <c r="O952" s="76"/>
      <c r="P952" s="37"/>
      <c r="Q952" s="37"/>
      <c r="R952" s="76"/>
      <c r="S952" s="63"/>
      <c r="T952" s="76"/>
    </row>
    <row r="953" spans="2:20" x14ac:dyDescent="0.35">
      <c r="B953" s="35"/>
      <c r="C953" s="74"/>
      <c r="D953" s="75"/>
      <c r="E953" s="75"/>
      <c r="F953" s="75"/>
      <c r="G953" s="76"/>
      <c r="H953" s="63"/>
      <c r="I953" s="63"/>
      <c r="J953" s="76"/>
      <c r="K953" s="76"/>
      <c r="L953" s="37"/>
      <c r="M953" s="37"/>
      <c r="N953" s="76"/>
      <c r="O953" s="76"/>
      <c r="P953" s="37"/>
      <c r="Q953" s="37"/>
      <c r="R953" s="76"/>
      <c r="S953" s="63"/>
      <c r="T953" s="76"/>
    </row>
    <row r="954" spans="2:20" x14ac:dyDescent="0.35">
      <c r="B954" s="35"/>
      <c r="C954" s="74"/>
      <c r="D954" s="75"/>
      <c r="E954" s="75"/>
      <c r="F954" s="75"/>
      <c r="G954" s="76"/>
      <c r="H954" s="63"/>
      <c r="I954" s="63"/>
      <c r="J954" s="76"/>
      <c r="K954" s="76"/>
      <c r="L954" s="37"/>
      <c r="M954" s="37"/>
      <c r="N954" s="76"/>
      <c r="O954" s="76"/>
      <c r="P954" s="37"/>
      <c r="Q954" s="37"/>
      <c r="R954" s="76"/>
      <c r="S954" s="63"/>
      <c r="T954" s="76"/>
    </row>
    <row r="955" spans="2:20" x14ac:dyDescent="0.35">
      <c r="B955" s="35"/>
      <c r="C955" s="74"/>
      <c r="D955" s="75"/>
      <c r="E955" s="75"/>
      <c r="F955" s="75"/>
      <c r="G955" s="76"/>
      <c r="H955" s="63"/>
      <c r="I955" s="63"/>
      <c r="J955" s="76"/>
      <c r="K955" s="76"/>
      <c r="L955" s="37"/>
      <c r="M955" s="37"/>
      <c r="N955" s="76"/>
      <c r="O955" s="76"/>
      <c r="P955" s="37"/>
      <c r="Q955" s="37"/>
      <c r="R955" s="76"/>
      <c r="S955" s="63"/>
      <c r="T955" s="76"/>
    </row>
    <row r="956" spans="2:20" x14ac:dyDescent="0.35">
      <c r="B956" s="35"/>
      <c r="C956" s="74"/>
      <c r="D956" s="75"/>
      <c r="E956" s="75"/>
      <c r="F956" s="75"/>
      <c r="G956" s="76"/>
      <c r="H956" s="63"/>
      <c r="I956" s="63"/>
      <c r="J956" s="76"/>
      <c r="K956" s="76"/>
      <c r="L956" s="37"/>
      <c r="M956" s="37"/>
      <c r="N956" s="76"/>
      <c r="O956" s="76"/>
      <c r="P956" s="37"/>
      <c r="Q956" s="37"/>
      <c r="R956" s="76"/>
      <c r="S956" s="63"/>
      <c r="T956" s="76"/>
    </row>
    <row r="957" spans="2:20" x14ac:dyDescent="0.35">
      <c r="B957" s="35"/>
      <c r="C957" s="74"/>
      <c r="D957" s="75"/>
      <c r="E957" s="75"/>
      <c r="F957" s="75"/>
      <c r="G957" s="76"/>
      <c r="H957" s="63"/>
      <c r="I957" s="63"/>
      <c r="J957" s="76"/>
      <c r="K957" s="76"/>
      <c r="L957" s="37"/>
      <c r="M957" s="37"/>
      <c r="N957" s="76"/>
      <c r="O957" s="76"/>
      <c r="P957" s="37"/>
      <c r="Q957" s="37"/>
      <c r="R957" s="76"/>
      <c r="S957" s="63"/>
      <c r="T957" s="76"/>
    </row>
    <row r="958" spans="2:20" x14ac:dyDescent="0.35">
      <c r="B958" s="35"/>
      <c r="C958" s="74"/>
      <c r="D958" s="75"/>
      <c r="E958" s="75"/>
      <c r="F958" s="75"/>
      <c r="G958" s="76"/>
      <c r="H958" s="63"/>
      <c r="I958" s="63"/>
      <c r="J958" s="76"/>
      <c r="K958" s="76"/>
      <c r="L958" s="37"/>
      <c r="M958" s="37"/>
      <c r="N958" s="76"/>
      <c r="O958" s="76"/>
      <c r="P958" s="37"/>
      <c r="Q958" s="37"/>
      <c r="R958" s="76"/>
      <c r="S958" s="63"/>
      <c r="T958" s="76"/>
    </row>
    <row r="959" spans="2:20" x14ac:dyDescent="0.35">
      <c r="B959" s="35"/>
      <c r="C959" s="74"/>
      <c r="D959" s="75"/>
      <c r="E959" s="75"/>
      <c r="F959" s="75"/>
      <c r="G959" s="76"/>
      <c r="H959" s="63"/>
      <c r="I959" s="63"/>
      <c r="J959" s="76"/>
      <c r="K959" s="76"/>
      <c r="L959" s="37"/>
      <c r="M959" s="37"/>
      <c r="N959" s="76"/>
      <c r="O959" s="76"/>
      <c r="P959" s="37"/>
      <c r="Q959" s="37"/>
      <c r="R959" s="76"/>
      <c r="S959" s="63"/>
      <c r="T959" s="76"/>
    </row>
    <row r="960" spans="2:20" x14ac:dyDescent="0.35">
      <c r="B960" s="35"/>
      <c r="C960" s="74"/>
      <c r="D960" s="75"/>
      <c r="E960" s="75"/>
      <c r="F960" s="75"/>
      <c r="G960" s="76"/>
      <c r="H960" s="63"/>
      <c r="I960" s="63"/>
      <c r="J960" s="76"/>
      <c r="K960" s="76"/>
      <c r="L960" s="37"/>
      <c r="M960" s="37"/>
      <c r="N960" s="76"/>
      <c r="O960" s="76"/>
      <c r="P960" s="37"/>
      <c r="Q960" s="37"/>
      <c r="R960" s="76"/>
      <c r="S960" s="63"/>
      <c r="T960" s="76"/>
    </row>
    <row r="961" spans="2:20" x14ac:dyDescent="0.35">
      <c r="B961" s="35"/>
      <c r="C961" s="74"/>
      <c r="D961" s="75"/>
      <c r="E961" s="75"/>
      <c r="F961" s="75"/>
      <c r="G961" s="76"/>
      <c r="H961" s="63"/>
      <c r="I961" s="63"/>
      <c r="J961" s="76"/>
      <c r="K961" s="76"/>
      <c r="L961" s="37"/>
      <c r="M961" s="37"/>
      <c r="N961" s="76"/>
      <c r="O961" s="76"/>
      <c r="P961" s="37"/>
      <c r="Q961" s="37"/>
      <c r="R961" s="76"/>
      <c r="S961" s="63"/>
      <c r="T961" s="76"/>
    </row>
    <row r="962" spans="2:20" x14ac:dyDescent="0.35">
      <c r="B962" s="35"/>
      <c r="C962" s="74"/>
      <c r="D962" s="75"/>
      <c r="E962" s="75"/>
      <c r="F962" s="75"/>
      <c r="G962" s="76"/>
      <c r="H962" s="63"/>
      <c r="I962" s="63"/>
      <c r="J962" s="76"/>
      <c r="K962" s="76"/>
      <c r="L962" s="37"/>
      <c r="M962" s="37"/>
      <c r="N962" s="76"/>
      <c r="O962" s="76"/>
      <c r="P962" s="37"/>
      <c r="Q962" s="37"/>
      <c r="R962" s="76"/>
      <c r="S962" s="63"/>
      <c r="T962" s="76"/>
    </row>
    <row r="963" spans="2:20" x14ac:dyDescent="0.35">
      <c r="B963" s="35"/>
      <c r="C963" s="74"/>
      <c r="D963" s="75"/>
      <c r="E963" s="75"/>
      <c r="F963" s="75"/>
      <c r="G963" s="76"/>
      <c r="H963" s="63"/>
      <c r="I963" s="63"/>
      <c r="J963" s="76"/>
      <c r="K963" s="76"/>
      <c r="L963" s="37"/>
      <c r="M963" s="37"/>
      <c r="N963" s="76"/>
      <c r="O963" s="76"/>
      <c r="P963" s="37"/>
      <c r="Q963" s="37"/>
      <c r="R963" s="76"/>
      <c r="S963" s="63"/>
      <c r="T963" s="76"/>
    </row>
    <row r="964" spans="2:20" x14ac:dyDescent="0.35">
      <c r="B964" s="35"/>
      <c r="C964" s="74"/>
      <c r="D964" s="75"/>
      <c r="E964" s="75"/>
      <c r="F964" s="75"/>
      <c r="G964" s="76"/>
      <c r="H964" s="63"/>
      <c r="I964" s="63"/>
      <c r="J964" s="76"/>
      <c r="K964" s="76"/>
      <c r="L964" s="37"/>
      <c r="M964" s="37"/>
      <c r="N964" s="76"/>
      <c r="O964" s="76"/>
      <c r="P964" s="37"/>
      <c r="Q964" s="37"/>
      <c r="R964" s="76"/>
      <c r="S964" s="63"/>
      <c r="T964" s="76"/>
    </row>
    <row r="965" spans="2:20" x14ac:dyDescent="0.35">
      <c r="B965" s="35"/>
      <c r="C965" s="74"/>
      <c r="D965" s="75"/>
      <c r="E965" s="75"/>
      <c r="F965" s="75"/>
      <c r="G965" s="76"/>
      <c r="H965" s="63"/>
      <c r="I965" s="63"/>
      <c r="J965" s="76"/>
      <c r="K965" s="76"/>
      <c r="L965" s="37"/>
      <c r="M965" s="37"/>
      <c r="N965" s="76"/>
      <c r="O965" s="76"/>
      <c r="P965" s="37"/>
      <c r="Q965" s="37"/>
      <c r="R965" s="76"/>
      <c r="S965" s="63"/>
      <c r="T965" s="76"/>
    </row>
    <row r="966" spans="2:20" x14ac:dyDescent="0.35">
      <c r="B966" s="35"/>
      <c r="C966" s="74"/>
      <c r="D966" s="75"/>
      <c r="E966" s="75"/>
      <c r="F966" s="75"/>
      <c r="G966" s="76"/>
      <c r="H966" s="63"/>
      <c r="I966" s="63"/>
      <c r="J966" s="76"/>
      <c r="K966" s="76"/>
      <c r="L966" s="37"/>
      <c r="M966" s="37"/>
      <c r="N966" s="76"/>
      <c r="O966" s="76"/>
      <c r="P966" s="37"/>
      <c r="Q966" s="37"/>
      <c r="R966" s="76"/>
      <c r="S966" s="63"/>
      <c r="T966" s="76"/>
    </row>
    <row r="967" spans="2:20" x14ac:dyDescent="0.35">
      <c r="B967" s="35"/>
      <c r="C967" s="74"/>
      <c r="D967" s="75"/>
      <c r="E967" s="75"/>
      <c r="F967" s="75"/>
      <c r="G967" s="76"/>
      <c r="H967" s="63"/>
      <c r="I967" s="63"/>
      <c r="J967" s="76"/>
      <c r="K967" s="76"/>
      <c r="L967" s="37"/>
      <c r="M967" s="37"/>
      <c r="N967" s="76"/>
      <c r="O967" s="76"/>
      <c r="P967" s="37"/>
      <c r="Q967" s="37"/>
      <c r="R967" s="76"/>
      <c r="S967" s="63"/>
      <c r="T967" s="76"/>
    </row>
    <row r="968" spans="2:20" x14ac:dyDescent="0.35">
      <c r="B968" s="35"/>
      <c r="C968" s="74"/>
      <c r="D968" s="75"/>
      <c r="E968" s="75"/>
      <c r="F968" s="75"/>
      <c r="G968" s="76"/>
      <c r="H968" s="63"/>
      <c r="I968" s="63"/>
      <c r="J968" s="76"/>
      <c r="K968" s="76"/>
      <c r="L968" s="37"/>
      <c r="M968" s="37"/>
      <c r="N968" s="76"/>
      <c r="O968" s="76"/>
      <c r="P968" s="37"/>
      <c r="Q968" s="37"/>
      <c r="R968" s="76"/>
      <c r="S968" s="63"/>
      <c r="T968" s="76"/>
    </row>
    <row r="969" spans="2:20" x14ac:dyDescent="0.35">
      <c r="B969" s="35"/>
      <c r="C969" s="74"/>
      <c r="D969" s="75"/>
      <c r="E969" s="75"/>
      <c r="F969" s="75"/>
      <c r="G969" s="76"/>
      <c r="H969" s="63"/>
      <c r="I969" s="63"/>
      <c r="J969" s="76"/>
      <c r="K969" s="76"/>
      <c r="L969" s="37"/>
      <c r="M969" s="37"/>
      <c r="N969" s="76"/>
      <c r="O969" s="76"/>
      <c r="P969" s="37"/>
      <c r="Q969" s="37"/>
      <c r="R969" s="76"/>
      <c r="S969" s="63"/>
      <c r="T969" s="76"/>
    </row>
    <row r="970" spans="2:20" x14ac:dyDescent="0.35">
      <c r="B970" s="35"/>
      <c r="C970" s="74"/>
      <c r="D970" s="75"/>
      <c r="E970" s="75"/>
      <c r="F970" s="75"/>
      <c r="G970" s="76"/>
      <c r="H970" s="63"/>
      <c r="I970" s="63"/>
      <c r="J970" s="76"/>
      <c r="K970" s="76"/>
      <c r="L970" s="37"/>
      <c r="M970" s="37"/>
      <c r="N970" s="76"/>
      <c r="O970" s="76"/>
      <c r="P970" s="37"/>
      <c r="Q970" s="37"/>
      <c r="R970" s="76"/>
      <c r="S970" s="63"/>
      <c r="T970" s="76"/>
    </row>
    <row r="971" spans="2:20" x14ac:dyDescent="0.35">
      <c r="B971" s="35"/>
      <c r="C971" s="74"/>
      <c r="D971" s="75"/>
      <c r="E971" s="75"/>
      <c r="F971" s="75"/>
      <c r="G971" s="76"/>
      <c r="H971" s="63"/>
      <c r="I971" s="63"/>
      <c r="J971" s="76"/>
      <c r="K971" s="76"/>
      <c r="L971" s="37"/>
      <c r="M971" s="37"/>
      <c r="N971" s="76"/>
      <c r="O971" s="76"/>
      <c r="P971" s="37"/>
      <c r="Q971" s="37"/>
      <c r="R971" s="76"/>
      <c r="S971" s="63"/>
      <c r="T971" s="76"/>
    </row>
    <row r="972" spans="2:20" x14ac:dyDescent="0.35">
      <c r="B972" s="35"/>
      <c r="C972" s="74"/>
      <c r="D972" s="75"/>
      <c r="E972" s="75"/>
      <c r="F972" s="75"/>
      <c r="G972" s="76"/>
      <c r="H972" s="63"/>
      <c r="I972" s="63"/>
      <c r="J972" s="76"/>
      <c r="K972" s="76"/>
      <c r="L972" s="37"/>
      <c r="M972" s="37"/>
      <c r="N972" s="76"/>
      <c r="O972" s="76"/>
      <c r="P972" s="37"/>
      <c r="Q972" s="37"/>
      <c r="R972" s="76"/>
      <c r="S972" s="63"/>
      <c r="T972" s="76"/>
    </row>
    <row r="973" spans="2:20" x14ac:dyDescent="0.35">
      <c r="B973" s="35"/>
      <c r="C973" s="74"/>
      <c r="D973" s="75"/>
      <c r="E973" s="75"/>
      <c r="F973" s="75"/>
      <c r="G973" s="76"/>
      <c r="H973" s="63"/>
      <c r="I973" s="63"/>
      <c r="J973" s="76"/>
      <c r="K973" s="76"/>
      <c r="L973" s="37"/>
      <c r="M973" s="37"/>
      <c r="N973" s="76"/>
      <c r="O973" s="76"/>
      <c r="P973" s="37"/>
      <c r="Q973" s="37"/>
      <c r="R973" s="76"/>
      <c r="S973" s="63"/>
      <c r="T973" s="76"/>
    </row>
    <row r="974" spans="2:20" x14ac:dyDescent="0.35">
      <c r="B974" s="35"/>
      <c r="C974" s="74"/>
      <c r="D974" s="75"/>
      <c r="E974" s="75"/>
      <c r="F974" s="75"/>
      <c r="G974" s="76"/>
      <c r="H974" s="63"/>
      <c r="I974" s="63"/>
      <c r="J974" s="76"/>
      <c r="K974" s="76"/>
      <c r="L974" s="37"/>
      <c r="M974" s="37"/>
      <c r="N974" s="76"/>
      <c r="O974" s="76"/>
      <c r="P974" s="37"/>
      <c r="Q974" s="37"/>
      <c r="R974" s="76"/>
      <c r="S974" s="63"/>
      <c r="T974" s="76"/>
    </row>
    <row r="975" spans="2:20" x14ac:dyDescent="0.35">
      <c r="B975" s="35"/>
      <c r="C975" s="74"/>
      <c r="D975" s="75"/>
      <c r="E975" s="75"/>
      <c r="F975" s="75"/>
      <c r="G975" s="76"/>
      <c r="H975" s="63"/>
      <c r="I975" s="63"/>
      <c r="J975" s="76"/>
      <c r="K975" s="76"/>
      <c r="L975" s="37"/>
      <c r="M975" s="37"/>
      <c r="N975" s="76"/>
      <c r="O975" s="76"/>
      <c r="P975" s="37"/>
      <c r="Q975" s="37"/>
      <c r="R975" s="76"/>
      <c r="S975" s="63"/>
      <c r="T975" s="76"/>
    </row>
    <row r="976" spans="2:20" x14ac:dyDescent="0.35">
      <c r="B976" s="35"/>
      <c r="C976" s="74"/>
      <c r="D976" s="75"/>
      <c r="E976" s="75"/>
      <c r="F976" s="75"/>
      <c r="G976" s="76"/>
      <c r="H976" s="63"/>
      <c r="I976" s="63"/>
      <c r="J976" s="76"/>
      <c r="K976" s="76"/>
      <c r="L976" s="37"/>
      <c r="M976" s="37"/>
      <c r="N976" s="76"/>
      <c r="O976" s="76"/>
      <c r="P976" s="37"/>
      <c r="Q976" s="37"/>
      <c r="R976" s="76"/>
      <c r="S976" s="63"/>
      <c r="T976" s="76"/>
    </row>
    <row r="977" spans="2:20" x14ac:dyDescent="0.35">
      <c r="B977" s="35"/>
      <c r="C977" s="74"/>
      <c r="D977" s="75"/>
      <c r="E977" s="75"/>
      <c r="F977" s="75"/>
      <c r="G977" s="76"/>
      <c r="H977" s="63"/>
      <c r="I977" s="63"/>
      <c r="J977" s="76"/>
      <c r="K977" s="76"/>
      <c r="L977" s="37"/>
      <c r="M977" s="37"/>
      <c r="N977" s="76"/>
      <c r="O977" s="76"/>
      <c r="P977" s="37"/>
      <c r="Q977" s="37"/>
      <c r="R977" s="76"/>
      <c r="S977" s="63"/>
      <c r="T977" s="76"/>
    </row>
    <row r="978" spans="2:20" x14ac:dyDescent="0.35">
      <c r="B978" s="35"/>
      <c r="C978" s="74"/>
      <c r="D978" s="75"/>
      <c r="E978" s="75"/>
      <c r="F978" s="75"/>
      <c r="G978" s="76"/>
      <c r="H978" s="63"/>
      <c r="I978" s="63"/>
      <c r="J978" s="76"/>
      <c r="K978" s="76"/>
      <c r="L978" s="37"/>
      <c r="M978" s="37"/>
      <c r="N978" s="76"/>
      <c r="O978" s="76"/>
      <c r="P978" s="37"/>
      <c r="Q978" s="37"/>
      <c r="R978" s="76"/>
      <c r="S978" s="63"/>
      <c r="T978" s="76"/>
    </row>
    <row r="979" spans="2:20" x14ac:dyDescent="0.35">
      <c r="B979" s="35"/>
      <c r="C979" s="74"/>
      <c r="D979" s="75"/>
      <c r="E979" s="75"/>
      <c r="F979" s="75"/>
      <c r="G979" s="76"/>
      <c r="H979" s="63"/>
      <c r="I979" s="63"/>
      <c r="J979" s="76"/>
      <c r="K979" s="76"/>
      <c r="L979" s="37"/>
      <c r="M979" s="37"/>
      <c r="N979" s="76"/>
      <c r="O979" s="76"/>
      <c r="P979" s="37"/>
      <c r="Q979" s="37"/>
      <c r="R979" s="76"/>
      <c r="S979" s="63"/>
      <c r="T979" s="76"/>
    </row>
    <row r="980" spans="2:20" x14ac:dyDescent="0.35">
      <c r="B980" s="35"/>
      <c r="C980" s="74"/>
      <c r="D980" s="75"/>
      <c r="E980" s="75"/>
      <c r="F980" s="75"/>
      <c r="G980" s="76"/>
      <c r="H980" s="63"/>
      <c r="I980" s="63"/>
      <c r="J980" s="76"/>
      <c r="K980" s="76"/>
      <c r="L980" s="37"/>
      <c r="M980" s="37"/>
      <c r="N980" s="76"/>
      <c r="O980" s="76"/>
      <c r="P980" s="37"/>
      <c r="Q980" s="37"/>
      <c r="R980" s="76"/>
      <c r="S980" s="63"/>
      <c r="T980" s="76"/>
    </row>
    <row r="981" spans="2:20" x14ac:dyDescent="0.35">
      <c r="B981" s="35"/>
      <c r="C981" s="74"/>
      <c r="D981" s="75"/>
      <c r="E981" s="75"/>
      <c r="F981" s="75"/>
      <c r="G981" s="76"/>
      <c r="H981" s="63"/>
      <c r="I981" s="63"/>
      <c r="J981" s="76"/>
      <c r="K981" s="76"/>
      <c r="L981" s="37"/>
      <c r="M981" s="37"/>
      <c r="N981" s="76"/>
      <c r="O981" s="76"/>
      <c r="P981" s="37"/>
      <c r="Q981" s="37"/>
      <c r="R981" s="76"/>
      <c r="S981" s="63"/>
      <c r="T981" s="76"/>
    </row>
    <row r="982" spans="2:20" x14ac:dyDescent="0.35">
      <c r="B982" s="35"/>
      <c r="C982" s="74"/>
      <c r="D982" s="75"/>
      <c r="E982" s="75"/>
      <c r="F982" s="75"/>
      <c r="G982" s="76"/>
      <c r="H982" s="63"/>
      <c r="I982" s="63"/>
      <c r="J982" s="76"/>
      <c r="K982" s="76"/>
      <c r="L982" s="37"/>
      <c r="M982" s="37"/>
      <c r="N982" s="76"/>
      <c r="O982" s="76"/>
      <c r="P982" s="37"/>
      <c r="Q982" s="37"/>
      <c r="R982" s="76"/>
      <c r="S982" s="63"/>
      <c r="T982" s="76"/>
    </row>
    <row r="983" spans="2:20" x14ac:dyDescent="0.35">
      <c r="B983" s="35"/>
      <c r="C983" s="74"/>
      <c r="D983" s="75"/>
      <c r="E983" s="75"/>
      <c r="F983" s="75"/>
      <c r="G983" s="76"/>
      <c r="H983" s="63"/>
      <c r="I983" s="63"/>
      <c r="J983" s="76"/>
      <c r="K983" s="76"/>
      <c r="L983" s="37"/>
      <c r="M983" s="37"/>
      <c r="N983" s="76"/>
      <c r="O983" s="76"/>
      <c r="P983" s="37"/>
      <c r="Q983" s="37"/>
      <c r="R983" s="76"/>
      <c r="S983" s="63"/>
      <c r="T983" s="76"/>
    </row>
    <row r="984" spans="2:20" x14ac:dyDescent="0.35">
      <c r="B984" s="35"/>
      <c r="C984" s="74"/>
      <c r="D984" s="75"/>
      <c r="E984" s="75"/>
      <c r="F984" s="75"/>
      <c r="G984" s="76"/>
      <c r="H984" s="63"/>
      <c r="I984" s="63"/>
      <c r="J984" s="76"/>
      <c r="K984" s="76"/>
      <c r="L984" s="37"/>
      <c r="M984" s="37"/>
      <c r="N984" s="76"/>
      <c r="O984" s="76"/>
      <c r="P984" s="37"/>
      <c r="Q984" s="37"/>
      <c r="R984" s="76"/>
      <c r="S984" s="63"/>
      <c r="T984" s="76"/>
    </row>
    <row r="985" spans="2:20" x14ac:dyDescent="0.35">
      <c r="B985" s="35"/>
      <c r="C985" s="74"/>
      <c r="D985" s="75"/>
      <c r="E985" s="75"/>
      <c r="F985" s="75"/>
      <c r="G985" s="76"/>
      <c r="H985" s="63"/>
      <c r="I985" s="63"/>
      <c r="J985" s="76"/>
      <c r="K985" s="76"/>
      <c r="L985" s="37"/>
      <c r="M985" s="37"/>
      <c r="N985" s="76"/>
      <c r="O985" s="76"/>
      <c r="P985" s="37"/>
      <c r="Q985" s="37"/>
      <c r="R985" s="76"/>
      <c r="S985" s="63"/>
      <c r="T985" s="76"/>
    </row>
    <row r="986" spans="2:20" x14ac:dyDescent="0.35">
      <c r="B986" s="35"/>
      <c r="C986" s="74"/>
      <c r="D986" s="75"/>
      <c r="E986" s="75"/>
      <c r="F986" s="75"/>
      <c r="G986" s="76"/>
      <c r="H986" s="63"/>
      <c r="I986" s="63"/>
      <c r="J986" s="76"/>
      <c r="K986" s="76"/>
      <c r="L986" s="37"/>
      <c r="M986" s="37"/>
      <c r="N986" s="76"/>
      <c r="O986" s="76"/>
      <c r="P986" s="37"/>
      <c r="Q986" s="37"/>
      <c r="R986" s="76"/>
      <c r="S986" s="63"/>
      <c r="T986" s="76"/>
    </row>
    <row r="987" spans="2:20" x14ac:dyDescent="0.35">
      <c r="B987" s="35"/>
      <c r="C987" s="74"/>
      <c r="D987" s="75"/>
      <c r="E987" s="75"/>
      <c r="F987" s="75"/>
      <c r="G987" s="76"/>
      <c r="H987" s="63"/>
      <c r="I987" s="63"/>
      <c r="J987" s="76"/>
      <c r="K987" s="76"/>
      <c r="L987" s="37"/>
      <c r="M987" s="37"/>
      <c r="N987" s="76"/>
      <c r="O987" s="76"/>
      <c r="P987" s="37"/>
      <c r="Q987" s="37"/>
      <c r="R987" s="76"/>
      <c r="S987" s="63"/>
      <c r="T987" s="76"/>
    </row>
    <row r="988" spans="2:20" x14ac:dyDescent="0.35">
      <c r="B988" s="35"/>
      <c r="C988" s="74"/>
      <c r="D988" s="75"/>
      <c r="E988" s="75"/>
      <c r="F988" s="75"/>
      <c r="G988" s="76"/>
      <c r="H988" s="63"/>
      <c r="I988" s="63"/>
      <c r="J988" s="76"/>
      <c r="K988" s="76"/>
      <c r="L988" s="37"/>
      <c r="M988" s="37"/>
      <c r="N988" s="76"/>
      <c r="O988" s="76"/>
      <c r="P988" s="37"/>
      <c r="Q988" s="37"/>
      <c r="R988" s="76"/>
      <c r="S988" s="63"/>
      <c r="T988" s="76"/>
    </row>
    <row r="989" spans="2:20" x14ac:dyDescent="0.35">
      <c r="B989" s="35"/>
      <c r="C989" s="74"/>
      <c r="D989" s="75"/>
      <c r="E989" s="75"/>
      <c r="F989" s="75"/>
      <c r="G989" s="76"/>
      <c r="H989" s="63"/>
      <c r="I989" s="63"/>
      <c r="J989" s="76"/>
      <c r="K989" s="76"/>
      <c r="L989" s="37"/>
      <c r="M989" s="37"/>
      <c r="N989" s="76"/>
      <c r="O989" s="76"/>
      <c r="P989" s="37"/>
      <c r="Q989" s="37"/>
      <c r="R989" s="76"/>
      <c r="S989" s="63"/>
      <c r="T989" s="76"/>
    </row>
    <row r="990" spans="2:20" x14ac:dyDescent="0.35">
      <c r="B990" s="35"/>
      <c r="C990" s="74"/>
      <c r="D990" s="75"/>
      <c r="E990" s="75"/>
      <c r="F990" s="75"/>
      <c r="G990" s="76"/>
      <c r="H990" s="63"/>
      <c r="I990" s="63"/>
      <c r="J990" s="76"/>
      <c r="K990" s="76"/>
      <c r="L990" s="37"/>
      <c r="M990" s="37"/>
      <c r="N990" s="76"/>
      <c r="O990" s="76"/>
      <c r="P990" s="37"/>
      <c r="Q990" s="37"/>
      <c r="R990" s="76"/>
      <c r="S990" s="63"/>
      <c r="T990" s="76"/>
    </row>
    <row r="991" spans="2:20" x14ac:dyDescent="0.35">
      <c r="B991" s="35"/>
      <c r="C991" s="74"/>
      <c r="D991" s="75"/>
      <c r="E991" s="75"/>
      <c r="F991" s="75"/>
      <c r="G991" s="76"/>
      <c r="H991" s="63"/>
      <c r="I991" s="63"/>
      <c r="J991" s="76"/>
      <c r="K991" s="76"/>
      <c r="L991" s="37"/>
      <c r="M991" s="37"/>
      <c r="N991" s="76"/>
      <c r="O991" s="76"/>
      <c r="P991" s="37"/>
      <c r="Q991" s="37"/>
      <c r="R991" s="76"/>
      <c r="S991" s="63"/>
      <c r="T991" s="76"/>
    </row>
    <row r="992" spans="2:20" x14ac:dyDescent="0.35">
      <c r="B992" s="35"/>
      <c r="C992" s="74"/>
      <c r="D992" s="75"/>
      <c r="E992" s="75"/>
      <c r="F992" s="75"/>
      <c r="G992" s="76"/>
      <c r="H992" s="63"/>
      <c r="I992" s="63"/>
      <c r="J992" s="76"/>
      <c r="K992" s="76"/>
      <c r="L992" s="37"/>
      <c r="M992" s="37"/>
      <c r="N992" s="76"/>
      <c r="O992" s="76"/>
      <c r="P992" s="37"/>
      <c r="Q992" s="37"/>
      <c r="R992" s="76"/>
      <c r="S992" s="63"/>
      <c r="T992" s="76"/>
    </row>
    <row r="993" spans="2:20" x14ac:dyDescent="0.35">
      <c r="B993" s="35"/>
      <c r="C993" s="74"/>
      <c r="D993" s="75"/>
      <c r="E993" s="75"/>
      <c r="F993" s="75"/>
      <c r="G993" s="76"/>
      <c r="H993" s="63"/>
      <c r="I993" s="63"/>
      <c r="J993" s="76"/>
      <c r="K993" s="76"/>
      <c r="L993" s="37"/>
      <c r="M993" s="37"/>
      <c r="N993" s="76"/>
      <c r="O993" s="76"/>
      <c r="P993" s="37"/>
      <c r="Q993" s="37"/>
      <c r="R993" s="76"/>
      <c r="S993" s="63"/>
      <c r="T993" s="76"/>
    </row>
    <row r="994" spans="2:20" x14ac:dyDescent="0.35">
      <c r="B994" s="35"/>
      <c r="C994" s="74"/>
      <c r="D994" s="75"/>
      <c r="E994" s="75"/>
      <c r="F994" s="75"/>
      <c r="G994" s="76"/>
      <c r="H994" s="63"/>
      <c r="I994" s="63"/>
      <c r="J994" s="76"/>
      <c r="K994" s="76"/>
      <c r="L994" s="37"/>
      <c r="M994" s="37"/>
      <c r="N994" s="76"/>
      <c r="O994" s="76"/>
      <c r="P994" s="37"/>
      <c r="Q994" s="37"/>
      <c r="R994" s="76"/>
      <c r="S994" s="63"/>
      <c r="T994" s="76"/>
    </row>
    <row r="995" spans="2:20" x14ac:dyDescent="0.35">
      <c r="B995" s="35"/>
      <c r="C995" s="74"/>
      <c r="D995" s="75"/>
      <c r="E995" s="75"/>
      <c r="F995" s="75"/>
      <c r="G995" s="76"/>
      <c r="H995" s="63"/>
      <c r="I995" s="63"/>
      <c r="J995" s="76"/>
      <c r="K995" s="76"/>
      <c r="L995" s="37"/>
      <c r="M995" s="37"/>
      <c r="N995" s="76"/>
      <c r="O995" s="76"/>
      <c r="P995" s="37"/>
      <c r="Q995" s="37"/>
      <c r="R995" s="76"/>
      <c r="S995" s="63"/>
      <c r="T995" s="76"/>
    </row>
    <row r="996" spans="2:20" x14ac:dyDescent="0.35">
      <c r="B996" s="35"/>
      <c r="C996" s="74"/>
      <c r="D996" s="75"/>
      <c r="E996" s="75"/>
      <c r="F996" s="75"/>
      <c r="G996" s="76"/>
      <c r="H996" s="63"/>
      <c r="I996" s="63"/>
      <c r="J996" s="76"/>
      <c r="K996" s="76"/>
      <c r="L996" s="37"/>
      <c r="M996" s="37"/>
      <c r="N996" s="76"/>
      <c r="O996" s="76"/>
      <c r="P996" s="37"/>
      <c r="Q996" s="37"/>
      <c r="R996" s="76"/>
      <c r="S996" s="63"/>
      <c r="T996" s="76"/>
    </row>
    <row r="997" spans="2:20" x14ac:dyDescent="0.35">
      <c r="B997" s="35"/>
      <c r="C997" s="74"/>
      <c r="D997" s="75"/>
      <c r="E997" s="75"/>
      <c r="F997" s="75"/>
      <c r="G997" s="76"/>
      <c r="H997" s="63"/>
      <c r="I997" s="63"/>
      <c r="J997" s="76"/>
      <c r="K997" s="76"/>
      <c r="L997" s="37"/>
      <c r="M997" s="37"/>
      <c r="N997" s="76"/>
      <c r="O997" s="76"/>
      <c r="P997" s="37"/>
      <c r="Q997" s="37"/>
      <c r="R997" s="76"/>
      <c r="S997" s="63"/>
      <c r="T997" s="76"/>
    </row>
    <row r="998" spans="2:20" x14ac:dyDescent="0.35">
      <c r="B998" s="35"/>
      <c r="C998" s="74"/>
      <c r="D998" s="75"/>
      <c r="E998" s="75"/>
      <c r="F998" s="75"/>
      <c r="G998" s="76"/>
      <c r="H998" s="63"/>
      <c r="I998" s="63"/>
      <c r="J998" s="76"/>
      <c r="K998" s="76"/>
      <c r="L998" s="37"/>
      <c r="M998" s="37"/>
      <c r="N998" s="76"/>
      <c r="O998" s="76"/>
      <c r="P998" s="37"/>
      <c r="Q998" s="37"/>
      <c r="R998" s="76"/>
      <c r="S998" s="63"/>
      <c r="T998" s="76"/>
    </row>
    <row r="999" spans="2:20" x14ac:dyDescent="0.35">
      <c r="B999" s="35"/>
      <c r="C999" s="74"/>
      <c r="D999" s="75"/>
      <c r="E999" s="75"/>
      <c r="F999" s="75"/>
      <c r="G999" s="76"/>
      <c r="H999" s="63"/>
      <c r="I999" s="63"/>
      <c r="J999" s="76"/>
      <c r="K999" s="76"/>
      <c r="L999" s="37"/>
      <c r="M999" s="37"/>
      <c r="N999" s="76"/>
      <c r="O999" s="76"/>
      <c r="P999" s="37"/>
      <c r="Q999" s="37"/>
      <c r="R999" s="76"/>
      <c r="S999" s="63"/>
      <c r="T999" s="76"/>
    </row>
    <row r="1000" spans="2:20" x14ac:dyDescent="0.35">
      <c r="B1000" s="35"/>
      <c r="C1000" s="74"/>
      <c r="D1000" s="75"/>
      <c r="E1000" s="75"/>
      <c r="F1000" s="75"/>
      <c r="G1000" s="76"/>
      <c r="H1000" s="63"/>
      <c r="I1000" s="63"/>
      <c r="J1000" s="76"/>
      <c r="K1000" s="76"/>
      <c r="L1000" s="37"/>
      <c r="M1000" s="37"/>
      <c r="N1000" s="76"/>
      <c r="O1000" s="76"/>
      <c r="P1000" s="37"/>
      <c r="Q1000" s="37"/>
      <c r="R1000" s="76"/>
      <c r="S1000" s="63"/>
      <c r="T1000" s="76"/>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0" t="s">
        <v>1998</v>
      </c>
      <c r="B1" s="101" t="s">
        <v>1</v>
      </c>
      <c r="C1" s="101" t="s">
        <v>1999</v>
      </c>
      <c r="D1" s="101" t="s">
        <v>9</v>
      </c>
      <c r="E1" s="101" t="s">
        <v>2000</v>
      </c>
      <c r="F1" s="101" t="s">
        <v>2001</v>
      </c>
      <c r="G1" s="101" t="s">
        <v>2002</v>
      </c>
      <c r="H1" s="101" t="s">
        <v>2003</v>
      </c>
      <c r="I1" s="101" t="s">
        <v>2004</v>
      </c>
      <c r="J1" s="101" t="s">
        <v>2005</v>
      </c>
      <c r="K1" s="101" t="s">
        <v>2006</v>
      </c>
      <c r="L1" s="101" t="s">
        <v>2007</v>
      </c>
      <c r="M1" s="101" t="s">
        <v>2008</v>
      </c>
      <c r="N1" s="101" t="s">
        <v>2009</v>
      </c>
      <c r="O1" s="101" t="s">
        <v>2010</v>
      </c>
      <c r="P1" s="101" t="s">
        <v>2011</v>
      </c>
      <c r="Q1" s="101" t="s">
        <v>2012</v>
      </c>
      <c r="R1" s="101" t="s">
        <v>2013</v>
      </c>
      <c r="S1" s="101" t="s">
        <v>2014</v>
      </c>
      <c r="T1" s="101" t="s">
        <v>2015</v>
      </c>
      <c r="U1" s="101" t="s">
        <v>2016</v>
      </c>
      <c r="V1" s="101" t="s">
        <v>2017</v>
      </c>
      <c r="W1" s="101" t="s">
        <v>2018</v>
      </c>
      <c r="X1" s="101" t="s">
        <v>2019</v>
      </c>
      <c r="Y1" s="101" t="s">
        <v>2020</v>
      </c>
      <c r="Z1" s="101" t="s">
        <v>2021</v>
      </c>
      <c r="AA1" s="101" t="s">
        <v>2022</v>
      </c>
      <c r="AB1" s="101" t="s">
        <v>2023</v>
      </c>
      <c r="AC1" s="101" t="s">
        <v>2024</v>
      </c>
      <c r="AD1" s="101" t="s">
        <v>2025</v>
      </c>
      <c r="AE1" s="101" t="s">
        <v>2026</v>
      </c>
      <c r="AF1" s="101" t="s">
        <v>2027</v>
      </c>
      <c r="AG1" s="101" t="s">
        <v>2028</v>
      </c>
      <c r="AH1" s="101" t="s">
        <v>2029</v>
      </c>
      <c r="AI1" s="101" t="s">
        <v>2030</v>
      </c>
      <c r="AJ1" s="101" t="s">
        <v>2031</v>
      </c>
      <c r="AK1" s="101" t="s">
        <v>2032</v>
      </c>
      <c r="AL1" s="101" t="s">
        <v>2033</v>
      </c>
      <c r="AM1" s="101" t="s">
        <v>2034</v>
      </c>
      <c r="AN1" s="101" t="s">
        <v>2035</v>
      </c>
      <c r="AO1" s="101" t="s">
        <v>2036</v>
      </c>
      <c r="AP1" s="101" t="s">
        <v>2037</v>
      </c>
      <c r="AQ1" s="101" t="s">
        <v>2038</v>
      </c>
      <c r="AR1" s="101" t="s">
        <v>2039</v>
      </c>
      <c r="AS1" s="101" t="s">
        <v>2040</v>
      </c>
      <c r="AT1" s="101" t="s">
        <v>2041</v>
      </c>
      <c r="AU1" s="101" t="s">
        <v>2042</v>
      </c>
      <c r="AV1" s="101" t="s">
        <v>2043</v>
      </c>
      <c r="AW1" s="102" t="s">
        <v>2044</v>
      </c>
    </row>
    <row r="2" spans="1:49" ht="60" customHeight="1" outlineLevel="1" x14ac:dyDescent="0.35">
      <c r="A2" s="94" t="s">
        <v>2045</v>
      </c>
      <c r="B2" s="77">
        <v>1</v>
      </c>
      <c r="C2" s="79" t="s">
        <v>20</v>
      </c>
      <c r="D2" s="81" t="s">
        <v>2046</v>
      </c>
      <c r="E2" s="81" t="s">
        <v>20</v>
      </c>
      <c r="F2" s="77" t="s">
        <v>20</v>
      </c>
      <c r="G2" s="77" t="s">
        <v>20</v>
      </c>
      <c r="H2" s="77"/>
      <c r="I2" s="84" t="str">
        <f>IF(COUNTIF(J2:AW2,"&lt;&gt;")=0,"",SUMPRODUCT(((Recommendations[ImplStatus]="Implemented")+(Recommendations[ImplStatus]="Compensated"))*ISNUMBER(MATCH(Recommendations[Id],J2:AW2,0)))/COUNTIF(J2:AW2,"&lt;&gt;"))</f>
        <v/>
      </c>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97"/>
    </row>
    <row r="3" spans="1:49" ht="60" customHeight="1" x14ac:dyDescent="0.35">
      <c r="A3" s="95" t="s">
        <v>2045</v>
      </c>
      <c r="B3" s="78" t="s">
        <v>2047</v>
      </c>
      <c r="C3" s="80" t="s">
        <v>2048</v>
      </c>
      <c r="D3" s="82" t="s">
        <v>2049</v>
      </c>
      <c r="E3" s="82" t="s">
        <v>2050</v>
      </c>
      <c r="F3" s="83" t="s">
        <v>2051</v>
      </c>
      <c r="G3" s="83" t="s">
        <v>2052</v>
      </c>
      <c r="H3" s="83">
        <v>1</v>
      </c>
      <c r="I3" s="85" t="str">
        <f>IF(COUNTIF(J3:AW3,"&lt;&gt;")=0,"",SUMPRODUCT(((Recommendations[ImplStatus]="Implemented")+(Recommendations[ImplStatus]="Compensated"))*ISNUMBER(MATCH(Recommendations[Id],J3:AW3,0)))/COUNTIF(J3:AW3,"&lt;&gt;"))</f>
        <v/>
      </c>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98"/>
    </row>
    <row r="4" spans="1:49" ht="60" customHeight="1" x14ac:dyDescent="0.35">
      <c r="A4" s="95" t="s">
        <v>2045</v>
      </c>
      <c r="B4" s="78" t="s">
        <v>2053</v>
      </c>
      <c r="C4" s="80" t="s">
        <v>2054</v>
      </c>
      <c r="D4" s="82" t="s">
        <v>2055</v>
      </c>
      <c r="E4" s="82" t="s">
        <v>2056</v>
      </c>
      <c r="F4" s="83" t="s">
        <v>2051</v>
      </c>
      <c r="G4" s="83" t="s">
        <v>2057</v>
      </c>
      <c r="H4" s="83">
        <v>1</v>
      </c>
      <c r="I4" s="85" t="str">
        <f>IF(COUNTIF(J4:AW4,"&lt;&gt;")=0,"",SUMPRODUCT(((Recommendations[ImplStatus]="Implemented")+(Recommendations[ImplStatus]="Compensated"))*ISNUMBER(MATCH(Recommendations[Id],J4:AW4,0)))/COUNTIF(J4:AW4,"&lt;&gt;"))</f>
        <v/>
      </c>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98"/>
    </row>
    <row r="5" spans="1:49" ht="60" customHeight="1" x14ac:dyDescent="0.35">
      <c r="A5" s="95" t="s">
        <v>2045</v>
      </c>
      <c r="B5" s="78" t="s">
        <v>2058</v>
      </c>
      <c r="C5" s="80" t="s">
        <v>2059</v>
      </c>
      <c r="D5" s="82" t="s">
        <v>2060</v>
      </c>
      <c r="E5" s="82" t="s">
        <v>2061</v>
      </c>
      <c r="F5" s="83" t="s">
        <v>2051</v>
      </c>
      <c r="G5" s="83" t="s">
        <v>2062</v>
      </c>
      <c r="H5" s="83">
        <v>2</v>
      </c>
      <c r="I5" s="85" t="str">
        <f>IF(COUNTIF(J5:AW5,"&lt;&gt;")=0,"",SUMPRODUCT(((Recommendations[ImplStatus]="Implemented")+(Recommendations[ImplStatus]="Compensated"))*ISNUMBER(MATCH(Recommendations[Id],J5:AW5,0)))/COUNTIF(J5:AW5,"&lt;&gt;"))</f>
        <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98"/>
    </row>
    <row r="6" spans="1:49" ht="60" customHeight="1" x14ac:dyDescent="0.35">
      <c r="A6" s="95" t="s">
        <v>2045</v>
      </c>
      <c r="B6" s="78" t="s">
        <v>2063</v>
      </c>
      <c r="C6" s="80" t="s">
        <v>2064</v>
      </c>
      <c r="D6" s="82" t="s">
        <v>2065</v>
      </c>
      <c r="E6" s="82" t="s">
        <v>2066</v>
      </c>
      <c r="F6" s="83" t="s">
        <v>2051</v>
      </c>
      <c r="G6" s="83" t="s">
        <v>2052</v>
      </c>
      <c r="H6" s="83">
        <v>2</v>
      </c>
      <c r="I6" s="85" t="str">
        <f>IF(COUNTIF(J6:AW6,"&lt;&gt;")=0,"",SUMPRODUCT(((Recommendations[ImplStatus]="Implemented")+(Recommendations[ImplStatus]="Compensated"))*ISNUMBER(MATCH(Recommendations[Id],J6:AW6,0)))/COUNTIF(J6:AW6,"&lt;&gt;"))</f>
        <v/>
      </c>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98"/>
    </row>
    <row r="7" spans="1:49" ht="60" customHeight="1" x14ac:dyDescent="0.35">
      <c r="A7" s="95" t="s">
        <v>2045</v>
      </c>
      <c r="B7" s="78" t="s">
        <v>2067</v>
      </c>
      <c r="C7" s="80" t="s">
        <v>2068</v>
      </c>
      <c r="D7" s="82" t="s">
        <v>2069</v>
      </c>
      <c r="E7" s="82" t="s">
        <v>2070</v>
      </c>
      <c r="F7" s="83" t="s">
        <v>2051</v>
      </c>
      <c r="G7" s="83" t="s">
        <v>2062</v>
      </c>
      <c r="H7" s="83">
        <v>3</v>
      </c>
      <c r="I7" s="85" t="str">
        <f>IF(COUNTIF(J7:AW7,"&lt;&gt;")=0,"",SUMPRODUCT(((Recommendations[ImplStatus]="Implemented")+(Recommendations[ImplStatus]="Compensated"))*ISNUMBER(MATCH(Recommendations[Id],J7:AW7,0)))/COUNTIF(J7:AW7,"&lt;&gt;"))</f>
        <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98"/>
    </row>
    <row r="8" spans="1:49" ht="60" customHeight="1" outlineLevel="1" x14ac:dyDescent="0.35">
      <c r="A8" s="94" t="s">
        <v>2071</v>
      </c>
      <c r="B8" s="77">
        <v>2</v>
      </c>
      <c r="C8" s="79" t="s">
        <v>20</v>
      </c>
      <c r="D8" s="81" t="s">
        <v>2072</v>
      </c>
      <c r="E8" s="81" t="s">
        <v>20</v>
      </c>
      <c r="F8" s="77" t="s">
        <v>20</v>
      </c>
      <c r="G8" s="77" t="s">
        <v>20</v>
      </c>
      <c r="H8" s="77"/>
      <c r="I8" s="84" t="str">
        <f>IF(COUNTIF(J8:AW8,"&lt;&gt;")=0,"",SUMPRODUCT(((Recommendations[ImplStatus]="Implemented")+(Recommendations[ImplStatus]="Compensated"))*ISNUMBER(MATCH(Recommendations[Id],J8:AW8,0)))/COUNTIF(J8:AW8,"&lt;&gt;"))</f>
        <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97"/>
    </row>
    <row r="9" spans="1:49" ht="60" customHeight="1" x14ac:dyDescent="0.35">
      <c r="A9" s="95" t="s">
        <v>2071</v>
      </c>
      <c r="B9" s="78" t="s">
        <v>2073</v>
      </c>
      <c r="C9" s="80" t="s">
        <v>2074</v>
      </c>
      <c r="D9" s="82" t="s">
        <v>2075</v>
      </c>
      <c r="E9" s="82" t="s">
        <v>2076</v>
      </c>
      <c r="F9" s="83" t="s">
        <v>2077</v>
      </c>
      <c r="G9" s="83" t="s">
        <v>2052</v>
      </c>
      <c r="H9" s="83">
        <v>1</v>
      </c>
      <c r="I9" s="85" t="str">
        <f>IF(COUNTIF(J9:AW9,"&lt;&gt;")=0,"",SUMPRODUCT(((Recommendations[ImplStatus]="Implemented")+(Recommendations[ImplStatus]="Compensated"))*ISNUMBER(MATCH(Recommendations[Id],J9:AW9,0)))/COUNTIF(J9:AW9,"&lt;&gt;"))</f>
        <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98"/>
    </row>
    <row r="10" spans="1:49" ht="60" customHeight="1" x14ac:dyDescent="0.35">
      <c r="A10" s="95" t="s">
        <v>2071</v>
      </c>
      <c r="B10" s="78" t="s">
        <v>2078</v>
      </c>
      <c r="C10" s="80" t="s">
        <v>2079</v>
      </c>
      <c r="D10" s="82" t="s">
        <v>2080</v>
      </c>
      <c r="E10" s="82" t="s">
        <v>2081</v>
      </c>
      <c r="F10" s="83" t="s">
        <v>2077</v>
      </c>
      <c r="G10" s="83" t="s">
        <v>2052</v>
      </c>
      <c r="H10" s="83">
        <v>1</v>
      </c>
      <c r="I10" s="85" t="str">
        <f>IF(COUNTIF(J10:AW10,"&lt;&gt;")=0,"",SUMPRODUCT(((Recommendations[ImplStatus]="Implemented")+(Recommendations[ImplStatus]="Compensated"))*ISNUMBER(MATCH(Recommendations[Id],J10:AW10,0)))/COUNTIF(J10:AW10,"&lt;&gt;"))</f>
        <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98"/>
    </row>
    <row r="11" spans="1:49" ht="60" customHeight="1" x14ac:dyDescent="0.35">
      <c r="A11" s="95" t="s">
        <v>2071</v>
      </c>
      <c r="B11" s="78" t="s">
        <v>2082</v>
      </c>
      <c r="C11" s="80" t="s">
        <v>2083</v>
      </c>
      <c r="D11" s="82" t="s">
        <v>2084</v>
      </c>
      <c r="E11" s="82" t="s">
        <v>2085</v>
      </c>
      <c r="F11" s="83" t="s">
        <v>2077</v>
      </c>
      <c r="G11" s="83" t="s">
        <v>2057</v>
      </c>
      <c r="H11" s="83">
        <v>1</v>
      </c>
      <c r="I11" s="85" t="str">
        <f>IF(COUNTIF(J11:AW11,"&lt;&gt;")=0,"",SUMPRODUCT(((Recommendations[ImplStatus]="Implemented")+(Recommendations[ImplStatus]="Compensated"))*ISNUMBER(MATCH(Recommendations[Id],J11:AW11,0)))/COUNTIF(J11:AW11,"&lt;&gt;"))</f>
        <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98"/>
    </row>
    <row r="12" spans="1:49" ht="60" customHeight="1" x14ac:dyDescent="0.35">
      <c r="A12" s="95" t="s">
        <v>2071</v>
      </c>
      <c r="B12" s="78" t="s">
        <v>2086</v>
      </c>
      <c r="C12" s="80" t="s">
        <v>2087</v>
      </c>
      <c r="D12" s="82" t="s">
        <v>2088</v>
      </c>
      <c r="E12" s="82" t="s">
        <v>2089</v>
      </c>
      <c r="F12" s="83" t="s">
        <v>2077</v>
      </c>
      <c r="G12" s="83" t="s">
        <v>2062</v>
      </c>
      <c r="H12" s="83">
        <v>2</v>
      </c>
      <c r="I12" s="85" t="str">
        <f>IF(COUNTIF(J12:AW12,"&lt;&gt;")=0,"",SUMPRODUCT(((Recommendations[ImplStatus]="Implemented")+(Recommendations[ImplStatus]="Compensated"))*ISNUMBER(MATCH(Recommendations[Id],J12:AW12,0)))/COUNTIF(J12:AW12,"&lt;&gt;"))</f>
        <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98"/>
    </row>
    <row r="13" spans="1:49" ht="60" customHeight="1" x14ac:dyDescent="0.35">
      <c r="A13" s="95" t="s">
        <v>2071</v>
      </c>
      <c r="B13" s="78" t="s">
        <v>2090</v>
      </c>
      <c r="C13" s="80" t="s">
        <v>2091</v>
      </c>
      <c r="D13" s="82" t="s">
        <v>2092</v>
      </c>
      <c r="E13" s="82" t="s">
        <v>2093</v>
      </c>
      <c r="F13" s="83" t="s">
        <v>2077</v>
      </c>
      <c r="G13" s="83" t="s">
        <v>2094</v>
      </c>
      <c r="H13" s="83">
        <v>2</v>
      </c>
      <c r="I13" s="85">
        <f>IF(COUNTIF(J13:AW13,"&lt;&gt;")=0,"",SUMPRODUCT(((Recommendations[ImplStatus]="Implemented")+(Recommendations[ImplStatus]="Compensated"))*ISNUMBER(MATCH(Recommendations[Id],J13:AW13,0)))/COUNTIF(J13:AW13,"&lt;&gt;"))</f>
        <v>0</v>
      </c>
      <c r="J13" s="87" t="s">
        <v>711</v>
      </c>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98"/>
    </row>
    <row r="14" spans="1:49" ht="60" customHeight="1" x14ac:dyDescent="0.35">
      <c r="A14" s="95" t="s">
        <v>2071</v>
      </c>
      <c r="B14" s="78" t="s">
        <v>2095</v>
      </c>
      <c r="C14" s="80" t="s">
        <v>2096</v>
      </c>
      <c r="D14" s="82" t="s">
        <v>2097</v>
      </c>
      <c r="E14" s="82" t="s">
        <v>2098</v>
      </c>
      <c r="F14" s="83" t="s">
        <v>2077</v>
      </c>
      <c r="G14" s="83" t="s">
        <v>2094</v>
      </c>
      <c r="H14" s="83">
        <v>2</v>
      </c>
      <c r="I14" s="85">
        <f>IF(COUNTIF(J14:AW14,"&lt;&gt;")=0,"",SUMPRODUCT(((Recommendations[ImplStatus]="Implemented")+(Recommendations[ImplStatus]="Compensated"))*ISNUMBER(MATCH(Recommendations[Id],J14:AW14,0)))/COUNTIF(J14:AW14,"&lt;&gt;"))</f>
        <v>0</v>
      </c>
      <c r="J14" s="87" t="s">
        <v>1676</v>
      </c>
      <c r="K14" s="87" t="s">
        <v>1681</v>
      </c>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98"/>
    </row>
    <row r="15" spans="1:49" ht="60" customHeight="1" x14ac:dyDescent="0.35">
      <c r="A15" s="95" t="s">
        <v>2071</v>
      </c>
      <c r="B15" s="78" t="s">
        <v>2099</v>
      </c>
      <c r="C15" s="80" t="s">
        <v>2100</v>
      </c>
      <c r="D15" s="82" t="s">
        <v>2101</v>
      </c>
      <c r="E15" s="82" t="s">
        <v>2102</v>
      </c>
      <c r="F15" s="83" t="s">
        <v>2077</v>
      </c>
      <c r="G15" s="83" t="s">
        <v>2094</v>
      </c>
      <c r="H15" s="83">
        <v>3</v>
      </c>
      <c r="I15" s="85" t="str">
        <f>IF(COUNTIF(J15:AW15,"&lt;&gt;")=0,"",SUMPRODUCT(((Recommendations[ImplStatus]="Implemented")+(Recommendations[ImplStatus]="Compensated"))*ISNUMBER(MATCH(Recommendations[Id],J15:AW15,0)))/COUNTIF(J15:AW15,"&lt;&gt;"))</f>
        <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98"/>
    </row>
    <row r="16" spans="1:49" ht="60" customHeight="1" outlineLevel="1" x14ac:dyDescent="0.35">
      <c r="A16" s="94" t="s">
        <v>2103</v>
      </c>
      <c r="B16" s="77">
        <v>3</v>
      </c>
      <c r="C16" s="79" t="s">
        <v>20</v>
      </c>
      <c r="D16" s="81" t="s">
        <v>2104</v>
      </c>
      <c r="E16" s="81" t="s">
        <v>20</v>
      </c>
      <c r="F16" s="77" t="s">
        <v>20</v>
      </c>
      <c r="G16" s="77" t="s">
        <v>20</v>
      </c>
      <c r="H16" s="77"/>
      <c r="I16" s="84" t="str">
        <f>IF(COUNTIF(J16:AW16,"&lt;&gt;")=0,"",SUMPRODUCT(((Recommendations[ImplStatus]="Implemented")+(Recommendations[ImplStatus]="Compensated"))*ISNUMBER(MATCH(Recommendations[Id],J16:AW16,0)))/COUNTIF(J16:AW16,"&lt;&gt;"))</f>
        <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97"/>
    </row>
    <row r="17" spans="1:49" ht="60" customHeight="1" x14ac:dyDescent="0.35">
      <c r="A17" s="95" t="s">
        <v>2103</v>
      </c>
      <c r="B17" s="78" t="s">
        <v>2105</v>
      </c>
      <c r="C17" s="80" t="s">
        <v>2106</v>
      </c>
      <c r="D17" s="82" t="s">
        <v>2107</v>
      </c>
      <c r="E17" s="82" t="s">
        <v>2108</v>
      </c>
      <c r="F17" s="83" t="s">
        <v>2109</v>
      </c>
      <c r="G17" s="83" t="s">
        <v>2110</v>
      </c>
      <c r="H17" s="83">
        <v>1</v>
      </c>
      <c r="I17" s="85" t="str">
        <f>IF(COUNTIF(J17:AW17,"&lt;&gt;")=0,"",SUMPRODUCT(((Recommendations[ImplStatus]="Implemented")+(Recommendations[ImplStatus]="Compensated"))*ISNUMBER(MATCH(Recommendations[Id],J17:AW17,0)))/COUNTIF(J17:AW17,"&lt;&gt;"))</f>
        <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98"/>
    </row>
    <row r="18" spans="1:49" ht="60" customHeight="1" x14ac:dyDescent="0.35">
      <c r="A18" s="95" t="s">
        <v>2103</v>
      </c>
      <c r="B18" s="78" t="s">
        <v>2111</v>
      </c>
      <c r="C18" s="80" t="s">
        <v>2112</v>
      </c>
      <c r="D18" s="82" t="s">
        <v>2113</v>
      </c>
      <c r="E18" s="82" t="s">
        <v>2114</v>
      </c>
      <c r="F18" s="83" t="s">
        <v>2109</v>
      </c>
      <c r="G18" s="83" t="s">
        <v>2052</v>
      </c>
      <c r="H18" s="83">
        <v>1</v>
      </c>
      <c r="I18" s="85" t="str">
        <f>IF(COUNTIF(J18:AW18,"&lt;&gt;")=0,"",SUMPRODUCT(((Recommendations[ImplStatus]="Implemented")+(Recommendations[ImplStatus]="Compensated"))*ISNUMBER(MATCH(Recommendations[Id],J18:AW18,0)))/COUNTIF(J18:AW18,"&lt;&gt;"))</f>
        <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98"/>
    </row>
    <row r="19" spans="1:49" ht="60" customHeight="1" x14ac:dyDescent="0.35">
      <c r="A19" s="95" t="s">
        <v>2103</v>
      </c>
      <c r="B19" s="78" t="s">
        <v>2115</v>
      </c>
      <c r="C19" s="80" t="s">
        <v>2116</v>
      </c>
      <c r="D19" s="82" t="s">
        <v>2117</v>
      </c>
      <c r="E19" s="82" t="s">
        <v>2118</v>
      </c>
      <c r="F19" s="83" t="s">
        <v>2109</v>
      </c>
      <c r="G19" s="83" t="s">
        <v>2094</v>
      </c>
      <c r="H19" s="83">
        <v>1</v>
      </c>
      <c r="I19" s="85">
        <f>IF(COUNTIF(J19:AW19,"&lt;&gt;")=0,"",SUMPRODUCT(((Recommendations[ImplStatus]="Implemented")+(Recommendations[ImplStatus]="Compensated"))*ISNUMBER(MATCH(Recommendations[Id],J19:AW19,0)))/COUNTIF(J19:AW19,"&lt;&gt;"))</f>
        <v>0</v>
      </c>
      <c r="J19" s="87" t="s">
        <v>165</v>
      </c>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98"/>
    </row>
    <row r="20" spans="1:49" ht="60" customHeight="1" x14ac:dyDescent="0.35">
      <c r="A20" s="95" t="s">
        <v>2103</v>
      </c>
      <c r="B20" s="78" t="s">
        <v>2119</v>
      </c>
      <c r="C20" s="80" t="s">
        <v>2120</v>
      </c>
      <c r="D20" s="82" t="s">
        <v>2121</v>
      </c>
      <c r="E20" s="82" t="s">
        <v>2122</v>
      </c>
      <c r="F20" s="83" t="s">
        <v>2109</v>
      </c>
      <c r="G20" s="83" t="s">
        <v>2094</v>
      </c>
      <c r="H20" s="83">
        <v>1</v>
      </c>
      <c r="I20" s="85" t="str">
        <f>IF(COUNTIF(J20:AW20,"&lt;&gt;")=0,"",SUMPRODUCT(((Recommendations[ImplStatus]="Implemented")+(Recommendations[ImplStatus]="Compensated"))*ISNUMBER(MATCH(Recommendations[Id],J20:AW20,0)))/COUNTIF(J20:AW20,"&lt;&gt;"))</f>
        <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98"/>
    </row>
    <row r="21" spans="1:49" ht="60" customHeight="1" x14ac:dyDescent="0.35">
      <c r="A21" s="95" t="s">
        <v>2103</v>
      </c>
      <c r="B21" s="78" t="s">
        <v>2123</v>
      </c>
      <c r="C21" s="80" t="s">
        <v>2124</v>
      </c>
      <c r="D21" s="82" t="s">
        <v>2125</v>
      </c>
      <c r="E21" s="82" t="s">
        <v>2126</v>
      </c>
      <c r="F21" s="83" t="s">
        <v>2109</v>
      </c>
      <c r="G21" s="83" t="s">
        <v>2094</v>
      </c>
      <c r="H21" s="83">
        <v>1</v>
      </c>
      <c r="I21" s="85" t="str">
        <f>IF(COUNTIF(J21:AW21,"&lt;&gt;")=0,"",SUMPRODUCT(((Recommendations[ImplStatus]="Implemented")+(Recommendations[ImplStatus]="Compensated"))*ISNUMBER(MATCH(Recommendations[Id],J21:AW21,0)))/COUNTIF(J21:AW21,"&lt;&gt;"))</f>
        <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98"/>
    </row>
    <row r="22" spans="1:49" ht="60" customHeight="1" x14ac:dyDescent="0.35">
      <c r="A22" s="95" t="s">
        <v>2103</v>
      </c>
      <c r="B22" s="78" t="s">
        <v>2127</v>
      </c>
      <c r="C22" s="80" t="s">
        <v>2128</v>
      </c>
      <c r="D22" s="82" t="s">
        <v>2129</v>
      </c>
      <c r="E22" s="82" t="s">
        <v>2130</v>
      </c>
      <c r="F22" s="83" t="s">
        <v>2109</v>
      </c>
      <c r="G22" s="83" t="s">
        <v>2094</v>
      </c>
      <c r="H22" s="83">
        <v>1</v>
      </c>
      <c r="I22" s="85">
        <f>IF(COUNTIF(J22:AW22,"&lt;&gt;")=0,"",SUMPRODUCT(((Recommendations[ImplStatus]="Implemented")+(Recommendations[ImplStatus]="Compensated"))*ISNUMBER(MATCH(Recommendations[Id],J22:AW22,0)))/COUNTIF(J22:AW22,"&lt;&gt;"))</f>
        <v>0</v>
      </c>
      <c r="J22" s="87" t="s">
        <v>868</v>
      </c>
      <c r="K22" s="87" t="s">
        <v>874</v>
      </c>
      <c r="L22" s="87" t="s">
        <v>1632</v>
      </c>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98"/>
    </row>
    <row r="23" spans="1:49" ht="60" customHeight="1" x14ac:dyDescent="0.35">
      <c r="A23" s="95" t="s">
        <v>2103</v>
      </c>
      <c r="B23" s="78" t="s">
        <v>2131</v>
      </c>
      <c r="C23" s="80" t="s">
        <v>2132</v>
      </c>
      <c r="D23" s="82" t="s">
        <v>2133</v>
      </c>
      <c r="E23" s="82" t="s">
        <v>2134</v>
      </c>
      <c r="F23" s="83" t="s">
        <v>2109</v>
      </c>
      <c r="G23" s="83" t="s">
        <v>2052</v>
      </c>
      <c r="H23" s="83">
        <v>2</v>
      </c>
      <c r="I23" s="85" t="str">
        <f>IF(COUNTIF(J23:AW23,"&lt;&gt;")=0,"",SUMPRODUCT(((Recommendations[ImplStatus]="Implemented")+(Recommendations[ImplStatus]="Compensated"))*ISNUMBER(MATCH(Recommendations[Id],J23:AW23,0)))/COUNTIF(J23:AW23,"&lt;&gt;"))</f>
        <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98"/>
    </row>
    <row r="24" spans="1:49" ht="60" customHeight="1" x14ac:dyDescent="0.35">
      <c r="A24" s="95" t="s">
        <v>2103</v>
      </c>
      <c r="B24" s="78" t="s">
        <v>2135</v>
      </c>
      <c r="C24" s="80" t="s">
        <v>2136</v>
      </c>
      <c r="D24" s="82" t="s">
        <v>2137</v>
      </c>
      <c r="E24" s="82" t="s">
        <v>2138</v>
      </c>
      <c r="F24" s="83" t="s">
        <v>2109</v>
      </c>
      <c r="G24" s="83" t="s">
        <v>2052</v>
      </c>
      <c r="H24" s="83">
        <v>2</v>
      </c>
      <c r="I24" s="85" t="str">
        <f>IF(COUNTIF(J24:AW24,"&lt;&gt;")=0,"",SUMPRODUCT(((Recommendations[ImplStatus]="Implemented")+(Recommendations[ImplStatus]="Compensated"))*ISNUMBER(MATCH(Recommendations[Id],J24:AW24,0)))/COUNTIF(J24:AW24,"&lt;&gt;"))</f>
        <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98"/>
    </row>
    <row r="25" spans="1:49" ht="60" customHeight="1" x14ac:dyDescent="0.35">
      <c r="A25" s="95" t="s">
        <v>2103</v>
      </c>
      <c r="B25" s="78" t="s">
        <v>2139</v>
      </c>
      <c r="C25" s="80" t="s">
        <v>2140</v>
      </c>
      <c r="D25" s="82" t="s">
        <v>2141</v>
      </c>
      <c r="E25" s="82" t="s">
        <v>2142</v>
      </c>
      <c r="F25" s="83" t="s">
        <v>2109</v>
      </c>
      <c r="G25" s="83" t="s">
        <v>2094</v>
      </c>
      <c r="H25" s="83">
        <v>2</v>
      </c>
      <c r="I25" s="85" t="str">
        <f>IF(COUNTIF(J25:AW25,"&lt;&gt;")=0,"",SUMPRODUCT(((Recommendations[ImplStatus]="Implemented")+(Recommendations[ImplStatus]="Compensated"))*ISNUMBER(MATCH(Recommendations[Id],J25:AW25,0)))/COUNTIF(J25:AW25,"&lt;&gt;"))</f>
        <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98"/>
    </row>
    <row r="26" spans="1:49" ht="60" customHeight="1" x14ac:dyDescent="0.35">
      <c r="A26" s="95" t="s">
        <v>2103</v>
      </c>
      <c r="B26" s="78" t="s">
        <v>2143</v>
      </c>
      <c r="C26" s="80" t="s">
        <v>2144</v>
      </c>
      <c r="D26" s="82" t="s">
        <v>2145</v>
      </c>
      <c r="E26" s="82" t="s">
        <v>2146</v>
      </c>
      <c r="F26" s="83" t="s">
        <v>2109</v>
      </c>
      <c r="G26" s="83" t="s">
        <v>2094</v>
      </c>
      <c r="H26" s="83">
        <v>2</v>
      </c>
      <c r="I26" s="85">
        <f>IF(COUNTIF(J26:AW26,"&lt;&gt;")=0,"",SUMPRODUCT(((Recommendations[ImplStatus]="Implemented")+(Recommendations[ImplStatus]="Compensated"))*ISNUMBER(MATCH(Recommendations[Id],J26:AW26,0)))/COUNTIF(J26:AW26,"&lt;&gt;"))</f>
        <v>0</v>
      </c>
      <c r="J26" s="87" t="s">
        <v>65</v>
      </c>
      <c r="K26" s="87" t="s">
        <v>70</v>
      </c>
      <c r="L26" s="87" t="s">
        <v>75</v>
      </c>
      <c r="M26" s="87" t="s">
        <v>80</v>
      </c>
      <c r="N26" s="87" t="s">
        <v>95</v>
      </c>
      <c r="O26" s="87" t="s">
        <v>100</v>
      </c>
      <c r="P26" s="87" t="s">
        <v>105</v>
      </c>
      <c r="Q26" s="87" t="s">
        <v>140</v>
      </c>
      <c r="R26" s="87" t="s">
        <v>145</v>
      </c>
      <c r="S26" s="87" t="s">
        <v>150</v>
      </c>
      <c r="T26" s="87" t="s">
        <v>155</v>
      </c>
      <c r="U26" s="87" t="s">
        <v>160</v>
      </c>
      <c r="V26" s="87" t="s">
        <v>477</v>
      </c>
      <c r="W26" s="87" t="s">
        <v>509</v>
      </c>
      <c r="X26" s="87" t="s">
        <v>573</v>
      </c>
      <c r="Y26" s="87" t="s">
        <v>579</v>
      </c>
      <c r="Z26" s="87" t="s">
        <v>614</v>
      </c>
      <c r="AA26" s="87" t="s">
        <v>617</v>
      </c>
      <c r="AB26" s="87" t="s">
        <v>620</v>
      </c>
      <c r="AC26" s="87" t="s">
        <v>633</v>
      </c>
      <c r="AD26" s="87" t="s">
        <v>673</v>
      </c>
      <c r="AE26" s="87" t="s">
        <v>693</v>
      </c>
      <c r="AF26" s="87" t="s">
        <v>736</v>
      </c>
      <c r="AG26" s="87" t="s">
        <v>743</v>
      </c>
      <c r="AH26" s="87" t="s">
        <v>765</v>
      </c>
      <c r="AI26" s="87" t="s">
        <v>1003</v>
      </c>
      <c r="AJ26" s="87" t="s">
        <v>1397</v>
      </c>
      <c r="AK26" s="87" t="s">
        <v>1603</v>
      </c>
      <c r="AL26" s="87" t="s">
        <v>1609</v>
      </c>
      <c r="AM26" s="87" t="s">
        <v>1614</v>
      </c>
      <c r="AN26" s="87" t="s">
        <v>1620</v>
      </c>
      <c r="AO26" s="87" t="s">
        <v>1705</v>
      </c>
      <c r="AP26" s="87" t="s">
        <v>1710</v>
      </c>
      <c r="AQ26" s="87" t="s">
        <v>1715</v>
      </c>
      <c r="AR26" s="87" t="s">
        <v>1721</v>
      </c>
      <c r="AS26" s="87" t="s">
        <v>1725</v>
      </c>
      <c r="AT26" s="87" t="s">
        <v>1729</v>
      </c>
      <c r="AU26" s="87"/>
      <c r="AV26" s="87"/>
      <c r="AW26" s="98"/>
    </row>
    <row r="27" spans="1:49" ht="60" customHeight="1" x14ac:dyDescent="0.35">
      <c r="A27" s="95" t="s">
        <v>2103</v>
      </c>
      <c r="B27" s="78" t="s">
        <v>2147</v>
      </c>
      <c r="C27" s="80" t="s">
        <v>2148</v>
      </c>
      <c r="D27" s="82" t="s">
        <v>2149</v>
      </c>
      <c r="E27" s="82" t="s">
        <v>2150</v>
      </c>
      <c r="F27" s="83" t="s">
        <v>2109</v>
      </c>
      <c r="G27" s="83" t="s">
        <v>2094</v>
      </c>
      <c r="H27" s="83">
        <v>2</v>
      </c>
      <c r="I27" s="85" t="str">
        <f>IF(COUNTIF(J27:AW27,"&lt;&gt;")=0,"",SUMPRODUCT(((Recommendations[ImplStatus]="Implemented")+(Recommendations[ImplStatus]="Compensated"))*ISNUMBER(MATCH(Recommendations[Id],J27:AW27,0)))/COUNTIF(J27:AW27,"&lt;&gt;"))</f>
        <v/>
      </c>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98"/>
    </row>
    <row r="28" spans="1:49" ht="60" customHeight="1" x14ac:dyDescent="0.35">
      <c r="A28" s="95" t="s">
        <v>2103</v>
      </c>
      <c r="B28" s="78" t="s">
        <v>2151</v>
      </c>
      <c r="C28" s="80" t="s">
        <v>2152</v>
      </c>
      <c r="D28" s="82" t="s">
        <v>2153</v>
      </c>
      <c r="E28" s="82" t="s">
        <v>2154</v>
      </c>
      <c r="F28" s="83" t="s">
        <v>2109</v>
      </c>
      <c r="G28" s="83" t="s">
        <v>2094</v>
      </c>
      <c r="H28" s="83">
        <v>2</v>
      </c>
      <c r="I28" s="85">
        <f>IF(COUNTIF(J28:AW28,"&lt;&gt;")=0,"",SUMPRODUCT(((Recommendations[ImplStatus]="Implemented")+(Recommendations[ImplStatus]="Compensated"))*ISNUMBER(MATCH(Recommendations[Id],J28:AW28,0)))/COUNTIF(J28:AW28,"&lt;&gt;"))</f>
        <v>0</v>
      </c>
      <c r="J28" s="87" t="s">
        <v>748</v>
      </c>
      <c r="K28" s="87" t="s">
        <v>862</v>
      </c>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98"/>
    </row>
    <row r="29" spans="1:49" ht="60" customHeight="1" x14ac:dyDescent="0.35">
      <c r="A29" s="95" t="s">
        <v>2103</v>
      </c>
      <c r="B29" s="78" t="s">
        <v>2155</v>
      </c>
      <c r="C29" s="80" t="s">
        <v>2156</v>
      </c>
      <c r="D29" s="82" t="s">
        <v>2157</v>
      </c>
      <c r="E29" s="82" t="s">
        <v>2158</v>
      </c>
      <c r="F29" s="83" t="s">
        <v>2109</v>
      </c>
      <c r="G29" s="83" t="s">
        <v>2094</v>
      </c>
      <c r="H29" s="83">
        <v>3</v>
      </c>
      <c r="I29" s="85" t="str">
        <f>IF(COUNTIF(J29:AW29,"&lt;&gt;")=0,"",SUMPRODUCT(((Recommendations[ImplStatus]="Implemented")+(Recommendations[ImplStatus]="Compensated"))*ISNUMBER(MATCH(Recommendations[Id],J29:AW29,0)))/COUNTIF(J29:AW29,"&lt;&gt;"))</f>
        <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98"/>
    </row>
    <row r="30" spans="1:49" ht="60" customHeight="1" x14ac:dyDescent="0.35">
      <c r="A30" s="95" t="s">
        <v>2103</v>
      </c>
      <c r="B30" s="78" t="s">
        <v>2159</v>
      </c>
      <c r="C30" s="80" t="s">
        <v>2160</v>
      </c>
      <c r="D30" s="82" t="s">
        <v>2161</v>
      </c>
      <c r="E30" s="82" t="s">
        <v>2162</v>
      </c>
      <c r="F30" s="83" t="s">
        <v>2109</v>
      </c>
      <c r="G30" s="83" t="s">
        <v>2062</v>
      </c>
      <c r="H30" s="83">
        <v>3</v>
      </c>
      <c r="I30" s="85" t="str">
        <f>IF(COUNTIF(J30:AW30,"&lt;&gt;")=0,"",SUMPRODUCT(((Recommendations[ImplStatus]="Implemented")+(Recommendations[ImplStatus]="Compensated"))*ISNUMBER(MATCH(Recommendations[Id],J30:AW30,0)))/COUNTIF(J30:AW30,"&lt;&gt;"))</f>
        <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98"/>
    </row>
    <row r="31" spans="1:49" ht="60" customHeight="1" outlineLevel="1" x14ac:dyDescent="0.35">
      <c r="A31" s="94" t="s">
        <v>2163</v>
      </c>
      <c r="B31" s="77">
        <v>4</v>
      </c>
      <c r="C31" s="79" t="s">
        <v>20</v>
      </c>
      <c r="D31" s="81" t="s">
        <v>2164</v>
      </c>
      <c r="E31" s="81" t="s">
        <v>20</v>
      </c>
      <c r="F31" s="77" t="s">
        <v>20</v>
      </c>
      <c r="G31" s="77" t="s">
        <v>20</v>
      </c>
      <c r="H31" s="77"/>
      <c r="I31" s="84" t="str">
        <f>IF(COUNTIF(J31:AW31,"&lt;&gt;")=0,"",SUMPRODUCT(((Recommendations[ImplStatus]="Implemented")+(Recommendations[ImplStatus]="Compensated"))*ISNUMBER(MATCH(Recommendations[Id],J31:AW31,0)))/COUNTIF(J31:AW31,"&lt;&gt;"))</f>
        <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97"/>
    </row>
    <row r="32" spans="1:49" ht="60" customHeight="1" x14ac:dyDescent="0.35">
      <c r="A32" s="95" t="s">
        <v>2163</v>
      </c>
      <c r="B32" s="78" t="s">
        <v>2165</v>
      </c>
      <c r="C32" s="80" t="s">
        <v>2166</v>
      </c>
      <c r="D32" s="82" t="s">
        <v>2167</v>
      </c>
      <c r="E32" s="82" t="s">
        <v>2168</v>
      </c>
      <c r="F32" s="83" t="s">
        <v>2169</v>
      </c>
      <c r="G32" s="83" t="s">
        <v>2110</v>
      </c>
      <c r="H32" s="83">
        <v>1</v>
      </c>
      <c r="I32" s="85">
        <f>IF(COUNTIF(J32:AW32,"&lt;&gt;")=0,"",SUMPRODUCT(((Recommendations[ImplStatus]="Implemented")+(Recommendations[ImplStatus]="Compensated"))*ISNUMBER(MATCH(Recommendations[Id],J32:AW32,0)))/COUNTIF(J32:AW32,"&lt;&gt;"))</f>
        <v>0</v>
      </c>
      <c r="J32" s="87" t="s">
        <v>110</v>
      </c>
      <c r="K32" s="87" t="s">
        <v>115</v>
      </c>
      <c r="L32" s="87" t="s">
        <v>120</v>
      </c>
      <c r="M32" s="87" t="s">
        <v>125</v>
      </c>
      <c r="N32" s="87" t="s">
        <v>130</v>
      </c>
      <c r="O32" s="87" t="s">
        <v>135</v>
      </c>
      <c r="P32" s="87" t="s">
        <v>257</v>
      </c>
      <c r="Q32" s="87" t="s">
        <v>261</v>
      </c>
      <c r="R32" s="87" t="s">
        <v>471</v>
      </c>
      <c r="S32" s="87" t="s">
        <v>530</v>
      </c>
      <c r="T32" s="87" t="s">
        <v>558</v>
      </c>
      <c r="U32" s="87" t="s">
        <v>563</v>
      </c>
      <c r="V32" s="87" t="s">
        <v>584</v>
      </c>
      <c r="W32" s="87" t="s">
        <v>591</v>
      </c>
      <c r="X32" s="87" t="s">
        <v>605</v>
      </c>
      <c r="Y32" s="87" t="s">
        <v>658</v>
      </c>
      <c r="Z32" s="87" t="s">
        <v>663</v>
      </c>
      <c r="AA32" s="87" t="s">
        <v>668</v>
      </c>
      <c r="AB32" s="87" t="s">
        <v>819</v>
      </c>
      <c r="AC32" s="87" t="s">
        <v>1603</v>
      </c>
      <c r="AD32" s="87" t="s">
        <v>1609</v>
      </c>
      <c r="AE32" s="87" t="s">
        <v>1614</v>
      </c>
      <c r="AF32" s="87"/>
      <c r="AG32" s="87"/>
      <c r="AH32" s="87"/>
      <c r="AI32" s="87"/>
      <c r="AJ32" s="87"/>
      <c r="AK32" s="87"/>
      <c r="AL32" s="87"/>
      <c r="AM32" s="87"/>
      <c r="AN32" s="87"/>
      <c r="AO32" s="87"/>
      <c r="AP32" s="87"/>
      <c r="AQ32" s="87"/>
      <c r="AR32" s="87"/>
      <c r="AS32" s="87"/>
      <c r="AT32" s="87"/>
      <c r="AU32" s="87"/>
      <c r="AV32" s="87"/>
      <c r="AW32" s="98"/>
    </row>
    <row r="33" spans="1:49" ht="60" customHeight="1" x14ac:dyDescent="0.35">
      <c r="A33" s="95" t="s">
        <v>2163</v>
      </c>
      <c r="B33" s="78" t="s">
        <v>2170</v>
      </c>
      <c r="C33" s="80" t="s">
        <v>2171</v>
      </c>
      <c r="D33" s="82" t="s">
        <v>2172</v>
      </c>
      <c r="E33" s="82" t="s">
        <v>2173</v>
      </c>
      <c r="F33" s="83" t="s">
        <v>2169</v>
      </c>
      <c r="G33" s="83" t="s">
        <v>2110</v>
      </c>
      <c r="H33" s="83">
        <v>1</v>
      </c>
      <c r="I33" s="85" t="str">
        <f>IF(COUNTIF(J33:AW33,"&lt;&gt;")=0,"",SUMPRODUCT(((Recommendations[ImplStatus]="Implemented")+(Recommendations[ImplStatus]="Compensated"))*ISNUMBER(MATCH(Recommendations[Id],J33:AW33,0)))/COUNTIF(J33:AW33,"&lt;&gt;"))</f>
        <v/>
      </c>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98"/>
    </row>
    <row r="34" spans="1:49" ht="60" customHeight="1" x14ac:dyDescent="0.35">
      <c r="A34" s="95" t="s">
        <v>2163</v>
      </c>
      <c r="B34" s="78" t="s">
        <v>2174</v>
      </c>
      <c r="C34" s="80" t="s">
        <v>2175</v>
      </c>
      <c r="D34" s="82" t="s">
        <v>2176</v>
      </c>
      <c r="E34" s="82" t="s">
        <v>2177</v>
      </c>
      <c r="F34" s="83" t="s">
        <v>2051</v>
      </c>
      <c r="G34" s="83" t="s">
        <v>2094</v>
      </c>
      <c r="H34" s="83">
        <v>1</v>
      </c>
      <c r="I34" s="85">
        <f>IF(COUNTIF(J34:AW34,"&lt;&gt;")=0,"",SUMPRODUCT(((Recommendations[ImplStatus]="Implemented")+(Recommendations[ImplStatus]="Compensated"))*ISNUMBER(MATCH(Recommendations[Id],J34:AW34,0)))/COUNTIF(J34:AW34,"&lt;&gt;"))</f>
        <v>0</v>
      </c>
      <c r="J34" s="87" t="s">
        <v>85</v>
      </c>
      <c r="K34" s="87" t="s">
        <v>90</v>
      </c>
      <c r="L34" s="87" t="s">
        <v>459</v>
      </c>
      <c r="M34" s="87" t="s">
        <v>465</v>
      </c>
      <c r="N34" s="87" t="s">
        <v>794</v>
      </c>
      <c r="O34" s="87" t="s">
        <v>799</v>
      </c>
      <c r="P34" s="87" t="s">
        <v>803</v>
      </c>
      <c r="Q34" s="87" t="s">
        <v>808</v>
      </c>
      <c r="R34" s="87" t="s">
        <v>826</v>
      </c>
      <c r="S34" s="87" t="s">
        <v>1669</v>
      </c>
      <c r="T34" s="87" t="s">
        <v>1735</v>
      </c>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98"/>
    </row>
    <row r="35" spans="1:49" ht="60" customHeight="1" x14ac:dyDescent="0.35">
      <c r="A35" s="95" t="s">
        <v>2163</v>
      </c>
      <c r="B35" s="78" t="s">
        <v>2178</v>
      </c>
      <c r="C35" s="80" t="s">
        <v>2179</v>
      </c>
      <c r="D35" s="82" t="s">
        <v>2180</v>
      </c>
      <c r="E35" s="82" t="s">
        <v>2181</v>
      </c>
      <c r="F35" s="83" t="s">
        <v>2051</v>
      </c>
      <c r="G35" s="83" t="s">
        <v>2094</v>
      </c>
      <c r="H35" s="83">
        <v>1</v>
      </c>
      <c r="I35" s="85">
        <f>IF(COUNTIF(J35:AW35,"&lt;&gt;")=0,"",SUMPRODUCT(((Recommendations[ImplStatus]="Implemented")+(Recommendations[ImplStatus]="Compensated"))*ISNUMBER(MATCH(Recommendations[Id],J35:AW35,0)))/COUNTIF(J35:AW35,"&lt;&gt;"))</f>
        <v>0</v>
      </c>
      <c r="J35" s="87" t="s">
        <v>387</v>
      </c>
      <c r="K35" s="87" t="s">
        <v>390</v>
      </c>
      <c r="L35" s="87" t="s">
        <v>393</v>
      </c>
      <c r="M35" s="87" t="s">
        <v>396</v>
      </c>
      <c r="N35" s="87" t="s">
        <v>409</v>
      </c>
      <c r="O35" s="87" t="s">
        <v>412</v>
      </c>
      <c r="P35" s="87" t="s">
        <v>415</v>
      </c>
      <c r="Q35" s="87" t="s">
        <v>418</v>
      </c>
      <c r="R35" s="87" t="s">
        <v>431</v>
      </c>
      <c r="S35" s="87" t="s">
        <v>434</v>
      </c>
      <c r="T35" s="87" t="s">
        <v>437</v>
      </c>
      <c r="U35" s="87" t="s">
        <v>440</v>
      </c>
      <c r="V35" s="87" t="s">
        <v>443</v>
      </c>
      <c r="W35" s="87" t="s">
        <v>446</v>
      </c>
      <c r="X35" s="87" t="s">
        <v>515</v>
      </c>
      <c r="Y35" s="87" t="s">
        <v>520</v>
      </c>
      <c r="Z35" s="87" t="s">
        <v>525</v>
      </c>
      <c r="AA35" s="87"/>
      <c r="AB35" s="87"/>
      <c r="AC35" s="87"/>
      <c r="AD35" s="87"/>
      <c r="AE35" s="87"/>
      <c r="AF35" s="87"/>
      <c r="AG35" s="87"/>
      <c r="AH35" s="87"/>
      <c r="AI35" s="87"/>
      <c r="AJ35" s="87"/>
      <c r="AK35" s="87"/>
      <c r="AL35" s="87"/>
      <c r="AM35" s="87"/>
      <c r="AN35" s="87"/>
      <c r="AO35" s="87"/>
      <c r="AP35" s="87"/>
      <c r="AQ35" s="87"/>
      <c r="AR35" s="87"/>
      <c r="AS35" s="87"/>
      <c r="AT35" s="87"/>
      <c r="AU35" s="87"/>
      <c r="AV35" s="87"/>
      <c r="AW35" s="98"/>
    </row>
    <row r="36" spans="1:49" ht="60" customHeight="1" x14ac:dyDescent="0.35">
      <c r="A36" s="95" t="s">
        <v>2163</v>
      </c>
      <c r="B36" s="78" t="s">
        <v>2182</v>
      </c>
      <c r="C36" s="80" t="s">
        <v>2183</v>
      </c>
      <c r="D36" s="82" t="s">
        <v>2184</v>
      </c>
      <c r="E36" s="82" t="s">
        <v>2185</v>
      </c>
      <c r="F36" s="83" t="s">
        <v>2051</v>
      </c>
      <c r="G36" s="83" t="s">
        <v>2094</v>
      </c>
      <c r="H36" s="83">
        <v>1</v>
      </c>
      <c r="I36" s="85">
        <f>IF(COUNTIF(J36:AW36,"&lt;&gt;")=0,"",SUMPRODUCT(((Recommendations[ImplStatus]="Implemented")+(Recommendations[ImplStatus]="Compensated"))*ISNUMBER(MATCH(Recommendations[Id],J36:AW36,0)))/COUNTIF(J36:AW36,"&lt;&gt;"))</f>
        <v>0</v>
      </c>
      <c r="J36" s="87" t="s">
        <v>387</v>
      </c>
      <c r="K36" s="87" t="s">
        <v>390</v>
      </c>
      <c r="L36" s="87" t="s">
        <v>409</v>
      </c>
      <c r="M36" s="87" t="s">
        <v>412</v>
      </c>
      <c r="N36" s="87" t="s">
        <v>431</v>
      </c>
      <c r="O36" s="87" t="s">
        <v>434</v>
      </c>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98"/>
    </row>
    <row r="37" spans="1:49" ht="60" customHeight="1" x14ac:dyDescent="0.35">
      <c r="A37" s="95" t="s">
        <v>2163</v>
      </c>
      <c r="B37" s="78" t="s">
        <v>2186</v>
      </c>
      <c r="C37" s="80" t="s">
        <v>2187</v>
      </c>
      <c r="D37" s="82" t="s">
        <v>2188</v>
      </c>
      <c r="E37" s="82" t="s">
        <v>2189</v>
      </c>
      <c r="F37" s="83" t="s">
        <v>2051</v>
      </c>
      <c r="G37" s="83" t="s">
        <v>2094</v>
      </c>
      <c r="H37" s="83">
        <v>1</v>
      </c>
      <c r="I37" s="85" t="str">
        <f>IF(COUNTIF(J37:AW37,"&lt;&gt;")=0,"",SUMPRODUCT(((Recommendations[ImplStatus]="Implemented")+(Recommendations[ImplStatus]="Compensated"))*ISNUMBER(MATCH(Recommendations[Id],J37:AW37,0)))/COUNTIF(J37:AW37,"&lt;&gt;"))</f>
        <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98"/>
    </row>
    <row r="38" spans="1:49" ht="60" customHeight="1" x14ac:dyDescent="0.35">
      <c r="A38" s="95" t="s">
        <v>2163</v>
      </c>
      <c r="B38" s="78" t="s">
        <v>2190</v>
      </c>
      <c r="C38" s="80" t="s">
        <v>2191</v>
      </c>
      <c r="D38" s="82" t="s">
        <v>2192</v>
      </c>
      <c r="E38" s="82" t="s">
        <v>2193</v>
      </c>
      <c r="F38" s="83" t="s">
        <v>2194</v>
      </c>
      <c r="G38" s="83" t="s">
        <v>2094</v>
      </c>
      <c r="H38" s="83">
        <v>1</v>
      </c>
      <c r="I38" s="85" t="str">
        <f>IF(COUNTIF(J38:AW38,"&lt;&gt;")=0,"",SUMPRODUCT(((Recommendations[ImplStatus]="Implemented")+(Recommendations[ImplStatus]="Compensated"))*ISNUMBER(MATCH(Recommendations[Id],J38:AW38,0)))/COUNTIF(J38:AW38,"&lt;&gt;"))</f>
        <v/>
      </c>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98"/>
    </row>
    <row r="39" spans="1:49" ht="60" customHeight="1" x14ac:dyDescent="0.35">
      <c r="A39" s="95" t="s">
        <v>2163</v>
      </c>
      <c r="B39" s="78" t="s">
        <v>2195</v>
      </c>
      <c r="C39" s="80" t="s">
        <v>2196</v>
      </c>
      <c r="D39" s="82" t="s">
        <v>2197</v>
      </c>
      <c r="E39" s="82" t="s">
        <v>2198</v>
      </c>
      <c r="F39" s="83" t="s">
        <v>2051</v>
      </c>
      <c r="G39" s="83" t="s">
        <v>2094</v>
      </c>
      <c r="H39" s="83">
        <v>2</v>
      </c>
      <c r="I39" s="85">
        <f>IF(COUNTIF(J39:AW39,"&lt;&gt;")=0,"",SUMPRODUCT(((Recommendations[ImplStatus]="Implemented")+(Recommendations[ImplStatus]="Compensated"))*ISNUMBER(MATCH(Recommendations[Id],J39:AW39,0)))/COUNTIF(J39:AW39,"&lt;&gt;"))</f>
        <v>0</v>
      </c>
      <c r="J39" s="87" t="s">
        <v>483</v>
      </c>
      <c r="K39" s="87" t="s">
        <v>489</v>
      </c>
      <c r="L39" s="87" t="s">
        <v>504</v>
      </c>
      <c r="M39" s="87" t="s">
        <v>536</v>
      </c>
      <c r="N39" s="87" t="s">
        <v>568</v>
      </c>
      <c r="O39" s="87" t="s">
        <v>610</v>
      </c>
      <c r="P39" s="87" t="s">
        <v>681</v>
      </c>
      <c r="Q39" s="87" t="s">
        <v>813</v>
      </c>
      <c r="R39" s="87" t="s">
        <v>880</v>
      </c>
      <c r="S39" s="87" t="s">
        <v>1663</v>
      </c>
      <c r="T39" s="87" t="s">
        <v>1740</v>
      </c>
      <c r="U39" s="87" t="s">
        <v>1751</v>
      </c>
      <c r="V39" s="87" t="s">
        <v>1754</v>
      </c>
      <c r="W39" s="87" t="s">
        <v>1757</v>
      </c>
      <c r="X39" s="87" t="s">
        <v>1760</v>
      </c>
      <c r="Y39" s="87" t="s">
        <v>1763</v>
      </c>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98"/>
    </row>
    <row r="40" spans="1:49" ht="60" customHeight="1" x14ac:dyDescent="0.35">
      <c r="A40" s="95" t="s">
        <v>2163</v>
      </c>
      <c r="B40" s="78" t="s">
        <v>2199</v>
      </c>
      <c r="C40" s="80" t="s">
        <v>2200</v>
      </c>
      <c r="D40" s="82" t="s">
        <v>2201</v>
      </c>
      <c r="E40" s="82" t="s">
        <v>2202</v>
      </c>
      <c r="F40" s="83" t="s">
        <v>2051</v>
      </c>
      <c r="G40" s="83" t="s">
        <v>2094</v>
      </c>
      <c r="H40" s="83">
        <v>2</v>
      </c>
      <c r="I40" s="85" t="str">
        <f>IF(COUNTIF(J40:AW40,"&lt;&gt;")=0,"",SUMPRODUCT(((Recommendations[ImplStatus]="Implemented")+(Recommendations[ImplStatus]="Compensated"))*ISNUMBER(MATCH(Recommendations[Id],J40:AW40,0)))/COUNTIF(J40:AW40,"&lt;&gt;"))</f>
        <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98"/>
    </row>
    <row r="41" spans="1:49" ht="60" customHeight="1" x14ac:dyDescent="0.35">
      <c r="A41" s="95" t="s">
        <v>2163</v>
      </c>
      <c r="B41" s="78" t="s">
        <v>2203</v>
      </c>
      <c r="C41" s="80" t="s">
        <v>2204</v>
      </c>
      <c r="D41" s="82" t="s">
        <v>2205</v>
      </c>
      <c r="E41" s="82" t="s">
        <v>2206</v>
      </c>
      <c r="F41" s="83" t="s">
        <v>2051</v>
      </c>
      <c r="G41" s="83" t="s">
        <v>2094</v>
      </c>
      <c r="H41" s="83">
        <v>2</v>
      </c>
      <c r="I41" s="85" t="str">
        <f>IF(COUNTIF(J41:AW41,"&lt;&gt;")=0,"",SUMPRODUCT(((Recommendations[ImplStatus]="Implemented")+(Recommendations[ImplStatus]="Compensated"))*ISNUMBER(MATCH(Recommendations[Id],J41:AW41,0)))/COUNTIF(J41:AW41,"&lt;&gt;"))</f>
        <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98"/>
    </row>
    <row r="42" spans="1:49" ht="60" customHeight="1" x14ac:dyDescent="0.35">
      <c r="A42" s="95" t="s">
        <v>2163</v>
      </c>
      <c r="B42" s="78" t="s">
        <v>2207</v>
      </c>
      <c r="C42" s="80" t="s">
        <v>2208</v>
      </c>
      <c r="D42" s="82" t="s">
        <v>2209</v>
      </c>
      <c r="E42" s="82" t="s">
        <v>2210</v>
      </c>
      <c r="F42" s="83" t="s">
        <v>2109</v>
      </c>
      <c r="G42" s="83" t="s">
        <v>2094</v>
      </c>
      <c r="H42" s="83">
        <v>2</v>
      </c>
      <c r="I42" s="85" t="str">
        <f>IF(COUNTIF(J42:AW42,"&lt;&gt;")=0,"",SUMPRODUCT(((Recommendations[ImplStatus]="Implemented")+(Recommendations[ImplStatus]="Compensated"))*ISNUMBER(MATCH(Recommendations[Id],J42:AW42,0)))/COUNTIF(J42:AW42,"&lt;&gt;"))</f>
        <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98"/>
    </row>
    <row r="43" spans="1:49" ht="60" customHeight="1" x14ac:dyDescent="0.35">
      <c r="A43" s="95" t="s">
        <v>2163</v>
      </c>
      <c r="B43" s="78" t="s">
        <v>2211</v>
      </c>
      <c r="C43" s="80" t="s">
        <v>2212</v>
      </c>
      <c r="D43" s="82" t="s">
        <v>2213</v>
      </c>
      <c r="E43" s="82" t="s">
        <v>2214</v>
      </c>
      <c r="F43" s="83" t="s">
        <v>2109</v>
      </c>
      <c r="G43" s="83" t="s">
        <v>2094</v>
      </c>
      <c r="H43" s="83">
        <v>3</v>
      </c>
      <c r="I43" s="85" t="str">
        <f>IF(COUNTIF(J43:AW43,"&lt;&gt;")=0,"",SUMPRODUCT(((Recommendations[ImplStatus]="Implemented")+(Recommendations[ImplStatus]="Compensated"))*ISNUMBER(MATCH(Recommendations[Id],J43:AW43,0)))/COUNTIF(J43:AW43,"&lt;&gt;"))</f>
        <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98"/>
    </row>
    <row r="44" spans="1:49" ht="60" customHeight="1" outlineLevel="1" x14ac:dyDescent="0.35">
      <c r="A44" s="94" t="s">
        <v>313</v>
      </c>
      <c r="B44" s="77">
        <v>5</v>
      </c>
      <c r="C44" s="79" t="s">
        <v>20</v>
      </c>
      <c r="D44" s="81" t="s">
        <v>2215</v>
      </c>
      <c r="E44" s="81" t="s">
        <v>20</v>
      </c>
      <c r="F44" s="77" t="s">
        <v>20</v>
      </c>
      <c r="G44" s="77" t="s">
        <v>20</v>
      </c>
      <c r="H44" s="77"/>
      <c r="I44" s="84" t="str">
        <f>IF(COUNTIF(J44:AW44,"&lt;&gt;")=0,"",SUMPRODUCT(((Recommendations[ImplStatus]="Implemented")+(Recommendations[ImplStatus]="Compensated"))*ISNUMBER(MATCH(Recommendations[Id],J44:AW44,0)))/COUNTIF(J44:AW44,"&lt;&gt;"))</f>
        <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97"/>
    </row>
    <row r="45" spans="1:49" ht="60" customHeight="1" x14ac:dyDescent="0.35">
      <c r="A45" s="95" t="s">
        <v>313</v>
      </c>
      <c r="B45" s="78" t="s">
        <v>2216</v>
      </c>
      <c r="C45" s="80" t="s">
        <v>2217</v>
      </c>
      <c r="D45" s="82" t="s">
        <v>2218</v>
      </c>
      <c r="E45" s="82" t="s">
        <v>2219</v>
      </c>
      <c r="F45" s="83" t="s">
        <v>2194</v>
      </c>
      <c r="G45" s="83" t="s">
        <v>2052</v>
      </c>
      <c r="H45" s="83">
        <v>1</v>
      </c>
      <c r="I45" s="85">
        <f>IF(COUNTIF(J45:AW45,"&lt;&gt;")=0,"",SUMPRODUCT(((Recommendations[ImplStatus]="Implemented")+(Recommendations[ImplStatus]="Compensated"))*ISNUMBER(MATCH(Recommendations[Id],J45:AW45,0)))/COUNTIF(J45:AW45,"&lt;&gt;"))</f>
        <v>0</v>
      </c>
      <c r="J45" s="87" t="s">
        <v>832</v>
      </c>
      <c r="K45" s="87" t="s">
        <v>1745</v>
      </c>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98"/>
    </row>
    <row r="46" spans="1:49" ht="60" customHeight="1" x14ac:dyDescent="0.35">
      <c r="A46" s="95" t="s">
        <v>313</v>
      </c>
      <c r="B46" s="78" t="s">
        <v>2220</v>
      </c>
      <c r="C46" s="80" t="s">
        <v>2221</v>
      </c>
      <c r="D46" s="82" t="s">
        <v>2222</v>
      </c>
      <c r="E46" s="82" t="s">
        <v>2223</v>
      </c>
      <c r="F46" s="83" t="s">
        <v>2194</v>
      </c>
      <c r="G46" s="83" t="s">
        <v>2094</v>
      </c>
      <c r="H46" s="83">
        <v>1</v>
      </c>
      <c r="I46" s="85">
        <f>IF(COUNTIF(J46:AW46,"&lt;&gt;")=0,"",SUMPRODUCT(((Recommendations[ImplStatus]="Implemented")+(Recommendations[ImplStatus]="Compensated"))*ISNUMBER(MATCH(Recommendations[Id],J46:AW46,0)))/COUNTIF(J46:AW46,"&lt;&gt;"))</f>
        <v>0</v>
      </c>
      <c r="J46" s="87" t="s">
        <v>15</v>
      </c>
      <c r="K46" s="87" t="s">
        <v>24</v>
      </c>
      <c r="L46" s="87" t="s">
        <v>28</v>
      </c>
      <c r="M46" s="87" t="s">
        <v>32</v>
      </c>
      <c r="N46" s="87" t="s">
        <v>37</v>
      </c>
      <c r="O46" s="87" t="s">
        <v>42</v>
      </c>
      <c r="P46" s="87" t="s">
        <v>46</v>
      </c>
      <c r="Q46" s="87" t="s">
        <v>50</v>
      </c>
      <c r="R46" s="87" t="s">
        <v>55</v>
      </c>
      <c r="S46" s="87" t="s">
        <v>788</v>
      </c>
      <c r="T46" s="87" t="s">
        <v>868</v>
      </c>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98"/>
    </row>
    <row r="47" spans="1:49" ht="60" customHeight="1" x14ac:dyDescent="0.35">
      <c r="A47" s="95" t="s">
        <v>313</v>
      </c>
      <c r="B47" s="78" t="s">
        <v>2224</v>
      </c>
      <c r="C47" s="80" t="s">
        <v>2225</v>
      </c>
      <c r="D47" s="82" t="s">
        <v>2226</v>
      </c>
      <c r="E47" s="82" t="s">
        <v>2227</v>
      </c>
      <c r="F47" s="83" t="s">
        <v>2194</v>
      </c>
      <c r="G47" s="83" t="s">
        <v>2094</v>
      </c>
      <c r="H47" s="83">
        <v>1</v>
      </c>
      <c r="I47" s="85">
        <f>IF(COUNTIF(J47:AW47,"&lt;&gt;")=0,"",SUMPRODUCT(((Recommendations[ImplStatus]="Implemented")+(Recommendations[ImplStatus]="Compensated"))*ISNUMBER(MATCH(Recommendations[Id],J47:AW47,0)))/COUNTIF(J47:AW47,"&lt;&gt;"))</f>
        <v>0</v>
      </c>
      <c r="J47" s="87" t="s">
        <v>754</v>
      </c>
      <c r="K47" s="87" t="s">
        <v>760</v>
      </c>
      <c r="L47" s="87" t="s">
        <v>765</v>
      </c>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98"/>
    </row>
    <row r="48" spans="1:49" ht="60" customHeight="1" x14ac:dyDescent="0.35">
      <c r="A48" s="95" t="s">
        <v>313</v>
      </c>
      <c r="B48" s="78" t="s">
        <v>2228</v>
      </c>
      <c r="C48" s="80" t="s">
        <v>2229</v>
      </c>
      <c r="D48" s="82" t="s">
        <v>2230</v>
      </c>
      <c r="E48" s="82" t="s">
        <v>2231</v>
      </c>
      <c r="F48" s="83" t="s">
        <v>2194</v>
      </c>
      <c r="G48" s="83" t="s">
        <v>2094</v>
      </c>
      <c r="H48" s="83">
        <v>1</v>
      </c>
      <c r="I48" s="85">
        <f>IF(COUNTIF(J48:AW48,"&lt;&gt;")=0,"",SUMPRODUCT(((Recommendations[ImplStatus]="Implemented")+(Recommendations[ImplStatus]="Compensated"))*ISNUMBER(MATCH(Recommendations[Id],J48:AW48,0)))/COUNTIF(J48:AW48,"&lt;&gt;"))</f>
        <v>0</v>
      </c>
      <c r="J48" s="87" t="s">
        <v>170</v>
      </c>
      <c r="K48" s="87" t="s">
        <v>175</v>
      </c>
      <c r="L48" s="87" t="s">
        <v>180</v>
      </c>
      <c r="M48" s="87" t="s">
        <v>185</v>
      </c>
      <c r="N48" s="87" t="s">
        <v>190</v>
      </c>
      <c r="O48" s="87" t="s">
        <v>195</v>
      </c>
      <c r="P48" s="87" t="s">
        <v>200</v>
      </c>
      <c r="Q48" s="87" t="s">
        <v>205</v>
      </c>
      <c r="R48" s="87" t="s">
        <v>210</v>
      </c>
      <c r="S48" s="87" t="s">
        <v>216</v>
      </c>
      <c r="T48" s="87" t="s">
        <v>221</v>
      </c>
      <c r="U48" s="87" t="s">
        <v>225</v>
      </c>
      <c r="V48" s="87" t="s">
        <v>229</v>
      </c>
      <c r="W48" s="87" t="s">
        <v>233</v>
      </c>
      <c r="X48" s="87" t="s">
        <v>237</v>
      </c>
      <c r="Y48" s="87" t="s">
        <v>241</v>
      </c>
      <c r="Z48" s="87" t="s">
        <v>245</v>
      </c>
      <c r="AA48" s="87" t="s">
        <v>249</v>
      </c>
      <c r="AB48" s="87" t="s">
        <v>253</v>
      </c>
      <c r="AC48" s="87" t="s">
        <v>265</v>
      </c>
      <c r="AD48" s="87" t="s">
        <v>269</v>
      </c>
      <c r="AE48" s="87" t="s">
        <v>273</v>
      </c>
      <c r="AF48" s="87" t="s">
        <v>277</v>
      </c>
      <c r="AG48" s="87" t="s">
        <v>281</v>
      </c>
      <c r="AH48" s="87" t="s">
        <v>285</v>
      </c>
      <c r="AI48" s="87" t="s">
        <v>289</v>
      </c>
      <c r="AJ48" s="87" t="s">
        <v>293</v>
      </c>
      <c r="AK48" s="87" t="s">
        <v>297</v>
      </c>
      <c r="AL48" s="87" t="s">
        <v>301</v>
      </c>
      <c r="AM48" s="87" t="s">
        <v>305</v>
      </c>
      <c r="AN48" s="87" t="s">
        <v>471</v>
      </c>
      <c r="AO48" s="87" t="s">
        <v>676</v>
      </c>
      <c r="AP48" s="87" t="s">
        <v>686</v>
      </c>
      <c r="AQ48" s="87" t="s">
        <v>783</v>
      </c>
      <c r="AR48" s="87" t="s">
        <v>886</v>
      </c>
      <c r="AS48" s="87" t="s">
        <v>1676</v>
      </c>
      <c r="AT48" s="87" t="s">
        <v>1681</v>
      </c>
      <c r="AU48" s="87" t="s">
        <v>1687</v>
      </c>
      <c r="AV48" s="87" t="s">
        <v>1692</v>
      </c>
      <c r="AW48" s="98"/>
    </row>
    <row r="49" spans="1:49" ht="60" customHeight="1" x14ac:dyDescent="0.35">
      <c r="A49" s="95" t="s">
        <v>313</v>
      </c>
      <c r="B49" s="78" t="s">
        <v>2232</v>
      </c>
      <c r="C49" s="80" t="s">
        <v>2233</v>
      </c>
      <c r="D49" s="82" t="s">
        <v>2234</v>
      </c>
      <c r="E49" s="82" t="s">
        <v>2235</v>
      </c>
      <c r="F49" s="83" t="s">
        <v>2194</v>
      </c>
      <c r="G49" s="83" t="s">
        <v>2052</v>
      </c>
      <c r="H49" s="83">
        <v>2</v>
      </c>
      <c r="I49" s="85" t="str">
        <f>IF(COUNTIF(J49:AW49,"&lt;&gt;")=0,"",SUMPRODUCT(((Recommendations[ImplStatus]="Implemented")+(Recommendations[ImplStatus]="Compensated"))*ISNUMBER(MATCH(Recommendations[Id],J49:AW49,0)))/COUNTIF(J49:AW49,"&lt;&gt;"))</f>
        <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98"/>
    </row>
    <row r="50" spans="1:49" ht="60" customHeight="1" x14ac:dyDescent="0.35">
      <c r="A50" s="95" t="s">
        <v>313</v>
      </c>
      <c r="B50" s="78" t="s">
        <v>2236</v>
      </c>
      <c r="C50" s="80" t="s">
        <v>2237</v>
      </c>
      <c r="D50" s="82" t="s">
        <v>2238</v>
      </c>
      <c r="E50" s="82" t="s">
        <v>2239</v>
      </c>
      <c r="F50" s="83" t="s">
        <v>2194</v>
      </c>
      <c r="G50" s="83" t="s">
        <v>2110</v>
      </c>
      <c r="H50" s="83">
        <v>2</v>
      </c>
      <c r="I50" s="85" t="str">
        <f>IF(COUNTIF(J50:AW50,"&lt;&gt;")=0,"",SUMPRODUCT(((Recommendations[ImplStatus]="Implemented")+(Recommendations[ImplStatus]="Compensated"))*ISNUMBER(MATCH(Recommendations[Id],J50:AW50,0)))/COUNTIF(J50:AW50,"&lt;&gt;"))</f>
        <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98"/>
    </row>
    <row r="51" spans="1:49" ht="60" customHeight="1" outlineLevel="1" x14ac:dyDescent="0.35">
      <c r="A51" s="94" t="s">
        <v>2240</v>
      </c>
      <c r="B51" s="77">
        <v>6</v>
      </c>
      <c r="C51" s="79" t="s">
        <v>20</v>
      </c>
      <c r="D51" s="81" t="s">
        <v>2241</v>
      </c>
      <c r="E51" s="81" t="s">
        <v>20</v>
      </c>
      <c r="F51" s="77" t="s">
        <v>20</v>
      </c>
      <c r="G51" s="77" t="s">
        <v>20</v>
      </c>
      <c r="H51" s="77"/>
      <c r="I51" s="84" t="str">
        <f>IF(COUNTIF(J51:AW51,"&lt;&gt;")=0,"",SUMPRODUCT(((Recommendations[ImplStatus]="Implemented")+(Recommendations[ImplStatus]="Compensated"))*ISNUMBER(MATCH(Recommendations[Id],J51:AW51,0)))/COUNTIF(J51:AW51,"&lt;&gt;"))</f>
        <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97"/>
    </row>
    <row r="52" spans="1:49" ht="60" customHeight="1" x14ac:dyDescent="0.35">
      <c r="A52" s="95" t="s">
        <v>2240</v>
      </c>
      <c r="B52" s="78" t="s">
        <v>2242</v>
      </c>
      <c r="C52" s="80" t="s">
        <v>2243</v>
      </c>
      <c r="D52" s="82" t="s">
        <v>2244</v>
      </c>
      <c r="E52" s="82" t="s">
        <v>2245</v>
      </c>
      <c r="F52" s="83" t="s">
        <v>2169</v>
      </c>
      <c r="G52" s="83" t="s">
        <v>2110</v>
      </c>
      <c r="H52" s="83">
        <v>1</v>
      </c>
      <c r="I52" s="85" t="str">
        <f>IF(COUNTIF(J52:AW52,"&lt;&gt;")=0,"",SUMPRODUCT(((Recommendations[ImplStatus]="Implemented")+(Recommendations[ImplStatus]="Compensated"))*ISNUMBER(MATCH(Recommendations[Id],J52:AW52,0)))/COUNTIF(J52:AW52,"&lt;&gt;"))</f>
        <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98"/>
    </row>
    <row r="53" spans="1:49" ht="60" customHeight="1" x14ac:dyDescent="0.35">
      <c r="A53" s="95" t="s">
        <v>2240</v>
      </c>
      <c r="B53" s="78" t="s">
        <v>2246</v>
      </c>
      <c r="C53" s="80" t="s">
        <v>2247</v>
      </c>
      <c r="D53" s="82" t="s">
        <v>2248</v>
      </c>
      <c r="E53" s="82" t="s">
        <v>2249</v>
      </c>
      <c r="F53" s="83" t="s">
        <v>2169</v>
      </c>
      <c r="G53" s="83" t="s">
        <v>2110</v>
      </c>
      <c r="H53" s="83">
        <v>1</v>
      </c>
      <c r="I53" s="85" t="str">
        <f>IF(COUNTIF(J53:AW53,"&lt;&gt;")=0,"",SUMPRODUCT(((Recommendations[ImplStatus]="Implemented")+(Recommendations[ImplStatus]="Compensated"))*ISNUMBER(MATCH(Recommendations[Id],J53:AW53,0)))/COUNTIF(J53:AW53,"&lt;&gt;"))</f>
        <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98"/>
    </row>
    <row r="54" spans="1:49" ht="60" customHeight="1" x14ac:dyDescent="0.35">
      <c r="A54" s="95" t="s">
        <v>2240</v>
      </c>
      <c r="B54" s="78" t="s">
        <v>2250</v>
      </c>
      <c r="C54" s="80" t="s">
        <v>2251</v>
      </c>
      <c r="D54" s="82" t="s">
        <v>2252</v>
      </c>
      <c r="E54" s="82" t="s">
        <v>2253</v>
      </c>
      <c r="F54" s="83" t="s">
        <v>2194</v>
      </c>
      <c r="G54" s="83" t="s">
        <v>2094</v>
      </c>
      <c r="H54" s="83">
        <v>1</v>
      </c>
      <c r="I54" s="85">
        <f>IF(COUNTIF(J54:AW54,"&lt;&gt;")=0,"",SUMPRODUCT(((Recommendations[ImplStatus]="Implemented")+(Recommendations[ImplStatus]="Compensated"))*ISNUMBER(MATCH(Recommendations[Id],J54:AW54,0)))/COUNTIF(J54:AW54,"&lt;&gt;"))</f>
        <v>0</v>
      </c>
      <c r="J54" s="87" t="s">
        <v>855</v>
      </c>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98"/>
    </row>
    <row r="55" spans="1:49" ht="60" customHeight="1" x14ac:dyDescent="0.35">
      <c r="A55" s="95" t="s">
        <v>2240</v>
      </c>
      <c r="B55" s="78" t="s">
        <v>2254</v>
      </c>
      <c r="C55" s="80" t="s">
        <v>2255</v>
      </c>
      <c r="D55" s="82" t="s">
        <v>2256</v>
      </c>
      <c r="E55" s="82" t="s">
        <v>2257</v>
      </c>
      <c r="F55" s="83" t="s">
        <v>2194</v>
      </c>
      <c r="G55" s="83" t="s">
        <v>2094</v>
      </c>
      <c r="H55" s="83">
        <v>1</v>
      </c>
      <c r="I55" s="85" t="str">
        <f>IF(COUNTIF(J55:AW55,"&lt;&gt;")=0,"",SUMPRODUCT(((Recommendations[ImplStatus]="Implemented")+(Recommendations[ImplStatus]="Compensated"))*ISNUMBER(MATCH(Recommendations[Id],J55:AW55,0)))/COUNTIF(J55:AW55,"&lt;&gt;"))</f>
        <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98"/>
    </row>
    <row r="56" spans="1:49" ht="60" customHeight="1" x14ac:dyDescent="0.35">
      <c r="A56" s="95" t="s">
        <v>2240</v>
      </c>
      <c r="B56" s="78" t="s">
        <v>2258</v>
      </c>
      <c r="C56" s="80" t="s">
        <v>2259</v>
      </c>
      <c r="D56" s="82" t="s">
        <v>2260</v>
      </c>
      <c r="E56" s="82" t="s">
        <v>2261</v>
      </c>
      <c r="F56" s="83" t="s">
        <v>2194</v>
      </c>
      <c r="G56" s="83" t="s">
        <v>2094</v>
      </c>
      <c r="H56" s="83">
        <v>1</v>
      </c>
      <c r="I56" s="85" t="str">
        <f>IF(COUNTIF(J56:AW56,"&lt;&gt;")=0,"",SUMPRODUCT(((Recommendations[ImplStatus]="Implemented")+(Recommendations[ImplStatus]="Compensated"))*ISNUMBER(MATCH(Recommendations[Id],J56:AW56,0)))/COUNTIF(J56:AW56,"&lt;&gt;"))</f>
        <v/>
      </c>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98"/>
    </row>
    <row r="57" spans="1:49" ht="60" customHeight="1" x14ac:dyDescent="0.35">
      <c r="A57" s="95" t="s">
        <v>2240</v>
      </c>
      <c r="B57" s="78" t="s">
        <v>2262</v>
      </c>
      <c r="C57" s="80" t="s">
        <v>2263</v>
      </c>
      <c r="D57" s="82" t="s">
        <v>2264</v>
      </c>
      <c r="E57" s="82" t="s">
        <v>2265</v>
      </c>
      <c r="F57" s="83" t="s">
        <v>2077</v>
      </c>
      <c r="G57" s="83" t="s">
        <v>2052</v>
      </c>
      <c r="H57" s="83">
        <v>2</v>
      </c>
      <c r="I57" s="85" t="str">
        <f>IF(COUNTIF(J57:AW57,"&lt;&gt;")=0,"",SUMPRODUCT(((Recommendations[ImplStatus]="Implemented")+(Recommendations[ImplStatus]="Compensated"))*ISNUMBER(MATCH(Recommendations[Id],J57:AW57,0)))/COUNTIF(J57:AW57,"&lt;&gt;"))</f>
        <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98"/>
    </row>
    <row r="58" spans="1:49" ht="60" customHeight="1" x14ac:dyDescent="0.35">
      <c r="A58" s="95" t="s">
        <v>2240</v>
      </c>
      <c r="B58" s="78" t="s">
        <v>2266</v>
      </c>
      <c r="C58" s="80" t="s">
        <v>2267</v>
      </c>
      <c r="D58" s="82" t="s">
        <v>2268</v>
      </c>
      <c r="E58" s="82" t="s">
        <v>2269</v>
      </c>
      <c r="F58" s="83" t="s">
        <v>2194</v>
      </c>
      <c r="G58" s="83" t="s">
        <v>2094</v>
      </c>
      <c r="H58" s="83">
        <v>2</v>
      </c>
      <c r="I58" s="85" t="str">
        <f>IF(COUNTIF(J58:AW58,"&lt;&gt;")=0,"",SUMPRODUCT(((Recommendations[ImplStatus]="Implemented")+(Recommendations[ImplStatus]="Compensated"))*ISNUMBER(MATCH(Recommendations[Id],J58:AW58,0)))/COUNTIF(J58:AW58,"&lt;&gt;"))</f>
        <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98"/>
    </row>
    <row r="59" spans="1:49" ht="60" customHeight="1" x14ac:dyDescent="0.35">
      <c r="A59" s="95" t="s">
        <v>2240</v>
      </c>
      <c r="B59" s="78" t="s">
        <v>2270</v>
      </c>
      <c r="C59" s="80" t="s">
        <v>2271</v>
      </c>
      <c r="D59" s="82" t="s">
        <v>2272</v>
      </c>
      <c r="E59" s="82" t="s">
        <v>2273</v>
      </c>
      <c r="F59" s="83" t="s">
        <v>2194</v>
      </c>
      <c r="G59" s="83" t="s">
        <v>2110</v>
      </c>
      <c r="H59" s="83">
        <v>3</v>
      </c>
      <c r="I59" s="85" t="str">
        <f>IF(COUNTIF(J59:AW59,"&lt;&gt;")=0,"",SUMPRODUCT(((Recommendations[ImplStatus]="Implemented")+(Recommendations[ImplStatus]="Compensated"))*ISNUMBER(MATCH(Recommendations[Id],J59:AW59,0)))/COUNTIF(J59:AW59,"&lt;&gt;"))</f>
        <v/>
      </c>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98"/>
    </row>
    <row r="60" spans="1:49" ht="60" customHeight="1" outlineLevel="1" x14ac:dyDescent="0.35">
      <c r="A60" s="94" t="s">
        <v>2274</v>
      </c>
      <c r="B60" s="77">
        <v>7</v>
      </c>
      <c r="C60" s="79" t="s">
        <v>20</v>
      </c>
      <c r="D60" s="81" t="s">
        <v>2275</v>
      </c>
      <c r="E60" s="81" t="s">
        <v>20</v>
      </c>
      <c r="F60" s="77" t="s">
        <v>20</v>
      </c>
      <c r="G60" s="77" t="s">
        <v>20</v>
      </c>
      <c r="H60" s="77"/>
      <c r="I60" s="84" t="str">
        <f>IF(COUNTIF(J60:AW60,"&lt;&gt;")=0,"",SUMPRODUCT(((Recommendations[ImplStatus]="Implemented")+(Recommendations[ImplStatus]="Compensated"))*ISNUMBER(MATCH(Recommendations[Id],J60:AW60,0)))/COUNTIF(J60:AW60,"&lt;&gt;"))</f>
        <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97"/>
    </row>
    <row r="61" spans="1:49" ht="60" customHeight="1" x14ac:dyDescent="0.35">
      <c r="A61" s="95" t="s">
        <v>2274</v>
      </c>
      <c r="B61" s="78" t="s">
        <v>2276</v>
      </c>
      <c r="C61" s="80" t="s">
        <v>2277</v>
      </c>
      <c r="D61" s="82" t="s">
        <v>2278</v>
      </c>
      <c r="E61" s="82" t="s">
        <v>2279</v>
      </c>
      <c r="F61" s="83" t="s">
        <v>2169</v>
      </c>
      <c r="G61" s="83" t="s">
        <v>2110</v>
      </c>
      <c r="H61" s="83">
        <v>1</v>
      </c>
      <c r="I61" s="85" t="str">
        <f>IF(COUNTIF(J61:AW61,"&lt;&gt;")=0,"",SUMPRODUCT(((Recommendations[ImplStatus]="Implemented")+(Recommendations[ImplStatus]="Compensated"))*ISNUMBER(MATCH(Recommendations[Id],J61:AW61,0)))/COUNTIF(J61:AW61,"&lt;&gt;"))</f>
        <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98"/>
    </row>
    <row r="62" spans="1:49" ht="60" customHeight="1" x14ac:dyDescent="0.35">
      <c r="A62" s="95" t="s">
        <v>2274</v>
      </c>
      <c r="B62" s="78" t="s">
        <v>2280</v>
      </c>
      <c r="C62" s="80" t="s">
        <v>2281</v>
      </c>
      <c r="D62" s="82" t="s">
        <v>2282</v>
      </c>
      <c r="E62" s="82" t="s">
        <v>2283</v>
      </c>
      <c r="F62" s="83" t="s">
        <v>2169</v>
      </c>
      <c r="G62" s="83" t="s">
        <v>2110</v>
      </c>
      <c r="H62" s="83">
        <v>1</v>
      </c>
      <c r="I62" s="85" t="str">
        <f>IF(COUNTIF(J62:AW62,"&lt;&gt;")=0,"",SUMPRODUCT(((Recommendations[ImplStatus]="Implemented")+(Recommendations[ImplStatus]="Compensated"))*ISNUMBER(MATCH(Recommendations[Id],J62:AW62,0)))/COUNTIF(J62:AW62,"&lt;&gt;"))</f>
        <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98"/>
    </row>
    <row r="63" spans="1:49" ht="60" customHeight="1" x14ac:dyDescent="0.35">
      <c r="A63" s="95" t="s">
        <v>2274</v>
      </c>
      <c r="B63" s="78" t="s">
        <v>2284</v>
      </c>
      <c r="C63" s="80" t="s">
        <v>2285</v>
      </c>
      <c r="D63" s="82" t="s">
        <v>2286</v>
      </c>
      <c r="E63" s="82" t="s">
        <v>2287</v>
      </c>
      <c r="F63" s="83" t="s">
        <v>2077</v>
      </c>
      <c r="G63" s="83" t="s">
        <v>2094</v>
      </c>
      <c r="H63" s="83">
        <v>1</v>
      </c>
      <c r="I63" s="85" t="str">
        <f>IF(COUNTIF(J63:AW63,"&lt;&gt;")=0,"",SUMPRODUCT(((Recommendations[ImplStatus]="Implemented")+(Recommendations[ImplStatus]="Compensated"))*ISNUMBER(MATCH(Recommendations[Id],J63:AW63,0)))/COUNTIF(J63:AW63,"&lt;&gt;"))</f>
        <v/>
      </c>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98"/>
    </row>
    <row r="64" spans="1:49" ht="60" customHeight="1" x14ac:dyDescent="0.35">
      <c r="A64" s="95" t="s">
        <v>2274</v>
      </c>
      <c r="B64" s="78" t="s">
        <v>2288</v>
      </c>
      <c r="C64" s="80" t="s">
        <v>2289</v>
      </c>
      <c r="D64" s="82" t="s">
        <v>2290</v>
      </c>
      <c r="E64" s="82" t="s">
        <v>2291</v>
      </c>
      <c r="F64" s="83" t="s">
        <v>2077</v>
      </c>
      <c r="G64" s="83" t="s">
        <v>2094</v>
      </c>
      <c r="H64" s="83">
        <v>1</v>
      </c>
      <c r="I64" s="85" t="str">
        <f>IF(COUNTIF(J64:AW64,"&lt;&gt;")=0,"",SUMPRODUCT(((Recommendations[ImplStatus]="Implemented")+(Recommendations[ImplStatus]="Compensated"))*ISNUMBER(MATCH(Recommendations[Id],J64:AW64,0)))/COUNTIF(J64:AW64,"&lt;&gt;"))</f>
        <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98"/>
    </row>
    <row r="65" spans="1:49" ht="60" customHeight="1" x14ac:dyDescent="0.35">
      <c r="A65" s="95" t="s">
        <v>2274</v>
      </c>
      <c r="B65" s="78" t="s">
        <v>2292</v>
      </c>
      <c r="C65" s="80" t="s">
        <v>2293</v>
      </c>
      <c r="D65" s="82" t="s">
        <v>2294</v>
      </c>
      <c r="E65" s="82" t="s">
        <v>2295</v>
      </c>
      <c r="F65" s="83" t="s">
        <v>2077</v>
      </c>
      <c r="G65" s="83" t="s">
        <v>2052</v>
      </c>
      <c r="H65" s="83">
        <v>2</v>
      </c>
      <c r="I65" s="85" t="str">
        <f>IF(COUNTIF(J65:AW65,"&lt;&gt;")=0,"",SUMPRODUCT(((Recommendations[ImplStatus]="Implemented")+(Recommendations[ImplStatus]="Compensated"))*ISNUMBER(MATCH(Recommendations[Id],J65:AW65,0)))/COUNTIF(J65:AW65,"&lt;&gt;"))</f>
        <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98"/>
    </row>
    <row r="66" spans="1:49" ht="60" customHeight="1" x14ac:dyDescent="0.35">
      <c r="A66" s="95" t="s">
        <v>2274</v>
      </c>
      <c r="B66" s="78" t="s">
        <v>2296</v>
      </c>
      <c r="C66" s="80" t="s">
        <v>2297</v>
      </c>
      <c r="D66" s="82" t="s">
        <v>2298</v>
      </c>
      <c r="E66" s="82" t="s">
        <v>2299</v>
      </c>
      <c r="F66" s="83" t="s">
        <v>2077</v>
      </c>
      <c r="G66" s="83" t="s">
        <v>2052</v>
      </c>
      <c r="H66" s="83">
        <v>2</v>
      </c>
      <c r="I66" s="85" t="str">
        <f>IF(COUNTIF(J66:AW66,"&lt;&gt;")=0,"",SUMPRODUCT(((Recommendations[ImplStatus]="Implemented")+(Recommendations[ImplStatus]="Compensated"))*ISNUMBER(MATCH(Recommendations[Id],J66:AW66,0)))/COUNTIF(J66:AW66,"&lt;&gt;"))</f>
        <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98"/>
    </row>
    <row r="67" spans="1:49" ht="60" customHeight="1" x14ac:dyDescent="0.35">
      <c r="A67" s="95" t="s">
        <v>2274</v>
      </c>
      <c r="B67" s="78" t="s">
        <v>2300</v>
      </c>
      <c r="C67" s="80" t="s">
        <v>2301</v>
      </c>
      <c r="D67" s="82" t="s">
        <v>2302</v>
      </c>
      <c r="E67" s="82" t="s">
        <v>2303</v>
      </c>
      <c r="F67" s="83" t="s">
        <v>2077</v>
      </c>
      <c r="G67" s="83" t="s">
        <v>2057</v>
      </c>
      <c r="H67" s="83">
        <v>2</v>
      </c>
      <c r="I67" s="85" t="str">
        <f>IF(COUNTIF(J67:AW67,"&lt;&gt;")=0,"",SUMPRODUCT(((Recommendations[ImplStatus]="Implemented")+(Recommendations[ImplStatus]="Compensated"))*ISNUMBER(MATCH(Recommendations[Id],J67:AW67,0)))/COUNTIF(J67:AW67,"&lt;&gt;"))</f>
        <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98"/>
    </row>
    <row r="68" spans="1:49" ht="60" customHeight="1" outlineLevel="1" x14ac:dyDescent="0.35">
      <c r="A68" s="94" t="s">
        <v>2304</v>
      </c>
      <c r="B68" s="77">
        <v>8</v>
      </c>
      <c r="C68" s="79" t="s">
        <v>20</v>
      </c>
      <c r="D68" s="81" t="s">
        <v>2305</v>
      </c>
      <c r="E68" s="81" t="s">
        <v>20</v>
      </c>
      <c r="F68" s="77" t="s">
        <v>20</v>
      </c>
      <c r="G68" s="77" t="s">
        <v>20</v>
      </c>
      <c r="H68" s="77"/>
      <c r="I68" s="84" t="str">
        <f>IF(COUNTIF(J68:AW68,"&lt;&gt;")=0,"",SUMPRODUCT(((Recommendations[ImplStatus]="Implemented")+(Recommendations[ImplStatus]="Compensated"))*ISNUMBER(MATCH(Recommendations[Id],J68:AW68,0)))/COUNTIF(J68:AW68,"&lt;&gt;"))</f>
        <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97"/>
    </row>
    <row r="69" spans="1:49" ht="60" customHeight="1" x14ac:dyDescent="0.35">
      <c r="A69" s="95" t="s">
        <v>2304</v>
      </c>
      <c r="B69" s="78" t="s">
        <v>2306</v>
      </c>
      <c r="C69" s="80" t="s">
        <v>2307</v>
      </c>
      <c r="D69" s="82" t="s">
        <v>2308</v>
      </c>
      <c r="E69" s="82" t="s">
        <v>2309</v>
      </c>
      <c r="F69" s="83" t="s">
        <v>2169</v>
      </c>
      <c r="G69" s="83" t="s">
        <v>2110</v>
      </c>
      <c r="H69" s="83">
        <v>1</v>
      </c>
      <c r="I69" s="85">
        <f>IF(COUNTIF(J69:AW69,"&lt;&gt;")=0,"",SUMPRODUCT(((Recommendations[ImplStatus]="Implemented")+(Recommendations[ImplStatus]="Compensated"))*ISNUMBER(MATCH(Recommendations[Id],J69:AW69,0)))/COUNTIF(J69:AW69,"&lt;&gt;"))</f>
        <v>0</v>
      </c>
      <c r="J69" s="87" t="s">
        <v>60</v>
      </c>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98"/>
    </row>
    <row r="70" spans="1:49" ht="60" customHeight="1" x14ac:dyDescent="0.35">
      <c r="A70" s="95" t="s">
        <v>2304</v>
      </c>
      <c r="B70" s="78" t="s">
        <v>2310</v>
      </c>
      <c r="C70" s="80" t="s">
        <v>2311</v>
      </c>
      <c r="D70" s="82" t="s">
        <v>2312</v>
      </c>
      <c r="E70" s="82" t="s">
        <v>2313</v>
      </c>
      <c r="F70" s="83" t="s">
        <v>2109</v>
      </c>
      <c r="G70" s="83" t="s">
        <v>2062</v>
      </c>
      <c r="H70" s="83">
        <v>1</v>
      </c>
      <c r="I70" s="85">
        <f>IF(COUNTIF(J70:AW70,"&lt;&gt;")=0,"",SUMPRODUCT(((Recommendations[ImplStatus]="Implemented")+(Recommendations[ImplStatus]="Compensated"))*ISNUMBER(MATCH(Recommendations[Id],J70:AW70,0)))/COUNTIF(J70:AW70,"&lt;&gt;"))</f>
        <v>0</v>
      </c>
      <c r="J70" s="87" t="s">
        <v>310</v>
      </c>
      <c r="K70" s="87" t="s">
        <v>314</v>
      </c>
      <c r="L70" s="87" t="s">
        <v>317</v>
      </c>
      <c r="M70" s="87" t="s">
        <v>321</v>
      </c>
      <c r="N70" s="87" t="s">
        <v>324</v>
      </c>
      <c r="O70" s="87" t="s">
        <v>328</v>
      </c>
      <c r="P70" s="87" t="s">
        <v>331</v>
      </c>
      <c r="Q70" s="87" t="s">
        <v>334</v>
      </c>
      <c r="R70" s="87" t="s">
        <v>337</v>
      </c>
      <c r="S70" s="87" t="s">
        <v>340</v>
      </c>
      <c r="T70" s="87" t="s">
        <v>344</v>
      </c>
      <c r="U70" s="87" t="s">
        <v>347</v>
      </c>
      <c r="V70" s="87" t="s">
        <v>350</v>
      </c>
      <c r="W70" s="87" t="s">
        <v>353</v>
      </c>
      <c r="X70" s="87" t="s">
        <v>357</v>
      </c>
      <c r="Y70" s="87" t="s">
        <v>360</v>
      </c>
      <c r="Z70" s="87" t="s">
        <v>363</v>
      </c>
      <c r="AA70" s="87" t="s">
        <v>366</v>
      </c>
      <c r="AB70" s="87" t="s">
        <v>370</v>
      </c>
      <c r="AC70" s="87" t="s">
        <v>374</v>
      </c>
      <c r="AD70" s="87" t="s">
        <v>377</v>
      </c>
      <c r="AE70" s="87" t="s">
        <v>380</v>
      </c>
      <c r="AF70" s="87" t="s">
        <v>383</v>
      </c>
      <c r="AG70" s="87" t="s">
        <v>402</v>
      </c>
      <c r="AH70" s="87" t="s">
        <v>405</v>
      </c>
      <c r="AI70" s="87" t="s">
        <v>424</v>
      </c>
      <c r="AJ70" s="87" t="s">
        <v>427</v>
      </c>
      <c r="AK70" s="87" t="s">
        <v>452</v>
      </c>
      <c r="AL70" s="87" t="s">
        <v>455</v>
      </c>
      <c r="AM70" s="87" t="s">
        <v>547</v>
      </c>
      <c r="AN70" s="87" t="s">
        <v>553</v>
      </c>
      <c r="AO70" s="87" t="s">
        <v>595</v>
      </c>
      <c r="AP70" s="87" t="s">
        <v>600</v>
      </c>
      <c r="AQ70" s="87"/>
      <c r="AR70" s="87"/>
      <c r="AS70" s="87"/>
      <c r="AT70" s="87"/>
      <c r="AU70" s="87"/>
      <c r="AV70" s="87"/>
      <c r="AW70" s="98"/>
    </row>
    <row r="71" spans="1:49" ht="60" customHeight="1" x14ac:dyDescent="0.35">
      <c r="A71" s="95" t="s">
        <v>2304</v>
      </c>
      <c r="B71" s="78" t="s">
        <v>2314</v>
      </c>
      <c r="C71" s="80" t="s">
        <v>2315</v>
      </c>
      <c r="D71" s="82" t="s">
        <v>2316</v>
      </c>
      <c r="E71" s="82" t="s">
        <v>2317</v>
      </c>
      <c r="F71" s="83" t="s">
        <v>2109</v>
      </c>
      <c r="G71" s="83" t="s">
        <v>2094</v>
      </c>
      <c r="H71" s="83">
        <v>1</v>
      </c>
      <c r="I71" s="85">
        <f>IF(COUNTIF(J71:AW71,"&lt;&gt;")=0,"",SUMPRODUCT(((Recommendations[ImplStatus]="Implemented")+(Recommendations[ImplStatus]="Compensated"))*ISNUMBER(MATCH(Recommendations[Id],J71:AW71,0)))/COUNTIF(J71:AW71,"&lt;&gt;"))</f>
        <v>0</v>
      </c>
      <c r="J71" s="87" t="s">
        <v>399</v>
      </c>
      <c r="K71" s="87" t="s">
        <v>421</v>
      </c>
      <c r="L71" s="87" t="s">
        <v>449</v>
      </c>
      <c r="M71" s="87" t="s">
        <v>892</v>
      </c>
      <c r="N71" s="87" t="s">
        <v>898</v>
      </c>
      <c r="O71" s="87" t="s">
        <v>904</v>
      </c>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98"/>
    </row>
    <row r="72" spans="1:49" ht="60" customHeight="1" x14ac:dyDescent="0.35">
      <c r="A72" s="95" t="s">
        <v>2304</v>
      </c>
      <c r="B72" s="78" t="s">
        <v>2318</v>
      </c>
      <c r="C72" s="80" t="s">
        <v>2319</v>
      </c>
      <c r="D72" s="82" t="s">
        <v>2320</v>
      </c>
      <c r="E72" s="82" t="s">
        <v>2321</v>
      </c>
      <c r="F72" s="83" t="s">
        <v>2322</v>
      </c>
      <c r="G72" s="83" t="s">
        <v>2094</v>
      </c>
      <c r="H72" s="83">
        <v>2</v>
      </c>
      <c r="I72" s="85" t="str">
        <f>IF(COUNTIF(J72:AW72,"&lt;&gt;")=0,"",SUMPRODUCT(((Recommendations[ImplStatus]="Implemented")+(Recommendations[ImplStatus]="Compensated"))*ISNUMBER(MATCH(Recommendations[Id],J72:AW72,0)))/COUNTIF(J72:AW72,"&lt;&gt;"))</f>
        <v/>
      </c>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98"/>
    </row>
    <row r="73" spans="1:49" ht="60" customHeight="1" x14ac:dyDescent="0.35">
      <c r="A73" s="95" t="s">
        <v>2304</v>
      </c>
      <c r="B73" s="78" t="s">
        <v>2323</v>
      </c>
      <c r="C73" s="80" t="s">
        <v>2324</v>
      </c>
      <c r="D73" s="82" t="s">
        <v>2325</v>
      </c>
      <c r="E73" s="82" t="s">
        <v>2326</v>
      </c>
      <c r="F73" s="83" t="s">
        <v>2109</v>
      </c>
      <c r="G73" s="83" t="s">
        <v>2062</v>
      </c>
      <c r="H73" s="83">
        <v>2</v>
      </c>
      <c r="I73" s="85">
        <f>IF(COUNTIF(J73:AW73,"&lt;&gt;")=0,"",SUMPRODUCT(((Recommendations[ImplStatus]="Implemented")+(Recommendations[ImplStatus]="Compensated"))*ISNUMBER(MATCH(Recommendations[Id],J73:AW73,0)))/COUNTIF(J73:AW73,"&lt;&gt;"))</f>
        <v>0</v>
      </c>
      <c r="J73" s="87" t="s">
        <v>310</v>
      </c>
      <c r="K73" s="87" t="s">
        <v>328</v>
      </c>
      <c r="L73" s="87" t="s">
        <v>334</v>
      </c>
      <c r="M73" s="87" t="s">
        <v>340</v>
      </c>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98"/>
    </row>
    <row r="74" spans="1:49" ht="60" customHeight="1" x14ac:dyDescent="0.35">
      <c r="A74" s="95" t="s">
        <v>2304</v>
      </c>
      <c r="B74" s="78" t="s">
        <v>2327</v>
      </c>
      <c r="C74" s="80" t="s">
        <v>2328</v>
      </c>
      <c r="D74" s="82" t="s">
        <v>2329</v>
      </c>
      <c r="E74" s="82" t="s">
        <v>2330</v>
      </c>
      <c r="F74" s="83" t="s">
        <v>2109</v>
      </c>
      <c r="G74" s="83" t="s">
        <v>2062</v>
      </c>
      <c r="H74" s="83">
        <v>2</v>
      </c>
      <c r="I74" s="85" t="str">
        <f>IF(COUNTIF(J74:AW74,"&lt;&gt;")=0,"",SUMPRODUCT(((Recommendations[ImplStatus]="Implemented")+(Recommendations[ImplStatus]="Compensated"))*ISNUMBER(MATCH(Recommendations[Id],J74:AW74,0)))/COUNTIF(J74:AW74,"&lt;&gt;"))</f>
        <v/>
      </c>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98"/>
    </row>
    <row r="75" spans="1:49" ht="60" customHeight="1" x14ac:dyDescent="0.35">
      <c r="A75" s="95" t="s">
        <v>2304</v>
      </c>
      <c r="B75" s="78" t="s">
        <v>2331</v>
      </c>
      <c r="C75" s="80" t="s">
        <v>2332</v>
      </c>
      <c r="D75" s="82" t="s">
        <v>2333</v>
      </c>
      <c r="E75" s="82" t="s">
        <v>2334</v>
      </c>
      <c r="F75" s="83" t="s">
        <v>2109</v>
      </c>
      <c r="G75" s="83" t="s">
        <v>2062</v>
      </c>
      <c r="H75" s="83">
        <v>2</v>
      </c>
      <c r="I75" s="85" t="str">
        <f>IF(COUNTIF(J75:AW75,"&lt;&gt;")=0,"",SUMPRODUCT(((Recommendations[ImplStatus]="Implemented")+(Recommendations[ImplStatus]="Compensated"))*ISNUMBER(MATCH(Recommendations[Id],J75:AW75,0)))/COUNTIF(J75:AW75,"&lt;&gt;"))</f>
        <v/>
      </c>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98"/>
    </row>
    <row r="76" spans="1:49" ht="60" customHeight="1" x14ac:dyDescent="0.35">
      <c r="A76" s="95" t="s">
        <v>2304</v>
      </c>
      <c r="B76" s="78" t="s">
        <v>2335</v>
      </c>
      <c r="C76" s="80" t="s">
        <v>2336</v>
      </c>
      <c r="D76" s="82" t="s">
        <v>2337</v>
      </c>
      <c r="E76" s="82" t="s">
        <v>2338</v>
      </c>
      <c r="F76" s="83" t="s">
        <v>2109</v>
      </c>
      <c r="G76" s="83" t="s">
        <v>2062</v>
      </c>
      <c r="H76" s="83">
        <v>2</v>
      </c>
      <c r="I76" s="85">
        <f>IF(COUNTIF(J76:AW76,"&lt;&gt;")=0,"",SUMPRODUCT(((Recommendations[ImplStatus]="Implemented")+(Recommendations[ImplStatus]="Compensated"))*ISNUMBER(MATCH(Recommendations[Id],J76:AW76,0)))/COUNTIF(J76:AW76,"&lt;&gt;"))</f>
        <v>0</v>
      </c>
      <c r="J76" s="87" t="s">
        <v>324</v>
      </c>
      <c r="K76" s="87" t="s">
        <v>1698</v>
      </c>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98"/>
    </row>
    <row r="77" spans="1:49" ht="60" customHeight="1" x14ac:dyDescent="0.35">
      <c r="A77" s="95" t="s">
        <v>2304</v>
      </c>
      <c r="B77" s="78" t="s">
        <v>2339</v>
      </c>
      <c r="C77" s="80" t="s">
        <v>2340</v>
      </c>
      <c r="D77" s="82" t="s">
        <v>2341</v>
      </c>
      <c r="E77" s="82" t="s">
        <v>2342</v>
      </c>
      <c r="F77" s="83" t="s">
        <v>2109</v>
      </c>
      <c r="G77" s="83" t="s">
        <v>2062</v>
      </c>
      <c r="H77" s="83">
        <v>2</v>
      </c>
      <c r="I77" s="85" t="str">
        <f>IF(COUNTIF(J77:AW77,"&lt;&gt;")=0,"",SUMPRODUCT(((Recommendations[ImplStatus]="Implemented")+(Recommendations[ImplStatus]="Compensated"))*ISNUMBER(MATCH(Recommendations[Id],J77:AW77,0)))/COUNTIF(J77:AW77,"&lt;&gt;"))</f>
        <v/>
      </c>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98"/>
    </row>
    <row r="78" spans="1:49" ht="60" customHeight="1" x14ac:dyDescent="0.35">
      <c r="A78" s="95" t="s">
        <v>2304</v>
      </c>
      <c r="B78" s="78" t="s">
        <v>2343</v>
      </c>
      <c r="C78" s="80" t="s">
        <v>2344</v>
      </c>
      <c r="D78" s="82" t="s">
        <v>2345</v>
      </c>
      <c r="E78" s="82" t="s">
        <v>2346</v>
      </c>
      <c r="F78" s="83" t="s">
        <v>2109</v>
      </c>
      <c r="G78" s="83" t="s">
        <v>2094</v>
      </c>
      <c r="H78" s="83">
        <v>2</v>
      </c>
      <c r="I78" s="85" t="str">
        <f>IF(COUNTIF(J78:AW78,"&lt;&gt;")=0,"",SUMPRODUCT(((Recommendations[ImplStatus]="Implemented")+(Recommendations[ImplStatus]="Compensated"))*ISNUMBER(MATCH(Recommendations[Id],J78:AW78,0)))/COUNTIF(J78:AW78,"&lt;&gt;"))</f>
        <v/>
      </c>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98"/>
    </row>
    <row r="79" spans="1:49" ht="60" customHeight="1" x14ac:dyDescent="0.35">
      <c r="A79" s="95" t="s">
        <v>2304</v>
      </c>
      <c r="B79" s="78" t="s">
        <v>2347</v>
      </c>
      <c r="C79" s="80" t="s">
        <v>2348</v>
      </c>
      <c r="D79" s="82" t="s">
        <v>2349</v>
      </c>
      <c r="E79" s="82" t="s">
        <v>2350</v>
      </c>
      <c r="F79" s="83" t="s">
        <v>2109</v>
      </c>
      <c r="G79" s="83" t="s">
        <v>2062</v>
      </c>
      <c r="H79" s="83">
        <v>2</v>
      </c>
      <c r="I79" s="85" t="str">
        <f>IF(COUNTIF(J79:AW79,"&lt;&gt;")=0,"",SUMPRODUCT(((Recommendations[ImplStatus]="Implemented")+(Recommendations[ImplStatus]="Compensated"))*ISNUMBER(MATCH(Recommendations[Id],J79:AW79,0)))/COUNTIF(J79:AW79,"&lt;&gt;"))</f>
        <v/>
      </c>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98"/>
    </row>
    <row r="80" spans="1:49" ht="60" customHeight="1" x14ac:dyDescent="0.35">
      <c r="A80" s="95" t="s">
        <v>2304</v>
      </c>
      <c r="B80" s="78" t="s">
        <v>2351</v>
      </c>
      <c r="C80" s="80" t="s">
        <v>2352</v>
      </c>
      <c r="D80" s="82" t="s">
        <v>2353</v>
      </c>
      <c r="E80" s="82" t="s">
        <v>2354</v>
      </c>
      <c r="F80" s="83" t="s">
        <v>2109</v>
      </c>
      <c r="G80" s="83" t="s">
        <v>2062</v>
      </c>
      <c r="H80" s="83">
        <v>3</v>
      </c>
      <c r="I80" s="85" t="str">
        <f>IF(COUNTIF(J80:AW80,"&lt;&gt;")=0,"",SUMPRODUCT(((Recommendations[ImplStatus]="Implemented")+(Recommendations[ImplStatus]="Compensated"))*ISNUMBER(MATCH(Recommendations[Id],J80:AW80,0)))/COUNTIF(J80:AW80,"&lt;&gt;"))</f>
        <v/>
      </c>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98"/>
    </row>
    <row r="81" spans="1:49" ht="60" customHeight="1" outlineLevel="1" x14ac:dyDescent="0.35">
      <c r="A81" s="94" t="s">
        <v>2355</v>
      </c>
      <c r="B81" s="77">
        <v>9</v>
      </c>
      <c r="C81" s="79" t="s">
        <v>20</v>
      </c>
      <c r="D81" s="81" t="s">
        <v>2356</v>
      </c>
      <c r="E81" s="81" t="s">
        <v>20</v>
      </c>
      <c r="F81" s="77" t="s">
        <v>20</v>
      </c>
      <c r="G81" s="77" t="s">
        <v>20</v>
      </c>
      <c r="H81" s="77"/>
      <c r="I81" s="84" t="str">
        <f>IF(COUNTIF(J81:AW81,"&lt;&gt;")=0,"",SUMPRODUCT(((Recommendations[ImplStatus]="Implemented")+(Recommendations[ImplStatus]="Compensated"))*ISNUMBER(MATCH(Recommendations[Id],J81:AW81,0)))/COUNTIF(J81:AW81,"&lt;&gt;"))</f>
        <v/>
      </c>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97"/>
    </row>
    <row r="82" spans="1:49" ht="60" customHeight="1" x14ac:dyDescent="0.35">
      <c r="A82" s="95" t="s">
        <v>2355</v>
      </c>
      <c r="B82" s="78" t="s">
        <v>2357</v>
      </c>
      <c r="C82" s="80" t="s">
        <v>2358</v>
      </c>
      <c r="D82" s="82" t="s">
        <v>2359</v>
      </c>
      <c r="E82" s="82" t="s">
        <v>2360</v>
      </c>
      <c r="F82" s="83" t="s">
        <v>2077</v>
      </c>
      <c r="G82" s="83" t="s">
        <v>2094</v>
      </c>
      <c r="H82" s="83">
        <v>1</v>
      </c>
      <c r="I82" s="85" t="str">
        <f>IF(COUNTIF(J82:AW82,"&lt;&gt;")=0,"",SUMPRODUCT(((Recommendations[ImplStatus]="Implemented")+(Recommendations[ImplStatus]="Compensated"))*ISNUMBER(MATCH(Recommendations[Id],J82:AW82,0)))/COUNTIF(J82:AW82,"&lt;&gt;"))</f>
        <v/>
      </c>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98"/>
    </row>
    <row r="83" spans="1:49" ht="60" customHeight="1" x14ac:dyDescent="0.35">
      <c r="A83" s="95" t="s">
        <v>2355</v>
      </c>
      <c r="B83" s="78" t="s">
        <v>2361</v>
      </c>
      <c r="C83" s="80" t="s">
        <v>2362</v>
      </c>
      <c r="D83" s="82" t="s">
        <v>2363</v>
      </c>
      <c r="E83" s="82" t="s">
        <v>2364</v>
      </c>
      <c r="F83" s="83" t="s">
        <v>2051</v>
      </c>
      <c r="G83" s="83" t="s">
        <v>2094</v>
      </c>
      <c r="H83" s="83">
        <v>1</v>
      </c>
      <c r="I83" s="85" t="str">
        <f>IF(COUNTIF(J83:AW83,"&lt;&gt;")=0,"",SUMPRODUCT(((Recommendations[ImplStatus]="Implemented")+(Recommendations[ImplStatus]="Compensated"))*ISNUMBER(MATCH(Recommendations[Id],J83:AW83,0)))/COUNTIF(J83:AW83,"&lt;&gt;"))</f>
        <v/>
      </c>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98"/>
    </row>
    <row r="84" spans="1:49" ht="60" customHeight="1" x14ac:dyDescent="0.35">
      <c r="A84" s="95" t="s">
        <v>2355</v>
      </c>
      <c r="B84" s="78" t="s">
        <v>2365</v>
      </c>
      <c r="C84" s="80" t="s">
        <v>2366</v>
      </c>
      <c r="D84" s="82" t="s">
        <v>2367</v>
      </c>
      <c r="E84" s="82" t="s">
        <v>2368</v>
      </c>
      <c r="F84" s="83" t="s">
        <v>2322</v>
      </c>
      <c r="G84" s="83" t="s">
        <v>2094</v>
      </c>
      <c r="H84" s="83">
        <v>2</v>
      </c>
      <c r="I84" s="85">
        <f>IF(COUNTIF(J84:AW84,"&lt;&gt;")=0,"",SUMPRODUCT(((Recommendations[ImplStatus]="Implemented")+(Recommendations[ImplStatus]="Compensated"))*ISNUMBER(MATCH(Recommendations[Id],J84:AW84,0)))/COUNTIF(J84:AW84,"&lt;&gt;"))</f>
        <v>0</v>
      </c>
      <c r="J84" s="87" t="s">
        <v>541</v>
      </c>
      <c r="K84" s="87" t="s">
        <v>723</v>
      </c>
      <c r="L84" s="87" t="s">
        <v>729</v>
      </c>
      <c r="M84" s="87" t="s">
        <v>838</v>
      </c>
      <c r="N84" s="87" t="s">
        <v>843</v>
      </c>
      <c r="O84" s="87" t="s">
        <v>848</v>
      </c>
      <c r="P84" s="87" t="s">
        <v>908</v>
      </c>
      <c r="Q84" s="87" t="s">
        <v>913</v>
      </c>
      <c r="R84" s="87" t="s">
        <v>919</v>
      </c>
      <c r="S84" s="87" t="s">
        <v>925</v>
      </c>
      <c r="T84" s="87" t="s">
        <v>931</v>
      </c>
      <c r="U84" s="87" t="s">
        <v>936</v>
      </c>
      <c r="V84" s="87" t="s">
        <v>941</v>
      </c>
      <c r="W84" s="87" t="s">
        <v>947</v>
      </c>
      <c r="X84" s="87" t="s">
        <v>952</v>
      </c>
      <c r="Y84" s="87" t="s">
        <v>957</v>
      </c>
      <c r="Z84" s="87" t="s">
        <v>962</v>
      </c>
      <c r="AA84" s="87" t="s">
        <v>968</v>
      </c>
      <c r="AB84" s="87" t="s">
        <v>975</v>
      </c>
      <c r="AC84" s="87" t="s">
        <v>981</v>
      </c>
      <c r="AD84" s="87" t="s">
        <v>986</v>
      </c>
      <c r="AE84" s="87" t="s">
        <v>992</v>
      </c>
      <c r="AF84" s="87" t="s">
        <v>997</v>
      </c>
      <c r="AG84" s="87" t="s">
        <v>1008</v>
      </c>
      <c r="AH84" s="87" t="s">
        <v>1014</v>
      </c>
      <c r="AI84" s="87" t="s">
        <v>1020</v>
      </c>
      <c r="AJ84" s="87" t="s">
        <v>1025</v>
      </c>
      <c r="AK84" s="87" t="s">
        <v>1031</v>
      </c>
      <c r="AL84" s="87" t="s">
        <v>1036</v>
      </c>
      <c r="AM84" s="87" t="s">
        <v>1041</v>
      </c>
      <c r="AN84" s="87" t="s">
        <v>1046</v>
      </c>
      <c r="AO84" s="87" t="s">
        <v>1051</v>
      </c>
      <c r="AP84" s="87" t="s">
        <v>1056</v>
      </c>
      <c r="AQ84" s="87" t="s">
        <v>1062</v>
      </c>
      <c r="AR84" s="87" t="s">
        <v>1067</v>
      </c>
      <c r="AS84" s="87" t="s">
        <v>1072</v>
      </c>
      <c r="AT84" s="87" t="s">
        <v>1077</v>
      </c>
      <c r="AU84" s="87" t="s">
        <v>1082</v>
      </c>
      <c r="AV84" s="87" t="s">
        <v>1087</v>
      </c>
      <c r="AW84" s="98" t="s">
        <v>1092</v>
      </c>
    </row>
    <row r="85" spans="1:49" ht="60" customHeight="1" x14ac:dyDescent="0.35">
      <c r="A85" s="95" t="s">
        <v>2355</v>
      </c>
      <c r="B85" s="78" t="s">
        <v>2369</v>
      </c>
      <c r="C85" s="80" t="s">
        <v>2370</v>
      </c>
      <c r="D85" s="82" t="s">
        <v>2371</v>
      </c>
      <c r="E85" s="82" t="s">
        <v>2372</v>
      </c>
      <c r="F85" s="83" t="s">
        <v>2077</v>
      </c>
      <c r="G85" s="83" t="s">
        <v>2094</v>
      </c>
      <c r="H85" s="83">
        <v>2</v>
      </c>
      <c r="I85" s="85" t="str">
        <f>IF(COUNTIF(J85:AW85,"&lt;&gt;")=0,"",SUMPRODUCT(((Recommendations[ImplStatus]="Implemented")+(Recommendations[ImplStatus]="Compensated"))*ISNUMBER(MATCH(Recommendations[Id],J85:AW85,0)))/COUNTIF(J85:AW85,"&lt;&gt;"))</f>
        <v/>
      </c>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98"/>
    </row>
    <row r="86" spans="1:49" ht="60" customHeight="1" x14ac:dyDescent="0.35">
      <c r="A86" s="95" t="s">
        <v>2355</v>
      </c>
      <c r="B86" s="78" t="s">
        <v>2373</v>
      </c>
      <c r="C86" s="80" t="s">
        <v>2374</v>
      </c>
      <c r="D86" s="82" t="s">
        <v>2375</v>
      </c>
      <c r="E86" s="82" t="s">
        <v>2376</v>
      </c>
      <c r="F86" s="83" t="s">
        <v>2322</v>
      </c>
      <c r="G86" s="83" t="s">
        <v>2094</v>
      </c>
      <c r="H86" s="83">
        <v>2</v>
      </c>
      <c r="I86" s="85" t="str">
        <f>IF(COUNTIF(J86:AW86,"&lt;&gt;")=0,"",SUMPRODUCT(((Recommendations[ImplStatus]="Implemented")+(Recommendations[ImplStatus]="Compensated"))*ISNUMBER(MATCH(Recommendations[Id],J86:AW86,0)))/COUNTIF(J86:AW86,"&lt;&gt;"))</f>
        <v/>
      </c>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98"/>
    </row>
    <row r="87" spans="1:49" ht="60" customHeight="1" x14ac:dyDescent="0.35">
      <c r="A87" s="95" t="s">
        <v>2355</v>
      </c>
      <c r="B87" s="78" t="s">
        <v>2377</v>
      </c>
      <c r="C87" s="80" t="s">
        <v>2378</v>
      </c>
      <c r="D87" s="82" t="s">
        <v>2379</v>
      </c>
      <c r="E87" s="82" t="s">
        <v>2380</v>
      </c>
      <c r="F87" s="83" t="s">
        <v>2322</v>
      </c>
      <c r="G87" s="83" t="s">
        <v>2094</v>
      </c>
      <c r="H87" s="83">
        <v>2</v>
      </c>
      <c r="I87" s="85" t="str">
        <f>IF(COUNTIF(J87:AW87,"&lt;&gt;")=0,"",SUMPRODUCT(((Recommendations[ImplStatus]="Implemented")+(Recommendations[ImplStatus]="Compensated"))*ISNUMBER(MATCH(Recommendations[Id],J87:AW87,0)))/COUNTIF(J87:AW87,"&lt;&gt;"))</f>
        <v/>
      </c>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98"/>
    </row>
    <row r="88" spans="1:49" ht="60" customHeight="1" x14ac:dyDescent="0.35">
      <c r="A88" s="95" t="s">
        <v>2355</v>
      </c>
      <c r="B88" s="78" t="s">
        <v>2381</v>
      </c>
      <c r="C88" s="80" t="s">
        <v>2382</v>
      </c>
      <c r="D88" s="82" t="s">
        <v>2383</v>
      </c>
      <c r="E88" s="82" t="s">
        <v>2384</v>
      </c>
      <c r="F88" s="83" t="s">
        <v>2322</v>
      </c>
      <c r="G88" s="83" t="s">
        <v>2094</v>
      </c>
      <c r="H88" s="83">
        <v>3</v>
      </c>
      <c r="I88" s="85" t="str">
        <f>IF(COUNTIF(J88:AW88,"&lt;&gt;")=0,"",SUMPRODUCT(((Recommendations[ImplStatus]="Implemented")+(Recommendations[ImplStatus]="Compensated"))*ISNUMBER(MATCH(Recommendations[Id],J88:AW88,0)))/COUNTIF(J88:AW88,"&lt;&gt;"))</f>
        <v/>
      </c>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98"/>
    </row>
    <row r="89" spans="1:49" ht="60" customHeight="1" outlineLevel="1" x14ac:dyDescent="0.35">
      <c r="A89" s="94" t="s">
        <v>2385</v>
      </c>
      <c r="B89" s="77">
        <v>10</v>
      </c>
      <c r="C89" s="79" t="s">
        <v>20</v>
      </c>
      <c r="D89" s="81" t="s">
        <v>2386</v>
      </c>
      <c r="E89" s="81" t="s">
        <v>20</v>
      </c>
      <c r="F89" s="77" t="s">
        <v>20</v>
      </c>
      <c r="G89" s="77" t="s">
        <v>20</v>
      </c>
      <c r="H89" s="77"/>
      <c r="I89" s="84" t="str">
        <f>IF(COUNTIF(J89:AW89,"&lt;&gt;")=0,"",SUMPRODUCT(((Recommendations[ImplStatus]="Implemented")+(Recommendations[ImplStatus]="Compensated"))*ISNUMBER(MATCH(Recommendations[Id],J89:AW89,0)))/COUNTIF(J89:AW89,"&lt;&gt;"))</f>
        <v/>
      </c>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97"/>
    </row>
    <row r="90" spans="1:49" ht="60" customHeight="1" x14ac:dyDescent="0.35">
      <c r="A90" s="95" t="s">
        <v>2385</v>
      </c>
      <c r="B90" s="78" t="s">
        <v>2387</v>
      </c>
      <c r="C90" s="80" t="s">
        <v>2388</v>
      </c>
      <c r="D90" s="82" t="s">
        <v>2389</v>
      </c>
      <c r="E90" s="82" t="s">
        <v>2390</v>
      </c>
      <c r="F90" s="83" t="s">
        <v>2051</v>
      </c>
      <c r="G90" s="83" t="s">
        <v>2062</v>
      </c>
      <c r="H90" s="83">
        <v>1</v>
      </c>
      <c r="I90" s="85">
        <f>IF(COUNTIF(J90:AW90,"&lt;&gt;")=0,"",SUMPRODUCT(((Recommendations[ImplStatus]="Implemented")+(Recommendations[ImplStatus]="Compensated"))*ISNUMBER(MATCH(Recommendations[Id],J90:AW90,0)))/COUNTIF(J90:AW90,"&lt;&gt;"))</f>
        <v>0</v>
      </c>
      <c r="J90" s="87" t="s">
        <v>717</v>
      </c>
      <c r="K90" s="87" t="s">
        <v>1461</v>
      </c>
      <c r="L90" s="87" t="s">
        <v>1466</v>
      </c>
      <c r="M90" s="87" t="s">
        <v>1471</v>
      </c>
      <c r="N90" s="87" t="s">
        <v>1476</v>
      </c>
      <c r="O90" s="87" t="s">
        <v>1488</v>
      </c>
      <c r="P90" s="87" t="s">
        <v>1493</v>
      </c>
      <c r="Q90" s="87" t="s">
        <v>1498</v>
      </c>
      <c r="R90" s="87" t="s">
        <v>1517</v>
      </c>
      <c r="S90" s="87" t="s">
        <v>1522</v>
      </c>
      <c r="T90" s="87" t="s">
        <v>1528</v>
      </c>
      <c r="U90" s="87" t="s">
        <v>1534</v>
      </c>
      <c r="V90" s="87" t="s">
        <v>1539</v>
      </c>
      <c r="W90" s="87" t="s">
        <v>1544</v>
      </c>
      <c r="X90" s="87" t="s">
        <v>1549</v>
      </c>
      <c r="Y90" s="87" t="s">
        <v>1554</v>
      </c>
      <c r="Z90" s="87" t="s">
        <v>1559</v>
      </c>
      <c r="AA90" s="87" t="s">
        <v>1564</v>
      </c>
      <c r="AB90" s="87" t="s">
        <v>1569</v>
      </c>
      <c r="AC90" s="87" t="s">
        <v>1575</v>
      </c>
      <c r="AD90" s="87" t="s">
        <v>1581</v>
      </c>
      <c r="AE90" s="87" t="s">
        <v>1586</v>
      </c>
      <c r="AF90" s="87" t="s">
        <v>1591</v>
      </c>
      <c r="AG90" s="87"/>
      <c r="AH90" s="87"/>
      <c r="AI90" s="87"/>
      <c r="AJ90" s="87"/>
      <c r="AK90" s="87"/>
      <c r="AL90" s="87"/>
      <c r="AM90" s="87"/>
      <c r="AN90" s="87"/>
      <c r="AO90" s="87"/>
      <c r="AP90" s="87"/>
      <c r="AQ90" s="87"/>
      <c r="AR90" s="87"/>
      <c r="AS90" s="87"/>
      <c r="AT90" s="87"/>
      <c r="AU90" s="87"/>
      <c r="AV90" s="87"/>
      <c r="AW90" s="98"/>
    </row>
    <row r="91" spans="1:49" ht="60" customHeight="1" x14ac:dyDescent="0.35">
      <c r="A91" s="95" t="s">
        <v>2385</v>
      </c>
      <c r="B91" s="78" t="s">
        <v>2391</v>
      </c>
      <c r="C91" s="80" t="s">
        <v>2392</v>
      </c>
      <c r="D91" s="82" t="s">
        <v>2393</v>
      </c>
      <c r="E91" s="82" t="s">
        <v>2394</v>
      </c>
      <c r="F91" s="83" t="s">
        <v>2051</v>
      </c>
      <c r="G91" s="83" t="s">
        <v>2094</v>
      </c>
      <c r="H91" s="83">
        <v>1</v>
      </c>
      <c r="I91" s="85">
        <f>IF(COUNTIF(J91:AW91,"&lt;&gt;")=0,"",SUMPRODUCT(((Recommendations[ImplStatus]="Implemented")+(Recommendations[ImplStatus]="Compensated"))*ISNUMBER(MATCH(Recommendations[Id],J91:AW91,0)))/COUNTIF(J91:AW91,"&lt;&gt;"))</f>
        <v>0</v>
      </c>
      <c r="J91" s="87" t="s">
        <v>1455</v>
      </c>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98"/>
    </row>
    <row r="92" spans="1:49" ht="60" customHeight="1" x14ac:dyDescent="0.35">
      <c r="A92" s="95" t="s">
        <v>2385</v>
      </c>
      <c r="B92" s="78" t="s">
        <v>2395</v>
      </c>
      <c r="C92" s="80" t="s">
        <v>2396</v>
      </c>
      <c r="D92" s="82" t="s">
        <v>2397</v>
      </c>
      <c r="E92" s="82" t="s">
        <v>2398</v>
      </c>
      <c r="F92" s="83" t="s">
        <v>2051</v>
      </c>
      <c r="G92" s="83" t="s">
        <v>2094</v>
      </c>
      <c r="H92" s="83">
        <v>1</v>
      </c>
      <c r="I92" s="85" t="str">
        <f>IF(COUNTIF(J92:AW92,"&lt;&gt;")=0,"",SUMPRODUCT(((Recommendations[ImplStatus]="Implemented")+(Recommendations[ImplStatus]="Compensated"))*ISNUMBER(MATCH(Recommendations[Id],J92:AW92,0)))/COUNTIF(J92:AW92,"&lt;&gt;"))</f>
        <v/>
      </c>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98"/>
    </row>
    <row r="93" spans="1:49" ht="60" customHeight="1" x14ac:dyDescent="0.35">
      <c r="A93" s="95" t="s">
        <v>2385</v>
      </c>
      <c r="B93" s="78" t="s">
        <v>2399</v>
      </c>
      <c r="C93" s="80" t="s">
        <v>2400</v>
      </c>
      <c r="D93" s="82" t="s">
        <v>2401</v>
      </c>
      <c r="E93" s="82" t="s">
        <v>2402</v>
      </c>
      <c r="F93" s="83" t="s">
        <v>2051</v>
      </c>
      <c r="G93" s="83" t="s">
        <v>2062</v>
      </c>
      <c r="H93" s="83">
        <v>2</v>
      </c>
      <c r="I93" s="85" t="str">
        <f>IF(COUNTIF(J93:AW93,"&lt;&gt;")=0,"",SUMPRODUCT(((Recommendations[ImplStatus]="Implemented")+(Recommendations[ImplStatus]="Compensated"))*ISNUMBER(MATCH(Recommendations[Id],J93:AW93,0)))/COUNTIF(J93:AW93,"&lt;&gt;"))</f>
        <v/>
      </c>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98"/>
    </row>
    <row r="94" spans="1:49" ht="60" customHeight="1" x14ac:dyDescent="0.35">
      <c r="A94" s="95" t="s">
        <v>2385</v>
      </c>
      <c r="B94" s="78" t="s">
        <v>2403</v>
      </c>
      <c r="C94" s="80" t="s">
        <v>2404</v>
      </c>
      <c r="D94" s="82" t="s">
        <v>2405</v>
      </c>
      <c r="E94" s="82" t="s">
        <v>2406</v>
      </c>
      <c r="F94" s="83" t="s">
        <v>2051</v>
      </c>
      <c r="G94" s="83" t="s">
        <v>2094</v>
      </c>
      <c r="H94" s="83">
        <v>2</v>
      </c>
      <c r="I94" s="85">
        <f>IF(COUNTIF(J94:AW94,"&lt;&gt;")=0,"",SUMPRODUCT(((Recommendations[ImplStatus]="Implemented")+(Recommendations[ImplStatus]="Compensated"))*ISNUMBER(MATCH(Recommendations[Id],J94:AW94,0)))/COUNTIF(J94:AW94,"&lt;&gt;"))</f>
        <v>0</v>
      </c>
      <c r="J94" s="87" t="s">
        <v>494</v>
      </c>
      <c r="K94" s="87" t="s">
        <v>499</v>
      </c>
      <c r="L94" s="87" t="s">
        <v>653</v>
      </c>
      <c r="M94" s="87" t="s">
        <v>698</v>
      </c>
      <c r="N94" s="87" t="s">
        <v>705</v>
      </c>
      <c r="O94" s="87" t="s">
        <v>771</v>
      </c>
      <c r="P94" s="87" t="s">
        <v>777</v>
      </c>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98"/>
    </row>
    <row r="95" spans="1:49" ht="60" customHeight="1" x14ac:dyDescent="0.35">
      <c r="A95" s="95" t="s">
        <v>2385</v>
      </c>
      <c r="B95" s="78" t="s">
        <v>2407</v>
      </c>
      <c r="C95" s="80" t="s">
        <v>2408</v>
      </c>
      <c r="D95" s="82" t="s">
        <v>2409</v>
      </c>
      <c r="E95" s="82" t="s">
        <v>2410</v>
      </c>
      <c r="F95" s="83" t="s">
        <v>2051</v>
      </c>
      <c r="G95" s="83" t="s">
        <v>2094</v>
      </c>
      <c r="H95" s="83">
        <v>2</v>
      </c>
      <c r="I95" s="85" t="str">
        <f>IF(COUNTIF(J95:AW95,"&lt;&gt;")=0,"",SUMPRODUCT(((Recommendations[ImplStatus]="Implemented")+(Recommendations[ImplStatus]="Compensated"))*ISNUMBER(MATCH(Recommendations[Id],J95:AW95,0)))/COUNTIF(J95:AW95,"&lt;&gt;"))</f>
        <v/>
      </c>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98"/>
    </row>
    <row r="96" spans="1:49" ht="60" customHeight="1" x14ac:dyDescent="0.35">
      <c r="A96" s="95" t="s">
        <v>2385</v>
      </c>
      <c r="B96" s="78" t="s">
        <v>2411</v>
      </c>
      <c r="C96" s="80" t="s">
        <v>2412</v>
      </c>
      <c r="D96" s="82" t="s">
        <v>2413</v>
      </c>
      <c r="E96" s="82" t="s">
        <v>2414</v>
      </c>
      <c r="F96" s="83" t="s">
        <v>2051</v>
      </c>
      <c r="G96" s="83" t="s">
        <v>2062</v>
      </c>
      <c r="H96" s="83">
        <v>2</v>
      </c>
      <c r="I96" s="85">
        <f>IF(COUNTIF(J96:AW96,"&lt;&gt;")=0,"",SUMPRODUCT(((Recommendations[ImplStatus]="Implemented")+(Recommendations[ImplStatus]="Compensated"))*ISNUMBER(MATCH(Recommendations[Id],J96:AW96,0)))/COUNTIF(J96:AW96,"&lt;&gt;"))</f>
        <v>0</v>
      </c>
      <c r="J96" s="87" t="s">
        <v>1482</v>
      </c>
      <c r="K96" s="87" t="s">
        <v>1504</v>
      </c>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98"/>
    </row>
    <row r="97" spans="1:49" ht="60" customHeight="1" outlineLevel="1" x14ac:dyDescent="0.35">
      <c r="A97" s="94" t="s">
        <v>2415</v>
      </c>
      <c r="B97" s="77">
        <v>11</v>
      </c>
      <c r="C97" s="79" t="s">
        <v>20</v>
      </c>
      <c r="D97" s="81" t="s">
        <v>2416</v>
      </c>
      <c r="E97" s="81" t="s">
        <v>20</v>
      </c>
      <c r="F97" s="77" t="s">
        <v>20</v>
      </c>
      <c r="G97" s="77" t="s">
        <v>20</v>
      </c>
      <c r="H97" s="77"/>
      <c r="I97" s="84" t="str">
        <f>IF(COUNTIF(J97:AW97,"&lt;&gt;")=0,"",SUMPRODUCT(((Recommendations[ImplStatus]="Implemented")+(Recommendations[ImplStatus]="Compensated"))*ISNUMBER(MATCH(Recommendations[Id],J97:AW97,0)))/COUNTIF(J97:AW97,"&lt;&gt;"))</f>
        <v/>
      </c>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97"/>
    </row>
    <row r="98" spans="1:49" ht="60" customHeight="1" x14ac:dyDescent="0.35">
      <c r="A98" s="95" t="s">
        <v>2415</v>
      </c>
      <c r="B98" s="78" t="s">
        <v>2417</v>
      </c>
      <c r="C98" s="80" t="s">
        <v>2418</v>
      </c>
      <c r="D98" s="82" t="s">
        <v>2419</v>
      </c>
      <c r="E98" s="82" t="s">
        <v>2420</v>
      </c>
      <c r="F98" s="83" t="s">
        <v>2169</v>
      </c>
      <c r="G98" s="83" t="s">
        <v>2110</v>
      </c>
      <c r="H98" s="83">
        <v>1</v>
      </c>
      <c r="I98" s="85" t="str">
        <f>IF(COUNTIF(J98:AW98,"&lt;&gt;")=0,"",SUMPRODUCT(((Recommendations[ImplStatus]="Implemented")+(Recommendations[ImplStatus]="Compensated"))*ISNUMBER(MATCH(Recommendations[Id],J98:AW98,0)))/COUNTIF(J98:AW98,"&lt;&gt;"))</f>
        <v/>
      </c>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98"/>
    </row>
    <row r="99" spans="1:49" ht="60" customHeight="1" x14ac:dyDescent="0.35">
      <c r="A99" s="95" t="s">
        <v>2415</v>
      </c>
      <c r="B99" s="78" t="s">
        <v>2421</v>
      </c>
      <c r="C99" s="80" t="s">
        <v>2422</v>
      </c>
      <c r="D99" s="82" t="s">
        <v>2423</v>
      </c>
      <c r="E99" s="82" t="s">
        <v>2424</v>
      </c>
      <c r="F99" s="83" t="s">
        <v>2109</v>
      </c>
      <c r="G99" s="83" t="s">
        <v>2425</v>
      </c>
      <c r="H99" s="83">
        <v>1</v>
      </c>
      <c r="I99" s="85" t="str">
        <f>IF(COUNTIF(J99:AW99,"&lt;&gt;")=0,"",SUMPRODUCT(((Recommendations[ImplStatus]="Implemented")+(Recommendations[ImplStatus]="Compensated"))*ISNUMBER(MATCH(Recommendations[Id],J99:AW99,0)))/COUNTIF(J99:AW99,"&lt;&gt;"))</f>
        <v/>
      </c>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98"/>
    </row>
    <row r="100" spans="1:49" ht="60" customHeight="1" x14ac:dyDescent="0.35">
      <c r="A100" s="95" t="s">
        <v>2415</v>
      </c>
      <c r="B100" s="78" t="s">
        <v>2426</v>
      </c>
      <c r="C100" s="80" t="s">
        <v>2427</v>
      </c>
      <c r="D100" s="82" t="s">
        <v>2428</v>
      </c>
      <c r="E100" s="82" t="s">
        <v>2429</v>
      </c>
      <c r="F100" s="83" t="s">
        <v>2109</v>
      </c>
      <c r="G100" s="83" t="s">
        <v>2094</v>
      </c>
      <c r="H100" s="83">
        <v>1</v>
      </c>
      <c r="I100" s="85" t="str">
        <f>IF(COUNTIF(J100:AW100,"&lt;&gt;")=0,"",SUMPRODUCT(((Recommendations[ImplStatus]="Implemented")+(Recommendations[ImplStatus]="Compensated"))*ISNUMBER(MATCH(Recommendations[Id],J100:AW100,0)))/COUNTIF(J100:AW100,"&lt;&gt;"))</f>
        <v/>
      </c>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98"/>
    </row>
    <row r="101" spans="1:49" ht="60" customHeight="1" x14ac:dyDescent="0.35">
      <c r="A101" s="95" t="s">
        <v>2415</v>
      </c>
      <c r="B101" s="78" t="s">
        <v>2430</v>
      </c>
      <c r="C101" s="80" t="s">
        <v>2431</v>
      </c>
      <c r="D101" s="82" t="s">
        <v>2432</v>
      </c>
      <c r="E101" s="82" t="s">
        <v>2433</v>
      </c>
      <c r="F101" s="83" t="s">
        <v>2109</v>
      </c>
      <c r="G101" s="83" t="s">
        <v>2425</v>
      </c>
      <c r="H101" s="83">
        <v>1</v>
      </c>
      <c r="I101" s="85" t="str">
        <f>IF(COUNTIF(J101:AW101,"&lt;&gt;")=0,"",SUMPRODUCT(((Recommendations[ImplStatus]="Implemented")+(Recommendations[ImplStatus]="Compensated"))*ISNUMBER(MATCH(Recommendations[Id],J101:AW101,0)))/COUNTIF(J101:AW101,"&lt;&gt;"))</f>
        <v/>
      </c>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98"/>
    </row>
    <row r="102" spans="1:49" ht="60" customHeight="1" x14ac:dyDescent="0.35">
      <c r="A102" s="95" t="s">
        <v>2415</v>
      </c>
      <c r="B102" s="78" t="s">
        <v>2434</v>
      </c>
      <c r="C102" s="80" t="s">
        <v>2435</v>
      </c>
      <c r="D102" s="82" t="s">
        <v>2436</v>
      </c>
      <c r="E102" s="82" t="s">
        <v>2437</v>
      </c>
      <c r="F102" s="83" t="s">
        <v>2109</v>
      </c>
      <c r="G102" s="83" t="s">
        <v>2425</v>
      </c>
      <c r="H102" s="83">
        <v>2</v>
      </c>
      <c r="I102" s="85" t="str">
        <f>IF(COUNTIF(J102:AW102,"&lt;&gt;")=0,"",SUMPRODUCT(((Recommendations[ImplStatus]="Implemented")+(Recommendations[ImplStatus]="Compensated"))*ISNUMBER(MATCH(Recommendations[Id],J102:AW102,0)))/COUNTIF(J102:AW102,"&lt;&gt;"))</f>
        <v/>
      </c>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98"/>
    </row>
    <row r="103" spans="1:49" ht="60" customHeight="1" outlineLevel="1" x14ac:dyDescent="0.35">
      <c r="A103" s="94" t="s">
        <v>2438</v>
      </c>
      <c r="B103" s="77">
        <v>12</v>
      </c>
      <c r="C103" s="79" t="s">
        <v>20</v>
      </c>
      <c r="D103" s="81" t="s">
        <v>2439</v>
      </c>
      <c r="E103" s="81" t="s">
        <v>20</v>
      </c>
      <c r="F103" s="77" t="s">
        <v>20</v>
      </c>
      <c r="G103" s="77" t="s">
        <v>20</v>
      </c>
      <c r="H103" s="77"/>
      <c r="I103" s="84" t="str">
        <f>IF(COUNTIF(J103:AW103,"&lt;&gt;")=0,"",SUMPRODUCT(((Recommendations[ImplStatus]="Implemented")+(Recommendations[ImplStatus]="Compensated"))*ISNUMBER(MATCH(Recommendations[Id],J103:AW103,0)))/COUNTIF(J103:AW103,"&lt;&gt;"))</f>
        <v/>
      </c>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97"/>
    </row>
    <row r="104" spans="1:49" ht="60" customHeight="1" x14ac:dyDescent="0.35">
      <c r="A104" s="95" t="s">
        <v>2438</v>
      </c>
      <c r="B104" s="78" t="s">
        <v>2440</v>
      </c>
      <c r="C104" s="80" t="s">
        <v>2441</v>
      </c>
      <c r="D104" s="82" t="s">
        <v>2442</v>
      </c>
      <c r="E104" s="82" t="s">
        <v>2443</v>
      </c>
      <c r="F104" s="83" t="s">
        <v>2322</v>
      </c>
      <c r="G104" s="83" t="s">
        <v>2094</v>
      </c>
      <c r="H104" s="83">
        <v>1</v>
      </c>
      <c r="I104" s="85" t="str">
        <f>IF(COUNTIF(J104:AW104,"&lt;&gt;")=0,"",SUMPRODUCT(((Recommendations[ImplStatus]="Implemented")+(Recommendations[ImplStatus]="Compensated"))*ISNUMBER(MATCH(Recommendations[Id],J104:AW104,0)))/COUNTIF(J104:AW104,"&lt;&gt;"))</f>
        <v/>
      </c>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98"/>
    </row>
    <row r="105" spans="1:49" ht="60" customHeight="1" x14ac:dyDescent="0.35">
      <c r="A105" s="95" t="s">
        <v>2438</v>
      </c>
      <c r="B105" s="78" t="s">
        <v>2444</v>
      </c>
      <c r="C105" s="80" t="s">
        <v>2445</v>
      </c>
      <c r="D105" s="82" t="s">
        <v>2446</v>
      </c>
      <c r="E105" s="82" t="s">
        <v>2447</v>
      </c>
      <c r="F105" s="83" t="s">
        <v>2322</v>
      </c>
      <c r="G105" s="83" t="s">
        <v>2094</v>
      </c>
      <c r="H105" s="83">
        <v>2</v>
      </c>
      <c r="I105" s="85" t="str">
        <f>IF(COUNTIF(J105:AW105,"&lt;&gt;")=0,"",SUMPRODUCT(((Recommendations[ImplStatus]="Implemented")+(Recommendations[ImplStatus]="Compensated"))*ISNUMBER(MATCH(Recommendations[Id],J105:AW105,0)))/COUNTIF(J105:AW105,"&lt;&gt;"))</f>
        <v/>
      </c>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98"/>
    </row>
    <row r="106" spans="1:49" ht="60" customHeight="1" x14ac:dyDescent="0.35">
      <c r="A106" s="95" t="s">
        <v>2438</v>
      </c>
      <c r="B106" s="78" t="s">
        <v>2448</v>
      </c>
      <c r="C106" s="80" t="s">
        <v>2449</v>
      </c>
      <c r="D106" s="82" t="s">
        <v>2450</v>
      </c>
      <c r="E106" s="82" t="s">
        <v>2451</v>
      </c>
      <c r="F106" s="83" t="s">
        <v>2322</v>
      </c>
      <c r="G106" s="83" t="s">
        <v>2094</v>
      </c>
      <c r="H106" s="83">
        <v>2</v>
      </c>
      <c r="I106" s="85">
        <f>IF(COUNTIF(J106:AW106,"&lt;&gt;")=0,"",SUMPRODUCT(((Recommendations[ImplStatus]="Implemented")+(Recommendations[ImplStatus]="Compensated"))*ISNUMBER(MATCH(Recommendations[Id],J106:AW106,0)))/COUNTIF(J106:AW106,"&lt;&gt;"))</f>
        <v>0</v>
      </c>
      <c r="J106" s="87" t="s">
        <v>626</v>
      </c>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98"/>
    </row>
    <row r="107" spans="1:49" ht="60" customHeight="1" x14ac:dyDescent="0.35">
      <c r="A107" s="95" t="s">
        <v>2438</v>
      </c>
      <c r="B107" s="78" t="s">
        <v>2452</v>
      </c>
      <c r="C107" s="80" t="s">
        <v>2453</v>
      </c>
      <c r="D107" s="82" t="s">
        <v>2454</v>
      </c>
      <c r="E107" s="82" t="s">
        <v>2455</v>
      </c>
      <c r="F107" s="83" t="s">
        <v>2169</v>
      </c>
      <c r="G107" s="83" t="s">
        <v>2110</v>
      </c>
      <c r="H107" s="83">
        <v>2</v>
      </c>
      <c r="I107" s="85" t="str">
        <f>IF(COUNTIF(J107:AW107,"&lt;&gt;")=0,"",SUMPRODUCT(((Recommendations[ImplStatus]="Implemented")+(Recommendations[ImplStatus]="Compensated"))*ISNUMBER(MATCH(Recommendations[Id],J107:AW107,0)))/COUNTIF(J107:AW107,"&lt;&gt;"))</f>
        <v/>
      </c>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98"/>
    </row>
    <row r="108" spans="1:49" ht="60" customHeight="1" x14ac:dyDescent="0.35">
      <c r="A108" s="95" t="s">
        <v>2438</v>
      </c>
      <c r="B108" s="78" t="s">
        <v>2456</v>
      </c>
      <c r="C108" s="80" t="s">
        <v>2457</v>
      </c>
      <c r="D108" s="82" t="s">
        <v>2458</v>
      </c>
      <c r="E108" s="82" t="s">
        <v>2459</v>
      </c>
      <c r="F108" s="83" t="s">
        <v>2322</v>
      </c>
      <c r="G108" s="83" t="s">
        <v>2094</v>
      </c>
      <c r="H108" s="83">
        <v>2</v>
      </c>
      <c r="I108" s="85" t="str">
        <f>IF(COUNTIF(J108:AW108,"&lt;&gt;")=0,"",SUMPRODUCT(((Recommendations[ImplStatus]="Implemented")+(Recommendations[ImplStatus]="Compensated"))*ISNUMBER(MATCH(Recommendations[Id],J108:AW108,0)))/COUNTIF(J108:AW108,"&lt;&gt;"))</f>
        <v/>
      </c>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98"/>
    </row>
    <row r="109" spans="1:49" ht="60" customHeight="1" x14ac:dyDescent="0.35">
      <c r="A109" s="95" t="s">
        <v>2438</v>
      </c>
      <c r="B109" s="78" t="s">
        <v>2460</v>
      </c>
      <c r="C109" s="80" t="s">
        <v>2461</v>
      </c>
      <c r="D109" s="82" t="s">
        <v>2462</v>
      </c>
      <c r="E109" s="82" t="s">
        <v>2463</v>
      </c>
      <c r="F109" s="83" t="s">
        <v>2322</v>
      </c>
      <c r="G109" s="83" t="s">
        <v>2094</v>
      </c>
      <c r="H109" s="83">
        <v>2</v>
      </c>
      <c r="I109" s="85">
        <f>IF(COUNTIF(J109:AW109,"&lt;&gt;")=0,"",SUMPRODUCT(((Recommendations[ImplStatus]="Implemented")+(Recommendations[ImplStatus]="Compensated"))*ISNUMBER(MATCH(Recommendations[Id],J109:AW109,0)))/COUNTIF(J109:AW109,"&lt;&gt;"))</f>
        <v>0</v>
      </c>
      <c r="J109" s="87" t="s">
        <v>639</v>
      </c>
      <c r="K109" s="87" t="s">
        <v>646</v>
      </c>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98"/>
    </row>
    <row r="110" spans="1:49" ht="60" customHeight="1" x14ac:dyDescent="0.35">
      <c r="A110" s="95" t="s">
        <v>2438</v>
      </c>
      <c r="B110" s="78" t="s">
        <v>2464</v>
      </c>
      <c r="C110" s="80" t="s">
        <v>2465</v>
      </c>
      <c r="D110" s="82" t="s">
        <v>2466</v>
      </c>
      <c r="E110" s="82" t="s">
        <v>2467</v>
      </c>
      <c r="F110" s="83" t="s">
        <v>2051</v>
      </c>
      <c r="G110" s="83" t="s">
        <v>2094</v>
      </c>
      <c r="H110" s="83">
        <v>2</v>
      </c>
      <c r="I110" s="85" t="str">
        <f>IF(COUNTIF(J110:AW110,"&lt;&gt;")=0,"",SUMPRODUCT(((Recommendations[ImplStatus]="Implemented")+(Recommendations[ImplStatus]="Compensated"))*ISNUMBER(MATCH(Recommendations[Id],J110:AW110,0)))/COUNTIF(J110:AW110,"&lt;&gt;"))</f>
        <v/>
      </c>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98"/>
    </row>
    <row r="111" spans="1:49" ht="60" customHeight="1" x14ac:dyDescent="0.35">
      <c r="A111" s="95" t="s">
        <v>2438</v>
      </c>
      <c r="B111" s="78" t="s">
        <v>2468</v>
      </c>
      <c r="C111" s="80" t="s">
        <v>2469</v>
      </c>
      <c r="D111" s="82" t="s">
        <v>2470</v>
      </c>
      <c r="E111" s="82" t="s">
        <v>2471</v>
      </c>
      <c r="F111" s="83" t="s">
        <v>2051</v>
      </c>
      <c r="G111" s="83" t="s">
        <v>2094</v>
      </c>
      <c r="H111" s="83">
        <v>3</v>
      </c>
      <c r="I111" s="85" t="str">
        <f>IF(COUNTIF(J111:AW111,"&lt;&gt;")=0,"",SUMPRODUCT(((Recommendations[ImplStatus]="Implemented")+(Recommendations[ImplStatus]="Compensated"))*ISNUMBER(MATCH(Recommendations[Id],J111:AW111,0)))/COUNTIF(J111:AW111,"&lt;&gt;"))</f>
        <v/>
      </c>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98"/>
    </row>
    <row r="112" spans="1:49" ht="60" customHeight="1" outlineLevel="1" x14ac:dyDescent="0.35">
      <c r="A112" s="94" t="s">
        <v>2472</v>
      </c>
      <c r="B112" s="77">
        <v>13</v>
      </c>
      <c r="C112" s="79" t="s">
        <v>20</v>
      </c>
      <c r="D112" s="81" t="s">
        <v>2473</v>
      </c>
      <c r="E112" s="81" t="s">
        <v>20</v>
      </c>
      <c r="F112" s="77" t="s">
        <v>20</v>
      </c>
      <c r="G112" s="77" t="s">
        <v>20</v>
      </c>
      <c r="H112" s="77"/>
      <c r="I112" s="84" t="str">
        <f>IF(COUNTIF(J112:AW112,"&lt;&gt;")=0,"",SUMPRODUCT(((Recommendations[ImplStatus]="Implemented")+(Recommendations[ImplStatus]="Compensated"))*ISNUMBER(MATCH(Recommendations[Id],J112:AW112,0)))/COUNTIF(J112:AW112,"&lt;&gt;"))</f>
        <v/>
      </c>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97"/>
    </row>
    <row r="113" spans="1:49" ht="60" customHeight="1" x14ac:dyDescent="0.35">
      <c r="A113" s="95" t="s">
        <v>2472</v>
      </c>
      <c r="B113" s="78" t="s">
        <v>2474</v>
      </c>
      <c r="C113" s="80" t="s">
        <v>2475</v>
      </c>
      <c r="D113" s="82" t="s">
        <v>2476</v>
      </c>
      <c r="E113" s="82" t="s">
        <v>2477</v>
      </c>
      <c r="F113" s="83" t="s">
        <v>2322</v>
      </c>
      <c r="G113" s="83" t="s">
        <v>2062</v>
      </c>
      <c r="H113" s="83">
        <v>2</v>
      </c>
      <c r="I113" s="85" t="str">
        <f>IF(COUNTIF(J113:AW113,"&lt;&gt;")=0,"",SUMPRODUCT(((Recommendations[ImplStatus]="Implemented")+(Recommendations[ImplStatus]="Compensated"))*ISNUMBER(MATCH(Recommendations[Id],J113:AW113,0)))/COUNTIF(J113:AW113,"&lt;&gt;"))</f>
        <v/>
      </c>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98"/>
    </row>
    <row r="114" spans="1:49" ht="60" customHeight="1" x14ac:dyDescent="0.35">
      <c r="A114" s="95" t="s">
        <v>2472</v>
      </c>
      <c r="B114" s="78" t="s">
        <v>2478</v>
      </c>
      <c r="C114" s="80" t="s">
        <v>2479</v>
      </c>
      <c r="D114" s="82" t="s">
        <v>2480</v>
      </c>
      <c r="E114" s="82" t="s">
        <v>2481</v>
      </c>
      <c r="F114" s="83" t="s">
        <v>2051</v>
      </c>
      <c r="G114" s="83" t="s">
        <v>2062</v>
      </c>
      <c r="H114" s="83">
        <v>2</v>
      </c>
      <c r="I114" s="85" t="str">
        <f>IF(COUNTIF(J114:AW114,"&lt;&gt;")=0,"",SUMPRODUCT(((Recommendations[ImplStatus]="Implemented")+(Recommendations[ImplStatus]="Compensated"))*ISNUMBER(MATCH(Recommendations[Id],J114:AW114,0)))/COUNTIF(J114:AW114,"&lt;&gt;"))</f>
        <v/>
      </c>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98"/>
    </row>
    <row r="115" spans="1:49" ht="60" customHeight="1" x14ac:dyDescent="0.35">
      <c r="A115" s="95" t="s">
        <v>2472</v>
      </c>
      <c r="B115" s="78" t="s">
        <v>2482</v>
      </c>
      <c r="C115" s="80" t="s">
        <v>2483</v>
      </c>
      <c r="D115" s="82" t="s">
        <v>2484</v>
      </c>
      <c r="E115" s="82" t="s">
        <v>2485</v>
      </c>
      <c r="F115" s="83" t="s">
        <v>2322</v>
      </c>
      <c r="G115" s="83" t="s">
        <v>2062</v>
      </c>
      <c r="H115" s="83">
        <v>2</v>
      </c>
      <c r="I115" s="85" t="str">
        <f>IF(COUNTIF(J115:AW115,"&lt;&gt;")=0,"",SUMPRODUCT(((Recommendations[ImplStatus]="Implemented")+(Recommendations[ImplStatus]="Compensated"))*ISNUMBER(MATCH(Recommendations[Id],J115:AW115,0)))/COUNTIF(J115:AW115,"&lt;&gt;"))</f>
        <v/>
      </c>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98"/>
    </row>
    <row r="116" spans="1:49" ht="60" customHeight="1" x14ac:dyDescent="0.35">
      <c r="A116" s="95" t="s">
        <v>2472</v>
      </c>
      <c r="B116" s="78" t="s">
        <v>2486</v>
      </c>
      <c r="C116" s="80" t="s">
        <v>2487</v>
      </c>
      <c r="D116" s="82" t="s">
        <v>2488</v>
      </c>
      <c r="E116" s="82" t="s">
        <v>2489</v>
      </c>
      <c r="F116" s="83" t="s">
        <v>2322</v>
      </c>
      <c r="G116" s="83" t="s">
        <v>2094</v>
      </c>
      <c r="H116" s="83">
        <v>2</v>
      </c>
      <c r="I116" s="85" t="str">
        <f>IF(COUNTIF(J116:AW116,"&lt;&gt;")=0,"",SUMPRODUCT(((Recommendations[ImplStatus]="Implemented")+(Recommendations[ImplStatus]="Compensated"))*ISNUMBER(MATCH(Recommendations[Id],J116:AW116,0)))/COUNTIF(J116:AW116,"&lt;&gt;"))</f>
        <v/>
      </c>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98"/>
    </row>
    <row r="117" spans="1:49" ht="60" customHeight="1" x14ac:dyDescent="0.35">
      <c r="A117" s="95" t="s">
        <v>2472</v>
      </c>
      <c r="B117" s="78" t="s">
        <v>2490</v>
      </c>
      <c r="C117" s="80" t="s">
        <v>2491</v>
      </c>
      <c r="D117" s="82" t="s">
        <v>2492</v>
      </c>
      <c r="E117" s="82" t="s">
        <v>2493</v>
      </c>
      <c r="F117" s="83" t="s">
        <v>2051</v>
      </c>
      <c r="G117" s="83" t="s">
        <v>2094</v>
      </c>
      <c r="H117" s="83">
        <v>2</v>
      </c>
      <c r="I117" s="85" t="str">
        <f>IF(COUNTIF(J117:AW117,"&lt;&gt;")=0,"",SUMPRODUCT(((Recommendations[ImplStatus]="Implemented")+(Recommendations[ImplStatus]="Compensated"))*ISNUMBER(MATCH(Recommendations[Id],J117:AW117,0)))/COUNTIF(J117:AW117,"&lt;&gt;"))</f>
        <v/>
      </c>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98"/>
    </row>
    <row r="118" spans="1:49" ht="60" customHeight="1" x14ac:dyDescent="0.35">
      <c r="A118" s="95" t="s">
        <v>2472</v>
      </c>
      <c r="B118" s="78" t="s">
        <v>2494</v>
      </c>
      <c r="C118" s="80" t="s">
        <v>2495</v>
      </c>
      <c r="D118" s="82" t="s">
        <v>2496</v>
      </c>
      <c r="E118" s="82" t="s">
        <v>2497</v>
      </c>
      <c r="F118" s="83" t="s">
        <v>2322</v>
      </c>
      <c r="G118" s="83" t="s">
        <v>2062</v>
      </c>
      <c r="H118" s="83">
        <v>2</v>
      </c>
      <c r="I118" s="85" t="str">
        <f>IF(COUNTIF(J118:AW118,"&lt;&gt;")=0,"",SUMPRODUCT(((Recommendations[ImplStatus]="Implemented")+(Recommendations[ImplStatus]="Compensated"))*ISNUMBER(MATCH(Recommendations[Id],J118:AW118,0)))/COUNTIF(J118:AW118,"&lt;&gt;"))</f>
        <v/>
      </c>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98"/>
    </row>
    <row r="119" spans="1:49" ht="60" customHeight="1" x14ac:dyDescent="0.35">
      <c r="A119" s="95" t="s">
        <v>2472</v>
      </c>
      <c r="B119" s="78" t="s">
        <v>2498</v>
      </c>
      <c r="C119" s="80" t="s">
        <v>2499</v>
      </c>
      <c r="D119" s="82" t="s">
        <v>2500</v>
      </c>
      <c r="E119" s="82" t="s">
        <v>2501</v>
      </c>
      <c r="F119" s="83" t="s">
        <v>2051</v>
      </c>
      <c r="G119" s="83" t="s">
        <v>2094</v>
      </c>
      <c r="H119" s="83">
        <v>3</v>
      </c>
      <c r="I119" s="85" t="str">
        <f>IF(COUNTIF(J119:AW119,"&lt;&gt;")=0,"",SUMPRODUCT(((Recommendations[ImplStatus]="Implemented")+(Recommendations[ImplStatus]="Compensated"))*ISNUMBER(MATCH(Recommendations[Id],J119:AW119,0)))/COUNTIF(J119:AW119,"&lt;&gt;"))</f>
        <v/>
      </c>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98"/>
    </row>
    <row r="120" spans="1:49" ht="60" customHeight="1" x14ac:dyDescent="0.35">
      <c r="A120" s="95" t="s">
        <v>2472</v>
      </c>
      <c r="B120" s="78" t="s">
        <v>2502</v>
      </c>
      <c r="C120" s="80" t="s">
        <v>2503</v>
      </c>
      <c r="D120" s="82" t="s">
        <v>2504</v>
      </c>
      <c r="E120" s="82" t="s">
        <v>2505</v>
      </c>
      <c r="F120" s="83" t="s">
        <v>2322</v>
      </c>
      <c r="G120" s="83" t="s">
        <v>2094</v>
      </c>
      <c r="H120" s="83">
        <v>3</v>
      </c>
      <c r="I120" s="85" t="str">
        <f>IF(COUNTIF(J120:AW120,"&lt;&gt;")=0,"",SUMPRODUCT(((Recommendations[ImplStatus]="Implemented")+(Recommendations[ImplStatus]="Compensated"))*ISNUMBER(MATCH(Recommendations[Id],J120:AW120,0)))/COUNTIF(J120:AW120,"&lt;&gt;"))</f>
        <v/>
      </c>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98"/>
    </row>
    <row r="121" spans="1:49" ht="60" customHeight="1" x14ac:dyDescent="0.35">
      <c r="A121" s="95" t="s">
        <v>2472</v>
      </c>
      <c r="B121" s="78" t="s">
        <v>2506</v>
      </c>
      <c r="C121" s="80" t="s">
        <v>2507</v>
      </c>
      <c r="D121" s="82" t="s">
        <v>2508</v>
      </c>
      <c r="E121" s="82" t="s">
        <v>2509</v>
      </c>
      <c r="F121" s="83" t="s">
        <v>2322</v>
      </c>
      <c r="G121" s="83" t="s">
        <v>2094</v>
      </c>
      <c r="H121" s="83">
        <v>3</v>
      </c>
      <c r="I121" s="85">
        <f>IF(COUNTIF(J121:AW121,"&lt;&gt;")=0,"",SUMPRODUCT(((Recommendations[ImplStatus]="Implemented")+(Recommendations[ImplStatus]="Compensated"))*ISNUMBER(MATCH(Recommendations[Id],J121:AW121,0)))/COUNTIF(J121:AW121,"&lt;&gt;"))</f>
        <v>0</v>
      </c>
      <c r="J121" s="87" t="s">
        <v>1591</v>
      </c>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98"/>
    </row>
    <row r="122" spans="1:49" ht="60" customHeight="1" x14ac:dyDescent="0.35">
      <c r="A122" s="95" t="s">
        <v>2472</v>
      </c>
      <c r="B122" s="78" t="s">
        <v>2510</v>
      </c>
      <c r="C122" s="80" t="s">
        <v>2511</v>
      </c>
      <c r="D122" s="82" t="s">
        <v>2512</v>
      </c>
      <c r="E122" s="82" t="s">
        <v>2513</v>
      </c>
      <c r="F122" s="83" t="s">
        <v>2322</v>
      </c>
      <c r="G122" s="83" t="s">
        <v>2094</v>
      </c>
      <c r="H122" s="83">
        <v>3</v>
      </c>
      <c r="I122" s="85" t="str">
        <f>IF(COUNTIF(J122:AW122,"&lt;&gt;")=0,"",SUMPRODUCT(((Recommendations[ImplStatus]="Implemented")+(Recommendations[ImplStatus]="Compensated"))*ISNUMBER(MATCH(Recommendations[Id],J122:AW122,0)))/COUNTIF(J122:AW122,"&lt;&gt;"))</f>
        <v/>
      </c>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98"/>
    </row>
    <row r="123" spans="1:49" ht="60" customHeight="1" x14ac:dyDescent="0.35">
      <c r="A123" s="95" t="s">
        <v>2472</v>
      </c>
      <c r="B123" s="78" t="s">
        <v>2514</v>
      </c>
      <c r="C123" s="80" t="s">
        <v>2515</v>
      </c>
      <c r="D123" s="82" t="s">
        <v>2516</v>
      </c>
      <c r="E123" s="82" t="s">
        <v>2517</v>
      </c>
      <c r="F123" s="83" t="s">
        <v>2322</v>
      </c>
      <c r="G123" s="83" t="s">
        <v>2062</v>
      </c>
      <c r="H123" s="83">
        <v>3</v>
      </c>
      <c r="I123" s="85" t="str">
        <f>IF(COUNTIF(J123:AW123,"&lt;&gt;")=0,"",SUMPRODUCT(((Recommendations[ImplStatus]="Implemented")+(Recommendations[ImplStatus]="Compensated"))*ISNUMBER(MATCH(Recommendations[Id],J123:AW123,0)))/COUNTIF(J123:AW123,"&lt;&gt;"))</f>
        <v/>
      </c>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98"/>
    </row>
    <row r="124" spans="1:49" ht="60" customHeight="1" outlineLevel="1" x14ac:dyDescent="0.35">
      <c r="A124" s="94" t="s">
        <v>2518</v>
      </c>
      <c r="B124" s="77">
        <v>14</v>
      </c>
      <c r="C124" s="79" t="s">
        <v>20</v>
      </c>
      <c r="D124" s="81" t="s">
        <v>2519</v>
      </c>
      <c r="E124" s="81" t="s">
        <v>20</v>
      </c>
      <c r="F124" s="77" t="s">
        <v>20</v>
      </c>
      <c r="G124" s="77" t="s">
        <v>20</v>
      </c>
      <c r="H124" s="77"/>
      <c r="I124" s="84" t="str">
        <f>IF(COUNTIF(J124:AW124,"&lt;&gt;")=0,"",SUMPRODUCT(((Recommendations[ImplStatus]="Implemented")+(Recommendations[ImplStatus]="Compensated"))*ISNUMBER(MATCH(Recommendations[Id],J124:AW124,0)))/COUNTIF(J124:AW124,"&lt;&gt;"))</f>
        <v/>
      </c>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97"/>
    </row>
    <row r="125" spans="1:49" ht="60" customHeight="1" x14ac:dyDescent="0.35">
      <c r="A125" s="95" t="s">
        <v>2518</v>
      </c>
      <c r="B125" s="78" t="s">
        <v>2520</v>
      </c>
      <c r="C125" s="80" t="s">
        <v>2521</v>
      </c>
      <c r="D125" s="82" t="s">
        <v>2522</v>
      </c>
      <c r="E125" s="82" t="s">
        <v>2523</v>
      </c>
      <c r="F125" s="83" t="s">
        <v>2169</v>
      </c>
      <c r="G125" s="83" t="s">
        <v>2110</v>
      </c>
      <c r="H125" s="83">
        <v>1</v>
      </c>
      <c r="I125" s="85" t="str">
        <f>IF(COUNTIF(J125:AW125,"&lt;&gt;")=0,"",SUMPRODUCT(((Recommendations[ImplStatus]="Implemented")+(Recommendations[ImplStatus]="Compensated"))*ISNUMBER(MATCH(Recommendations[Id],J125:AW125,0)))/COUNTIF(J125:AW125,"&lt;&gt;"))</f>
        <v/>
      </c>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98"/>
    </row>
    <row r="126" spans="1:49" ht="60" customHeight="1" x14ac:dyDescent="0.35">
      <c r="A126" s="95" t="s">
        <v>2518</v>
      </c>
      <c r="B126" s="78" t="s">
        <v>2524</v>
      </c>
      <c r="C126" s="80" t="s">
        <v>2525</v>
      </c>
      <c r="D126" s="82" t="s">
        <v>2526</v>
      </c>
      <c r="E126" s="82" t="s">
        <v>2527</v>
      </c>
      <c r="F126" s="83" t="s">
        <v>2194</v>
      </c>
      <c r="G126" s="83" t="s">
        <v>2094</v>
      </c>
      <c r="H126" s="83">
        <v>1</v>
      </c>
      <c r="I126" s="85" t="str">
        <f>IF(COUNTIF(J126:AW126,"&lt;&gt;")=0,"",SUMPRODUCT(((Recommendations[ImplStatus]="Implemented")+(Recommendations[ImplStatus]="Compensated"))*ISNUMBER(MATCH(Recommendations[Id],J126:AW126,0)))/COUNTIF(J126:AW126,"&lt;&gt;"))</f>
        <v/>
      </c>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98"/>
    </row>
    <row r="127" spans="1:49" ht="60" customHeight="1" x14ac:dyDescent="0.35">
      <c r="A127" s="95" t="s">
        <v>2518</v>
      </c>
      <c r="B127" s="78" t="s">
        <v>2528</v>
      </c>
      <c r="C127" s="80" t="s">
        <v>2529</v>
      </c>
      <c r="D127" s="82" t="s">
        <v>2530</v>
      </c>
      <c r="E127" s="82" t="s">
        <v>2531</v>
      </c>
      <c r="F127" s="83" t="s">
        <v>2194</v>
      </c>
      <c r="G127" s="83" t="s">
        <v>2094</v>
      </c>
      <c r="H127" s="83">
        <v>1</v>
      </c>
      <c r="I127" s="85" t="str">
        <f>IF(COUNTIF(J127:AW127,"&lt;&gt;")=0,"",SUMPRODUCT(((Recommendations[ImplStatus]="Implemented")+(Recommendations[ImplStatus]="Compensated"))*ISNUMBER(MATCH(Recommendations[Id],J127:AW127,0)))/COUNTIF(J127:AW127,"&lt;&gt;"))</f>
        <v/>
      </c>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98"/>
    </row>
    <row r="128" spans="1:49" ht="60" customHeight="1" x14ac:dyDescent="0.35">
      <c r="A128" s="95" t="s">
        <v>2518</v>
      </c>
      <c r="B128" s="78" t="s">
        <v>2532</v>
      </c>
      <c r="C128" s="80" t="s">
        <v>2533</v>
      </c>
      <c r="D128" s="82" t="s">
        <v>2534</v>
      </c>
      <c r="E128" s="82" t="s">
        <v>2535</v>
      </c>
      <c r="F128" s="83" t="s">
        <v>2194</v>
      </c>
      <c r="G128" s="83" t="s">
        <v>2094</v>
      </c>
      <c r="H128" s="83">
        <v>1</v>
      </c>
      <c r="I128" s="85" t="str">
        <f>IF(COUNTIF(J128:AW128,"&lt;&gt;")=0,"",SUMPRODUCT(((Recommendations[ImplStatus]="Implemented")+(Recommendations[ImplStatus]="Compensated"))*ISNUMBER(MATCH(Recommendations[Id],J128:AW128,0)))/COUNTIF(J128:AW128,"&lt;&gt;"))</f>
        <v/>
      </c>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98"/>
    </row>
    <row r="129" spans="1:49" ht="60" customHeight="1" x14ac:dyDescent="0.35">
      <c r="A129" s="95" t="s">
        <v>2518</v>
      </c>
      <c r="B129" s="78" t="s">
        <v>2536</v>
      </c>
      <c r="C129" s="80" t="s">
        <v>2537</v>
      </c>
      <c r="D129" s="82" t="s">
        <v>2538</v>
      </c>
      <c r="E129" s="82" t="s">
        <v>2539</v>
      </c>
      <c r="F129" s="83" t="s">
        <v>2194</v>
      </c>
      <c r="G129" s="83" t="s">
        <v>2094</v>
      </c>
      <c r="H129" s="83">
        <v>1</v>
      </c>
      <c r="I129" s="85" t="str">
        <f>IF(COUNTIF(J129:AW129,"&lt;&gt;")=0,"",SUMPRODUCT(((Recommendations[ImplStatus]="Implemented")+(Recommendations[ImplStatus]="Compensated"))*ISNUMBER(MATCH(Recommendations[Id],J129:AW129,0)))/COUNTIF(J129:AW129,"&lt;&gt;"))</f>
        <v/>
      </c>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98"/>
    </row>
    <row r="130" spans="1:49" ht="60" customHeight="1" x14ac:dyDescent="0.35">
      <c r="A130" s="95" t="s">
        <v>2518</v>
      </c>
      <c r="B130" s="78" t="s">
        <v>2540</v>
      </c>
      <c r="C130" s="80" t="s">
        <v>2541</v>
      </c>
      <c r="D130" s="82" t="s">
        <v>2542</v>
      </c>
      <c r="E130" s="82" t="s">
        <v>2543</v>
      </c>
      <c r="F130" s="83" t="s">
        <v>2194</v>
      </c>
      <c r="G130" s="83" t="s">
        <v>2094</v>
      </c>
      <c r="H130" s="83">
        <v>1</v>
      </c>
      <c r="I130" s="85" t="str">
        <f>IF(COUNTIF(J130:AW130,"&lt;&gt;")=0,"",SUMPRODUCT(((Recommendations[ImplStatus]="Implemented")+(Recommendations[ImplStatus]="Compensated"))*ISNUMBER(MATCH(Recommendations[Id],J130:AW130,0)))/COUNTIF(J130:AW130,"&lt;&gt;"))</f>
        <v/>
      </c>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98"/>
    </row>
    <row r="131" spans="1:49" ht="60" customHeight="1" x14ac:dyDescent="0.35">
      <c r="A131" s="95" t="s">
        <v>2518</v>
      </c>
      <c r="B131" s="78" t="s">
        <v>2544</v>
      </c>
      <c r="C131" s="80" t="s">
        <v>2545</v>
      </c>
      <c r="D131" s="82" t="s">
        <v>2546</v>
      </c>
      <c r="E131" s="82" t="s">
        <v>2547</v>
      </c>
      <c r="F131" s="83" t="s">
        <v>2194</v>
      </c>
      <c r="G131" s="83" t="s">
        <v>2094</v>
      </c>
      <c r="H131" s="83">
        <v>1</v>
      </c>
      <c r="I131" s="85" t="str">
        <f>IF(COUNTIF(J131:AW131,"&lt;&gt;")=0,"",SUMPRODUCT(((Recommendations[ImplStatus]="Implemented")+(Recommendations[ImplStatus]="Compensated"))*ISNUMBER(MATCH(Recommendations[Id],J131:AW131,0)))/COUNTIF(J131:AW131,"&lt;&gt;"))</f>
        <v/>
      </c>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98"/>
    </row>
    <row r="132" spans="1:49" ht="60" customHeight="1" x14ac:dyDescent="0.35">
      <c r="A132" s="95" t="s">
        <v>2518</v>
      </c>
      <c r="B132" s="78" t="s">
        <v>2548</v>
      </c>
      <c r="C132" s="80" t="s">
        <v>2549</v>
      </c>
      <c r="D132" s="82" t="s">
        <v>2550</v>
      </c>
      <c r="E132" s="82" t="s">
        <v>2551</v>
      </c>
      <c r="F132" s="83" t="s">
        <v>2194</v>
      </c>
      <c r="G132" s="83" t="s">
        <v>2094</v>
      </c>
      <c r="H132" s="83">
        <v>1</v>
      </c>
      <c r="I132" s="85" t="str">
        <f>IF(COUNTIF(J132:AW132,"&lt;&gt;")=0,"",SUMPRODUCT(((Recommendations[ImplStatus]="Implemented")+(Recommendations[ImplStatus]="Compensated"))*ISNUMBER(MATCH(Recommendations[Id],J132:AW132,0)))/COUNTIF(J132:AW132,"&lt;&gt;"))</f>
        <v/>
      </c>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98"/>
    </row>
    <row r="133" spans="1:49" ht="60" customHeight="1" x14ac:dyDescent="0.35">
      <c r="A133" s="95" t="s">
        <v>2518</v>
      </c>
      <c r="B133" s="78" t="s">
        <v>2552</v>
      </c>
      <c r="C133" s="80" t="s">
        <v>2553</v>
      </c>
      <c r="D133" s="82" t="s">
        <v>2554</v>
      </c>
      <c r="E133" s="82" t="s">
        <v>2555</v>
      </c>
      <c r="F133" s="83" t="s">
        <v>2194</v>
      </c>
      <c r="G133" s="83" t="s">
        <v>2094</v>
      </c>
      <c r="H133" s="83">
        <v>2</v>
      </c>
      <c r="I133" s="85" t="str">
        <f>IF(COUNTIF(J133:AW133,"&lt;&gt;")=0,"",SUMPRODUCT(((Recommendations[ImplStatus]="Implemented")+(Recommendations[ImplStatus]="Compensated"))*ISNUMBER(MATCH(Recommendations[Id],J133:AW133,0)))/COUNTIF(J133:AW133,"&lt;&gt;"))</f>
        <v/>
      </c>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98"/>
    </row>
    <row r="134" spans="1:49" ht="60" customHeight="1" outlineLevel="1" x14ac:dyDescent="0.35">
      <c r="A134" s="94" t="s">
        <v>2556</v>
      </c>
      <c r="B134" s="77">
        <v>15</v>
      </c>
      <c r="C134" s="79" t="s">
        <v>20</v>
      </c>
      <c r="D134" s="81" t="s">
        <v>2557</v>
      </c>
      <c r="E134" s="81" t="s">
        <v>20</v>
      </c>
      <c r="F134" s="77" t="s">
        <v>20</v>
      </c>
      <c r="G134" s="77" t="s">
        <v>20</v>
      </c>
      <c r="H134" s="77"/>
      <c r="I134" s="84" t="str">
        <f>IF(COUNTIF(J134:AW134,"&lt;&gt;")=0,"",SUMPRODUCT(((Recommendations[ImplStatus]="Implemented")+(Recommendations[ImplStatus]="Compensated"))*ISNUMBER(MATCH(Recommendations[Id],J134:AW134,0)))/COUNTIF(J134:AW134,"&lt;&gt;"))</f>
        <v/>
      </c>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97"/>
    </row>
    <row r="135" spans="1:49" ht="60" customHeight="1" x14ac:dyDescent="0.35">
      <c r="A135" s="95" t="s">
        <v>2556</v>
      </c>
      <c r="B135" s="78" t="s">
        <v>2558</v>
      </c>
      <c r="C135" s="80" t="s">
        <v>2559</v>
      </c>
      <c r="D135" s="82" t="s">
        <v>2560</v>
      </c>
      <c r="E135" s="82" t="s">
        <v>2561</v>
      </c>
      <c r="F135" s="83" t="s">
        <v>2194</v>
      </c>
      <c r="G135" s="83" t="s">
        <v>2052</v>
      </c>
      <c r="H135" s="83">
        <v>1</v>
      </c>
      <c r="I135" s="85" t="str">
        <f>IF(COUNTIF(J135:AW135,"&lt;&gt;")=0,"",SUMPRODUCT(((Recommendations[ImplStatus]="Implemented")+(Recommendations[ImplStatus]="Compensated"))*ISNUMBER(MATCH(Recommendations[Id],J135:AW135,0)))/COUNTIF(J135:AW135,"&lt;&gt;"))</f>
        <v/>
      </c>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98"/>
    </row>
    <row r="136" spans="1:49" ht="60" customHeight="1" x14ac:dyDescent="0.35">
      <c r="A136" s="95" t="s">
        <v>2556</v>
      </c>
      <c r="B136" s="78" t="s">
        <v>2562</v>
      </c>
      <c r="C136" s="80" t="s">
        <v>2563</v>
      </c>
      <c r="D136" s="82" t="s">
        <v>2564</v>
      </c>
      <c r="E136" s="82" t="s">
        <v>2565</v>
      </c>
      <c r="F136" s="83" t="s">
        <v>2169</v>
      </c>
      <c r="G136" s="83" t="s">
        <v>2110</v>
      </c>
      <c r="H136" s="83">
        <v>2</v>
      </c>
      <c r="I136" s="85" t="str">
        <f>IF(COUNTIF(J136:AW136,"&lt;&gt;")=0,"",SUMPRODUCT(((Recommendations[ImplStatus]="Implemented")+(Recommendations[ImplStatus]="Compensated"))*ISNUMBER(MATCH(Recommendations[Id],J136:AW136,0)))/COUNTIF(J136:AW136,"&lt;&gt;"))</f>
        <v/>
      </c>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98"/>
    </row>
    <row r="137" spans="1:49" ht="60" customHeight="1" x14ac:dyDescent="0.35">
      <c r="A137" s="95" t="s">
        <v>2556</v>
      </c>
      <c r="B137" s="78" t="s">
        <v>2566</v>
      </c>
      <c r="C137" s="80" t="s">
        <v>2567</v>
      </c>
      <c r="D137" s="82" t="s">
        <v>2568</v>
      </c>
      <c r="E137" s="82" t="s">
        <v>2569</v>
      </c>
      <c r="F137" s="83" t="s">
        <v>2194</v>
      </c>
      <c r="G137" s="83" t="s">
        <v>2110</v>
      </c>
      <c r="H137" s="83">
        <v>2</v>
      </c>
      <c r="I137" s="85" t="str">
        <f>IF(COUNTIF(J137:AW137,"&lt;&gt;")=0,"",SUMPRODUCT(((Recommendations[ImplStatus]="Implemented")+(Recommendations[ImplStatus]="Compensated"))*ISNUMBER(MATCH(Recommendations[Id],J137:AW137,0)))/COUNTIF(J137:AW137,"&lt;&gt;"))</f>
        <v/>
      </c>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98"/>
    </row>
    <row r="138" spans="1:49" ht="60" customHeight="1" x14ac:dyDescent="0.35">
      <c r="A138" s="95" t="s">
        <v>2556</v>
      </c>
      <c r="B138" s="78" t="s">
        <v>2570</v>
      </c>
      <c r="C138" s="80" t="s">
        <v>2571</v>
      </c>
      <c r="D138" s="82" t="s">
        <v>2572</v>
      </c>
      <c r="E138" s="82" t="s">
        <v>2573</v>
      </c>
      <c r="F138" s="83" t="s">
        <v>2169</v>
      </c>
      <c r="G138" s="83" t="s">
        <v>2110</v>
      </c>
      <c r="H138" s="83">
        <v>2</v>
      </c>
      <c r="I138" s="85" t="str">
        <f>IF(COUNTIF(J138:AW138,"&lt;&gt;")=0,"",SUMPRODUCT(((Recommendations[ImplStatus]="Implemented")+(Recommendations[ImplStatus]="Compensated"))*ISNUMBER(MATCH(Recommendations[Id],J138:AW138,0)))/COUNTIF(J138:AW138,"&lt;&gt;"))</f>
        <v/>
      </c>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98"/>
    </row>
    <row r="139" spans="1:49" ht="60" customHeight="1" x14ac:dyDescent="0.35">
      <c r="A139" s="95" t="s">
        <v>2556</v>
      </c>
      <c r="B139" s="78" t="s">
        <v>2574</v>
      </c>
      <c r="C139" s="80" t="s">
        <v>2575</v>
      </c>
      <c r="D139" s="82" t="s">
        <v>2576</v>
      </c>
      <c r="E139" s="82" t="s">
        <v>2577</v>
      </c>
      <c r="F139" s="83" t="s">
        <v>2194</v>
      </c>
      <c r="G139" s="83" t="s">
        <v>2110</v>
      </c>
      <c r="H139" s="83">
        <v>3</v>
      </c>
      <c r="I139" s="85" t="str">
        <f>IF(COUNTIF(J139:AW139,"&lt;&gt;")=0,"",SUMPRODUCT(((Recommendations[ImplStatus]="Implemented")+(Recommendations[ImplStatus]="Compensated"))*ISNUMBER(MATCH(Recommendations[Id],J139:AW139,0)))/COUNTIF(J139:AW139,"&lt;&gt;"))</f>
        <v/>
      </c>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98"/>
    </row>
    <row r="140" spans="1:49" ht="60" customHeight="1" x14ac:dyDescent="0.35">
      <c r="A140" s="95" t="s">
        <v>2556</v>
      </c>
      <c r="B140" s="78" t="s">
        <v>2578</v>
      </c>
      <c r="C140" s="80" t="s">
        <v>2579</v>
      </c>
      <c r="D140" s="82" t="s">
        <v>2580</v>
      </c>
      <c r="E140" s="82" t="s">
        <v>2581</v>
      </c>
      <c r="F140" s="83" t="s">
        <v>2109</v>
      </c>
      <c r="G140" s="83" t="s">
        <v>2110</v>
      </c>
      <c r="H140" s="83">
        <v>3</v>
      </c>
      <c r="I140" s="85" t="str">
        <f>IF(COUNTIF(J140:AW140,"&lt;&gt;")=0,"",SUMPRODUCT(((Recommendations[ImplStatus]="Implemented")+(Recommendations[ImplStatus]="Compensated"))*ISNUMBER(MATCH(Recommendations[Id],J140:AW140,0)))/COUNTIF(J140:AW140,"&lt;&gt;"))</f>
        <v/>
      </c>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98"/>
    </row>
    <row r="141" spans="1:49" ht="60" customHeight="1" x14ac:dyDescent="0.35">
      <c r="A141" s="95" t="s">
        <v>2556</v>
      </c>
      <c r="B141" s="78" t="s">
        <v>2582</v>
      </c>
      <c r="C141" s="80" t="s">
        <v>2583</v>
      </c>
      <c r="D141" s="82" t="s">
        <v>2584</v>
      </c>
      <c r="E141" s="82" t="s">
        <v>2585</v>
      </c>
      <c r="F141" s="83" t="s">
        <v>2109</v>
      </c>
      <c r="G141" s="83" t="s">
        <v>2094</v>
      </c>
      <c r="H141" s="83">
        <v>3</v>
      </c>
      <c r="I141" s="85" t="str">
        <f>IF(COUNTIF(J141:AW141,"&lt;&gt;")=0,"",SUMPRODUCT(((Recommendations[ImplStatus]="Implemented")+(Recommendations[ImplStatus]="Compensated"))*ISNUMBER(MATCH(Recommendations[Id],J141:AW141,0)))/COUNTIF(J141:AW141,"&lt;&gt;"))</f>
        <v/>
      </c>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98"/>
    </row>
    <row r="142" spans="1:49" ht="60" customHeight="1" outlineLevel="1" x14ac:dyDescent="0.35">
      <c r="A142" s="94" t="s">
        <v>2586</v>
      </c>
      <c r="B142" s="77">
        <v>16</v>
      </c>
      <c r="C142" s="79" t="s">
        <v>20</v>
      </c>
      <c r="D142" s="81" t="s">
        <v>2587</v>
      </c>
      <c r="E142" s="81" t="s">
        <v>20</v>
      </c>
      <c r="F142" s="77" t="s">
        <v>20</v>
      </c>
      <c r="G142" s="77" t="s">
        <v>20</v>
      </c>
      <c r="H142" s="77"/>
      <c r="I142" s="84" t="str">
        <f>IF(COUNTIF(J142:AW142,"&lt;&gt;")=0,"",SUMPRODUCT(((Recommendations[ImplStatus]="Implemented")+(Recommendations[ImplStatus]="Compensated"))*ISNUMBER(MATCH(Recommendations[Id],J142:AW142,0)))/COUNTIF(J142:AW142,"&lt;&gt;"))</f>
        <v/>
      </c>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97"/>
    </row>
    <row r="143" spans="1:49" ht="60" customHeight="1" x14ac:dyDescent="0.35">
      <c r="A143" s="95" t="s">
        <v>2586</v>
      </c>
      <c r="B143" s="78" t="s">
        <v>2588</v>
      </c>
      <c r="C143" s="80" t="s">
        <v>2589</v>
      </c>
      <c r="D143" s="82" t="s">
        <v>2590</v>
      </c>
      <c r="E143" s="82" t="s">
        <v>2591</v>
      </c>
      <c r="F143" s="83" t="s">
        <v>2169</v>
      </c>
      <c r="G143" s="83" t="s">
        <v>2110</v>
      </c>
      <c r="H143" s="83">
        <v>2</v>
      </c>
      <c r="I143" s="85" t="str">
        <f>IF(COUNTIF(J143:AW143,"&lt;&gt;")=0,"",SUMPRODUCT(((Recommendations[ImplStatus]="Implemented")+(Recommendations[ImplStatus]="Compensated"))*ISNUMBER(MATCH(Recommendations[Id],J143:AW143,0)))/COUNTIF(J143:AW143,"&lt;&gt;"))</f>
        <v/>
      </c>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98"/>
    </row>
    <row r="144" spans="1:49" ht="60" customHeight="1" x14ac:dyDescent="0.35">
      <c r="A144" s="95" t="s">
        <v>2586</v>
      </c>
      <c r="B144" s="78" t="s">
        <v>2592</v>
      </c>
      <c r="C144" s="80" t="s">
        <v>2593</v>
      </c>
      <c r="D144" s="82" t="s">
        <v>2594</v>
      </c>
      <c r="E144" s="82" t="s">
        <v>2595</v>
      </c>
      <c r="F144" s="83" t="s">
        <v>2169</v>
      </c>
      <c r="G144" s="83" t="s">
        <v>2110</v>
      </c>
      <c r="H144" s="83">
        <v>2</v>
      </c>
      <c r="I144" s="85" t="str">
        <f>IF(COUNTIF(J144:AW144,"&lt;&gt;")=0,"",SUMPRODUCT(((Recommendations[ImplStatus]="Implemented")+(Recommendations[ImplStatus]="Compensated"))*ISNUMBER(MATCH(Recommendations[Id],J144:AW144,0)))/COUNTIF(J144:AW144,"&lt;&gt;"))</f>
        <v/>
      </c>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98"/>
    </row>
    <row r="145" spans="1:49" ht="60" customHeight="1" x14ac:dyDescent="0.35">
      <c r="A145" s="95" t="s">
        <v>2586</v>
      </c>
      <c r="B145" s="78" t="s">
        <v>2596</v>
      </c>
      <c r="C145" s="80" t="s">
        <v>2597</v>
      </c>
      <c r="D145" s="82" t="s">
        <v>2598</v>
      </c>
      <c r="E145" s="82" t="s">
        <v>2599</v>
      </c>
      <c r="F145" s="83" t="s">
        <v>2077</v>
      </c>
      <c r="G145" s="83" t="s">
        <v>2062</v>
      </c>
      <c r="H145" s="83">
        <v>2</v>
      </c>
      <c r="I145" s="85" t="str">
        <f>IF(COUNTIF(J145:AW145,"&lt;&gt;")=0,"",SUMPRODUCT(((Recommendations[ImplStatus]="Implemented")+(Recommendations[ImplStatus]="Compensated"))*ISNUMBER(MATCH(Recommendations[Id],J145:AW145,0)))/COUNTIF(J145:AW145,"&lt;&gt;"))</f>
        <v/>
      </c>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98"/>
    </row>
    <row r="146" spans="1:49" ht="60" customHeight="1" x14ac:dyDescent="0.35">
      <c r="A146" s="95" t="s">
        <v>2586</v>
      </c>
      <c r="B146" s="78" t="s">
        <v>2600</v>
      </c>
      <c r="C146" s="80" t="s">
        <v>2601</v>
      </c>
      <c r="D146" s="82" t="s">
        <v>2602</v>
      </c>
      <c r="E146" s="82" t="s">
        <v>2603</v>
      </c>
      <c r="F146" s="83" t="s">
        <v>2077</v>
      </c>
      <c r="G146" s="83" t="s">
        <v>2052</v>
      </c>
      <c r="H146" s="83">
        <v>2</v>
      </c>
      <c r="I146" s="85" t="str">
        <f>IF(COUNTIF(J146:AW146,"&lt;&gt;")=0,"",SUMPRODUCT(((Recommendations[ImplStatus]="Implemented")+(Recommendations[ImplStatus]="Compensated"))*ISNUMBER(MATCH(Recommendations[Id],J146:AW146,0)))/COUNTIF(J146:AW146,"&lt;&gt;"))</f>
        <v/>
      </c>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98"/>
    </row>
    <row r="147" spans="1:49" ht="60" customHeight="1" x14ac:dyDescent="0.35">
      <c r="A147" s="95" t="s">
        <v>2586</v>
      </c>
      <c r="B147" s="78" t="s">
        <v>2604</v>
      </c>
      <c r="C147" s="80" t="s">
        <v>2605</v>
      </c>
      <c r="D147" s="82" t="s">
        <v>2606</v>
      </c>
      <c r="E147" s="82" t="s">
        <v>2607</v>
      </c>
      <c r="F147" s="83" t="s">
        <v>2077</v>
      </c>
      <c r="G147" s="83" t="s">
        <v>2094</v>
      </c>
      <c r="H147" s="83">
        <v>2</v>
      </c>
      <c r="I147" s="85" t="str">
        <f>IF(COUNTIF(J147:AW147,"&lt;&gt;")=0,"",SUMPRODUCT(((Recommendations[ImplStatus]="Implemented")+(Recommendations[ImplStatus]="Compensated"))*ISNUMBER(MATCH(Recommendations[Id],J147:AW147,0)))/COUNTIF(J147:AW147,"&lt;&gt;"))</f>
        <v/>
      </c>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98"/>
    </row>
    <row r="148" spans="1:49" ht="60" customHeight="1" x14ac:dyDescent="0.35">
      <c r="A148" s="95" t="s">
        <v>2586</v>
      </c>
      <c r="B148" s="78" t="s">
        <v>2608</v>
      </c>
      <c r="C148" s="80" t="s">
        <v>2609</v>
      </c>
      <c r="D148" s="82" t="s">
        <v>2610</v>
      </c>
      <c r="E148" s="82" t="s">
        <v>2611</v>
      </c>
      <c r="F148" s="83" t="s">
        <v>2169</v>
      </c>
      <c r="G148" s="83" t="s">
        <v>2110</v>
      </c>
      <c r="H148" s="83">
        <v>2</v>
      </c>
      <c r="I148" s="85" t="str">
        <f>IF(COUNTIF(J148:AW148,"&lt;&gt;")=0,"",SUMPRODUCT(((Recommendations[ImplStatus]="Implemented")+(Recommendations[ImplStatus]="Compensated"))*ISNUMBER(MATCH(Recommendations[Id],J148:AW148,0)))/COUNTIF(J148:AW148,"&lt;&gt;"))</f>
        <v/>
      </c>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98"/>
    </row>
    <row r="149" spans="1:49" ht="60" customHeight="1" x14ac:dyDescent="0.35">
      <c r="A149" s="95" t="s">
        <v>2586</v>
      </c>
      <c r="B149" s="78" t="s">
        <v>2612</v>
      </c>
      <c r="C149" s="80" t="s">
        <v>2613</v>
      </c>
      <c r="D149" s="82" t="s">
        <v>2614</v>
      </c>
      <c r="E149" s="82" t="s">
        <v>2615</v>
      </c>
      <c r="F149" s="83" t="s">
        <v>2077</v>
      </c>
      <c r="G149" s="83" t="s">
        <v>2094</v>
      </c>
      <c r="H149" s="83">
        <v>2</v>
      </c>
      <c r="I149" s="85" t="str">
        <f>IF(COUNTIF(J149:AW149,"&lt;&gt;")=0,"",SUMPRODUCT(((Recommendations[ImplStatus]="Implemented")+(Recommendations[ImplStatus]="Compensated"))*ISNUMBER(MATCH(Recommendations[Id],J149:AW149,0)))/COUNTIF(J149:AW149,"&lt;&gt;"))</f>
        <v/>
      </c>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98"/>
    </row>
    <row r="150" spans="1:49" ht="60" customHeight="1" x14ac:dyDescent="0.35">
      <c r="A150" s="95" t="s">
        <v>2586</v>
      </c>
      <c r="B150" s="78" t="s">
        <v>2616</v>
      </c>
      <c r="C150" s="80" t="s">
        <v>2617</v>
      </c>
      <c r="D150" s="82" t="s">
        <v>2618</v>
      </c>
      <c r="E150" s="82" t="s">
        <v>2619</v>
      </c>
      <c r="F150" s="83" t="s">
        <v>2322</v>
      </c>
      <c r="G150" s="83" t="s">
        <v>2094</v>
      </c>
      <c r="H150" s="83">
        <v>2</v>
      </c>
      <c r="I150" s="85" t="str">
        <f>IF(COUNTIF(J150:AW150,"&lt;&gt;")=0,"",SUMPRODUCT(((Recommendations[ImplStatus]="Implemented")+(Recommendations[ImplStatus]="Compensated"))*ISNUMBER(MATCH(Recommendations[Id],J150:AW150,0)))/COUNTIF(J150:AW150,"&lt;&gt;"))</f>
        <v/>
      </c>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98"/>
    </row>
    <row r="151" spans="1:49" ht="60" customHeight="1" x14ac:dyDescent="0.35">
      <c r="A151" s="95" t="s">
        <v>2586</v>
      </c>
      <c r="B151" s="78" t="s">
        <v>2620</v>
      </c>
      <c r="C151" s="80" t="s">
        <v>2621</v>
      </c>
      <c r="D151" s="82" t="s">
        <v>2622</v>
      </c>
      <c r="E151" s="82" t="s">
        <v>2623</v>
      </c>
      <c r="F151" s="83" t="s">
        <v>2194</v>
      </c>
      <c r="G151" s="83" t="s">
        <v>2094</v>
      </c>
      <c r="H151" s="83">
        <v>2</v>
      </c>
      <c r="I151" s="85" t="str">
        <f>IF(COUNTIF(J151:AW151,"&lt;&gt;")=0,"",SUMPRODUCT(((Recommendations[ImplStatus]="Implemented")+(Recommendations[ImplStatus]="Compensated"))*ISNUMBER(MATCH(Recommendations[Id],J151:AW151,0)))/COUNTIF(J151:AW151,"&lt;&gt;"))</f>
        <v/>
      </c>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98"/>
    </row>
    <row r="152" spans="1:49" ht="60" customHeight="1" x14ac:dyDescent="0.35">
      <c r="A152" s="95" t="s">
        <v>2586</v>
      </c>
      <c r="B152" s="78" t="s">
        <v>2624</v>
      </c>
      <c r="C152" s="80" t="s">
        <v>2625</v>
      </c>
      <c r="D152" s="82" t="s">
        <v>2626</v>
      </c>
      <c r="E152" s="82" t="s">
        <v>2627</v>
      </c>
      <c r="F152" s="83" t="s">
        <v>2077</v>
      </c>
      <c r="G152" s="83" t="s">
        <v>2094</v>
      </c>
      <c r="H152" s="83">
        <v>2</v>
      </c>
      <c r="I152" s="85" t="str">
        <f>IF(COUNTIF(J152:AW152,"&lt;&gt;")=0,"",SUMPRODUCT(((Recommendations[ImplStatus]="Implemented")+(Recommendations[ImplStatus]="Compensated"))*ISNUMBER(MATCH(Recommendations[Id],J152:AW152,0)))/COUNTIF(J152:AW152,"&lt;&gt;"))</f>
        <v/>
      </c>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98"/>
    </row>
    <row r="153" spans="1:49" ht="60" customHeight="1" x14ac:dyDescent="0.35">
      <c r="A153" s="95" t="s">
        <v>2586</v>
      </c>
      <c r="B153" s="78" t="s">
        <v>2628</v>
      </c>
      <c r="C153" s="80" t="s">
        <v>2629</v>
      </c>
      <c r="D153" s="82" t="s">
        <v>2630</v>
      </c>
      <c r="E153" s="82" t="s">
        <v>2631</v>
      </c>
      <c r="F153" s="83" t="s">
        <v>2077</v>
      </c>
      <c r="G153" s="83" t="s">
        <v>2094</v>
      </c>
      <c r="H153" s="83">
        <v>2</v>
      </c>
      <c r="I153" s="85" t="str">
        <f>IF(COUNTIF(J153:AW153,"&lt;&gt;")=0,"",SUMPRODUCT(((Recommendations[ImplStatus]="Implemented")+(Recommendations[ImplStatus]="Compensated"))*ISNUMBER(MATCH(Recommendations[Id],J153:AW153,0)))/COUNTIF(J153:AW153,"&lt;&gt;"))</f>
        <v/>
      </c>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98"/>
    </row>
    <row r="154" spans="1:49" ht="60" customHeight="1" x14ac:dyDescent="0.35">
      <c r="A154" s="95" t="s">
        <v>2586</v>
      </c>
      <c r="B154" s="78" t="s">
        <v>2632</v>
      </c>
      <c r="C154" s="80" t="s">
        <v>2633</v>
      </c>
      <c r="D154" s="82" t="s">
        <v>2634</v>
      </c>
      <c r="E154" s="82" t="s">
        <v>2635</v>
      </c>
      <c r="F154" s="83" t="s">
        <v>2077</v>
      </c>
      <c r="G154" s="83" t="s">
        <v>2094</v>
      </c>
      <c r="H154" s="83">
        <v>3</v>
      </c>
      <c r="I154" s="85" t="str">
        <f>IF(COUNTIF(J154:AW154,"&lt;&gt;")=0,"",SUMPRODUCT(((Recommendations[ImplStatus]="Implemented")+(Recommendations[ImplStatus]="Compensated"))*ISNUMBER(MATCH(Recommendations[Id],J154:AW154,0)))/COUNTIF(J154:AW154,"&lt;&gt;"))</f>
        <v/>
      </c>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98"/>
    </row>
    <row r="155" spans="1:49" ht="60" customHeight="1" x14ac:dyDescent="0.35">
      <c r="A155" s="95" t="s">
        <v>2586</v>
      </c>
      <c r="B155" s="78" t="s">
        <v>2636</v>
      </c>
      <c r="C155" s="80" t="s">
        <v>2637</v>
      </c>
      <c r="D155" s="82" t="s">
        <v>2638</v>
      </c>
      <c r="E155" s="82" t="s">
        <v>2639</v>
      </c>
      <c r="F155" s="83" t="s">
        <v>2077</v>
      </c>
      <c r="G155" s="83" t="s">
        <v>2062</v>
      </c>
      <c r="H155" s="83">
        <v>3</v>
      </c>
      <c r="I155" s="85" t="str">
        <f>IF(COUNTIF(J155:AW155,"&lt;&gt;")=0,"",SUMPRODUCT(((Recommendations[ImplStatus]="Implemented")+(Recommendations[ImplStatus]="Compensated"))*ISNUMBER(MATCH(Recommendations[Id],J155:AW155,0)))/COUNTIF(J155:AW155,"&lt;&gt;"))</f>
        <v/>
      </c>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98"/>
    </row>
    <row r="156" spans="1:49" ht="60" customHeight="1" x14ac:dyDescent="0.35">
      <c r="A156" s="95" t="s">
        <v>2586</v>
      </c>
      <c r="B156" s="78" t="s">
        <v>2640</v>
      </c>
      <c r="C156" s="80" t="s">
        <v>2641</v>
      </c>
      <c r="D156" s="82" t="s">
        <v>2642</v>
      </c>
      <c r="E156" s="82" t="s">
        <v>2643</v>
      </c>
      <c r="F156" s="83" t="s">
        <v>2077</v>
      </c>
      <c r="G156" s="83" t="s">
        <v>2094</v>
      </c>
      <c r="H156" s="83">
        <v>3</v>
      </c>
      <c r="I156" s="85" t="str">
        <f>IF(COUNTIF(J156:AW156,"&lt;&gt;")=0,"",SUMPRODUCT(((Recommendations[ImplStatus]="Implemented")+(Recommendations[ImplStatus]="Compensated"))*ISNUMBER(MATCH(Recommendations[Id],J156:AW156,0)))/COUNTIF(J156:AW156,"&lt;&gt;"))</f>
        <v/>
      </c>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98"/>
    </row>
    <row r="157" spans="1:49" ht="60" customHeight="1" outlineLevel="1" x14ac:dyDescent="0.35">
      <c r="A157" s="94" t="s">
        <v>2644</v>
      </c>
      <c r="B157" s="77">
        <v>17</v>
      </c>
      <c r="C157" s="79" t="s">
        <v>20</v>
      </c>
      <c r="D157" s="81" t="s">
        <v>2645</v>
      </c>
      <c r="E157" s="81" t="s">
        <v>20</v>
      </c>
      <c r="F157" s="77" t="s">
        <v>20</v>
      </c>
      <c r="G157" s="77" t="s">
        <v>20</v>
      </c>
      <c r="H157" s="77"/>
      <c r="I157" s="84" t="str">
        <f>IF(COUNTIF(J157:AW157,"&lt;&gt;")=0,"",SUMPRODUCT(((Recommendations[ImplStatus]="Implemented")+(Recommendations[ImplStatus]="Compensated"))*ISNUMBER(MATCH(Recommendations[Id],J157:AW157,0)))/COUNTIF(J157:AW157,"&lt;&gt;"))</f>
        <v/>
      </c>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97"/>
    </row>
    <row r="158" spans="1:49" ht="60" customHeight="1" x14ac:dyDescent="0.35">
      <c r="A158" s="95" t="s">
        <v>2644</v>
      </c>
      <c r="B158" s="78" t="s">
        <v>2646</v>
      </c>
      <c r="C158" s="80" t="s">
        <v>2647</v>
      </c>
      <c r="D158" s="82" t="s">
        <v>2648</v>
      </c>
      <c r="E158" s="82" t="s">
        <v>2649</v>
      </c>
      <c r="F158" s="83" t="s">
        <v>2194</v>
      </c>
      <c r="G158" s="83" t="s">
        <v>2057</v>
      </c>
      <c r="H158" s="83">
        <v>1</v>
      </c>
      <c r="I158" s="85" t="str">
        <f>IF(COUNTIF(J158:AW158,"&lt;&gt;")=0,"",SUMPRODUCT(((Recommendations[ImplStatus]="Implemented")+(Recommendations[ImplStatus]="Compensated"))*ISNUMBER(MATCH(Recommendations[Id],J158:AW158,0)))/COUNTIF(J158:AW158,"&lt;&gt;"))</f>
        <v/>
      </c>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98"/>
    </row>
    <row r="159" spans="1:49" ht="60" customHeight="1" x14ac:dyDescent="0.35">
      <c r="A159" s="95" t="s">
        <v>2644</v>
      </c>
      <c r="B159" s="78" t="s">
        <v>2650</v>
      </c>
      <c r="C159" s="80" t="s">
        <v>2651</v>
      </c>
      <c r="D159" s="82" t="s">
        <v>2652</v>
      </c>
      <c r="E159" s="82" t="s">
        <v>2653</v>
      </c>
      <c r="F159" s="83" t="s">
        <v>2169</v>
      </c>
      <c r="G159" s="83" t="s">
        <v>2110</v>
      </c>
      <c r="H159" s="83">
        <v>1</v>
      </c>
      <c r="I159" s="85" t="str">
        <f>IF(COUNTIF(J159:AW159,"&lt;&gt;")=0,"",SUMPRODUCT(((Recommendations[ImplStatus]="Implemented")+(Recommendations[ImplStatus]="Compensated"))*ISNUMBER(MATCH(Recommendations[Id],J159:AW159,0)))/COUNTIF(J159:AW159,"&lt;&gt;"))</f>
        <v/>
      </c>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98"/>
    </row>
    <row r="160" spans="1:49" ht="60" customHeight="1" x14ac:dyDescent="0.35">
      <c r="A160" s="95" t="s">
        <v>2644</v>
      </c>
      <c r="B160" s="78" t="s">
        <v>2654</v>
      </c>
      <c r="C160" s="80" t="s">
        <v>2655</v>
      </c>
      <c r="D160" s="82" t="s">
        <v>2656</v>
      </c>
      <c r="E160" s="82" t="s">
        <v>2657</v>
      </c>
      <c r="F160" s="83" t="s">
        <v>2169</v>
      </c>
      <c r="G160" s="83" t="s">
        <v>2110</v>
      </c>
      <c r="H160" s="83">
        <v>1</v>
      </c>
      <c r="I160" s="85" t="str">
        <f>IF(COUNTIF(J160:AW160,"&lt;&gt;")=0,"",SUMPRODUCT(((Recommendations[ImplStatus]="Implemented")+(Recommendations[ImplStatus]="Compensated"))*ISNUMBER(MATCH(Recommendations[Id],J160:AW160,0)))/COUNTIF(J160:AW160,"&lt;&gt;"))</f>
        <v/>
      </c>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98"/>
    </row>
    <row r="161" spans="1:49" ht="60" customHeight="1" x14ac:dyDescent="0.35">
      <c r="A161" s="95" t="s">
        <v>2644</v>
      </c>
      <c r="B161" s="78" t="s">
        <v>2658</v>
      </c>
      <c r="C161" s="80" t="s">
        <v>2659</v>
      </c>
      <c r="D161" s="82" t="s">
        <v>2660</v>
      </c>
      <c r="E161" s="82" t="s">
        <v>2661</v>
      </c>
      <c r="F161" s="83" t="s">
        <v>2169</v>
      </c>
      <c r="G161" s="83" t="s">
        <v>2110</v>
      </c>
      <c r="H161" s="83">
        <v>2</v>
      </c>
      <c r="I161" s="85" t="str">
        <f>IF(COUNTIF(J161:AW161,"&lt;&gt;")=0,"",SUMPRODUCT(((Recommendations[ImplStatus]="Implemented")+(Recommendations[ImplStatus]="Compensated"))*ISNUMBER(MATCH(Recommendations[Id],J161:AW161,0)))/COUNTIF(J161:AW161,"&lt;&gt;"))</f>
        <v/>
      </c>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98"/>
    </row>
    <row r="162" spans="1:49" ht="60" customHeight="1" x14ac:dyDescent="0.35">
      <c r="A162" s="95" t="s">
        <v>2644</v>
      </c>
      <c r="B162" s="78" t="s">
        <v>2662</v>
      </c>
      <c r="C162" s="80" t="s">
        <v>2663</v>
      </c>
      <c r="D162" s="82" t="s">
        <v>2664</v>
      </c>
      <c r="E162" s="82" t="s">
        <v>2665</v>
      </c>
      <c r="F162" s="83" t="s">
        <v>2194</v>
      </c>
      <c r="G162" s="83" t="s">
        <v>2057</v>
      </c>
      <c r="H162" s="83">
        <v>2</v>
      </c>
      <c r="I162" s="85" t="str">
        <f>IF(COUNTIF(J162:AW162,"&lt;&gt;")=0,"",SUMPRODUCT(((Recommendations[ImplStatus]="Implemented")+(Recommendations[ImplStatus]="Compensated"))*ISNUMBER(MATCH(Recommendations[Id],J162:AW162,0)))/COUNTIF(J162:AW162,"&lt;&gt;"))</f>
        <v/>
      </c>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98"/>
    </row>
    <row r="163" spans="1:49" ht="60" customHeight="1" x14ac:dyDescent="0.35">
      <c r="A163" s="95" t="s">
        <v>2644</v>
      </c>
      <c r="B163" s="78" t="s">
        <v>2666</v>
      </c>
      <c r="C163" s="80" t="s">
        <v>2667</v>
      </c>
      <c r="D163" s="82" t="s">
        <v>2668</v>
      </c>
      <c r="E163" s="82" t="s">
        <v>2669</v>
      </c>
      <c r="F163" s="83" t="s">
        <v>2194</v>
      </c>
      <c r="G163" s="83" t="s">
        <v>2057</v>
      </c>
      <c r="H163" s="83">
        <v>2</v>
      </c>
      <c r="I163" s="85" t="str">
        <f>IF(COUNTIF(J163:AW163,"&lt;&gt;")=0,"",SUMPRODUCT(((Recommendations[ImplStatus]="Implemented")+(Recommendations[ImplStatus]="Compensated"))*ISNUMBER(MATCH(Recommendations[Id],J163:AW163,0)))/COUNTIF(J163:AW163,"&lt;&gt;"))</f>
        <v/>
      </c>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98"/>
    </row>
    <row r="164" spans="1:49" ht="60" customHeight="1" x14ac:dyDescent="0.35">
      <c r="A164" s="95" t="s">
        <v>2644</v>
      </c>
      <c r="B164" s="78" t="s">
        <v>2670</v>
      </c>
      <c r="C164" s="80" t="s">
        <v>2671</v>
      </c>
      <c r="D164" s="82" t="s">
        <v>2672</v>
      </c>
      <c r="E164" s="82" t="s">
        <v>2673</v>
      </c>
      <c r="F164" s="83" t="s">
        <v>2194</v>
      </c>
      <c r="G164" s="83" t="s">
        <v>2425</v>
      </c>
      <c r="H164" s="83">
        <v>2</v>
      </c>
      <c r="I164" s="85" t="str">
        <f>IF(COUNTIF(J164:AW164,"&lt;&gt;")=0,"",SUMPRODUCT(((Recommendations[ImplStatus]="Implemented")+(Recommendations[ImplStatus]="Compensated"))*ISNUMBER(MATCH(Recommendations[Id],J164:AW164,0)))/COUNTIF(J164:AW164,"&lt;&gt;"))</f>
        <v/>
      </c>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98"/>
    </row>
    <row r="165" spans="1:49" ht="60" customHeight="1" x14ac:dyDescent="0.35">
      <c r="A165" s="95" t="s">
        <v>2644</v>
      </c>
      <c r="B165" s="78" t="s">
        <v>2674</v>
      </c>
      <c r="C165" s="80" t="s">
        <v>2675</v>
      </c>
      <c r="D165" s="82" t="s">
        <v>2676</v>
      </c>
      <c r="E165" s="82" t="s">
        <v>2677</v>
      </c>
      <c r="F165" s="83" t="s">
        <v>2194</v>
      </c>
      <c r="G165" s="83" t="s">
        <v>2425</v>
      </c>
      <c r="H165" s="83">
        <v>2</v>
      </c>
      <c r="I165" s="85" t="str">
        <f>IF(COUNTIF(J165:AW165,"&lt;&gt;")=0,"",SUMPRODUCT(((Recommendations[ImplStatus]="Implemented")+(Recommendations[ImplStatus]="Compensated"))*ISNUMBER(MATCH(Recommendations[Id],J165:AW165,0)))/COUNTIF(J165:AW165,"&lt;&gt;"))</f>
        <v/>
      </c>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98"/>
    </row>
    <row r="166" spans="1:49" ht="60" customHeight="1" x14ac:dyDescent="0.35">
      <c r="A166" s="95" t="s">
        <v>2644</v>
      </c>
      <c r="B166" s="78" t="s">
        <v>2678</v>
      </c>
      <c r="C166" s="80" t="s">
        <v>2679</v>
      </c>
      <c r="D166" s="82" t="s">
        <v>2680</v>
      </c>
      <c r="E166" s="82" t="s">
        <v>2681</v>
      </c>
      <c r="F166" s="83" t="s">
        <v>2169</v>
      </c>
      <c r="G166" s="83" t="s">
        <v>2425</v>
      </c>
      <c r="H166" s="83">
        <v>3</v>
      </c>
      <c r="I166" s="85" t="str">
        <f>IF(COUNTIF(J166:AW166,"&lt;&gt;")=0,"",SUMPRODUCT(((Recommendations[ImplStatus]="Implemented")+(Recommendations[ImplStatus]="Compensated"))*ISNUMBER(MATCH(Recommendations[Id],J166:AW166,0)))/COUNTIF(J166:AW166,"&lt;&gt;"))</f>
        <v/>
      </c>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98"/>
    </row>
    <row r="167" spans="1:49" ht="60" customHeight="1" outlineLevel="1" x14ac:dyDescent="0.35">
      <c r="A167" s="94" t="s">
        <v>2682</v>
      </c>
      <c r="B167" s="77">
        <v>18</v>
      </c>
      <c r="C167" s="79" t="s">
        <v>20</v>
      </c>
      <c r="D167" s="81" t="s">
        <v>2683</v>
      </c>
      <c r="E167" s="81" t="s">
        <v>20</v>
      </c>
      <c r="F167" s="77" t="s">
        <v>20</v>
      </c>
      <c r="G167" s="77" t="s">
        <v>20</v>
      </c>
      <c r="H167" s="77"/>
      <c r="I167" s="84" t="str">
        <f>IF(COUNTIF(J167:AW167,"&lt;&gt;")=0,"",SUMPRODUCT(((Recommendations[ImplStatus]="Implemented")+(Recommendations[ImplStatus]="Compensated"))*ISNUMBER(MATCH(Recommendations[Id],J167:AW167,0)))/COUNTIF(J167:AW167,"&lt;&gt;"))</f>
        <v/>
      </c>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97"/>
    </row>
    <row r="168" spans="1:49" ht="60" customHeight="1" x14ac:dyDescent="0.35">
      <c r="A168" s="95" t="s">
        <v>2682</v>
      </c>
      <c r="B168" s="78" t="s">
        <v>2684</v>
      </c>
      <c r="C168" s="80" t="s">
        <v>2685</v>
      </c>
      <c r="D168" s="82" t="s">
        <v>2686</v>
      </c>
      <c r="E168" s="82" t="s">
        <v>2687</v>
      </c>
      <c r="F168" s="83" t="s">
        <v>2169</v>
      </c>
      <c r="G168" s="83" t="s">
        <v>2110</v>
      </c>
      <c r="H168" s="83">
        <v>2</v>
      </c>
      <c r="I168" s="85" t="str">
        <f>IF(COUNTIF(J168:AW168,"&lt;&gt;")=0,"",SUMPRODUCT(((Recommendations[ImplStatus]="Implemented")+(Recommendations[ImplStatus]="Compensated"))*ISNUMBER(MATCH(Recommendations[Id],J168:AW168,0)))/COUNTIF(J168:AW168,"&lt;&gt;"))</f>
        <v/>
      </c>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98"/>
    </row>
    <row r="169" spans="1:49" ht="60" customHeight="1" x14ac:dyDescent="0.35">
      <c r="A169" s="95" t="s">
        <v>2682</v>
      </c>
      <c r="B169" s="78" t="s">
        <v>2688</v>
      </c>
      <c r="C169" s="80" t="s">
        <v>2689</v>
      </c>
      <c r="D169" s="82" t="s">
        <v>2690</v>
      </c>
      <c r="E169" s="82" t="s">
        <v>2691</v>
      </c>
      <c r="F169" s="83" t="s">
        <v>2322</v>
      </c>
      <c r="G169" s="83" t="s">
        <v>2062</v>
      </c>
      <c r="H169" s="83">
        <v>2</v>
      </c>
      <c r="I169" s="85" t="str">
        <f>IF(COUNTIF(J169:AW169,"&lt;&gt;")=0,"",SUMPRODUCT(((Recommendations[ImplStatus]="Implemented")+(Recommendations[ImplStatus]="Compensated"))*ISNUMBER(MATCH(Recommendations[Id],J169:AW169,0)))/COUNTIF(J169:AW169,"&lt;&gt;"))</f>
        <v/>
      </c>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98"/>
    </row>
    <row r="170" spans="1:49" ht="60" customHeight="1" x14ac:dyDescent="0.35">
      <c r="A170" s="95" t="s">
        <v>2682</v>
      </c>
      <c r="B170" s="78" t="s">
        <v>2692</v>
      </c>
      <c r="C170" s="80" t="s">
        <v>2693</v>
      </c>
      <c r="D170" s="82" t="s">
        <v>2694</v>
      </c>
      <c r="E170" s="82" t="s">
        <v>2695</v>
      </c>
      <c r="F170" s="83" t="s">
        <v>2322</v>
      </c>
      <c r="G170" s="83" t="s">
        <v>2094</v>
      </c>
      <c r="H170" s="83">
        <v>2</v>
      </c>
      <c r="I170" s="85" t="str">
        <f>IF(COUNTIF(J170:AW170,"&lt;&gt;")=0,"",SUMPRODUCT(((Recommendations[ImplStatus]="Implemented")+(Recommendations[ImplStatus]="Compensated"))*ISNUMBER(MATCH(Recommendations[Id],J170:AW170,0)))/COUNTIF(J170:AW170,"&lt;&gt;"))</f>
        <v/>
      </c>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98"/>
    </row>
    <row r="171" spans="1:49" ht="60" customHeight="1" x14ac:dyDescent="0.35">
      <c r="A171" s="95" t="s">
        <v>2682</v>
      </c>
      <c r="B171" s="78" t="s">
        <v>2696</v>
      </c>
      <c r="C171" s="80" t="s">
        <v>2697</v>
      </c>
      <c r="D171" s="82" t="s">
        <v>2698</v>
      </c>
      <c r="E171" s="82" t="s">
        <v>2699</v>
      </c>
      <c r="F171" s="83" t="s">
        <v>2322</v>
      </c>
      <c r="G171" s="83" t="s">
        <v>2094</v>
      </c>
      <c r="H171" s="83">
        <v>3</v>
      </c>
      <c r="I171" s="85" t="str">
        <f>IF(COUNTIF(J171:AW171,"&lt;&gt;")=0,"",SUMPRODUCT(((Recommendations[ImplStatus]="Implemented")+(Recommendations[ImplStatus]="Compensated"))*ISNUMBER(MATCH(Recommendations[Id],J171:AW171,0)))/COUNTIF(J171:AW171,"&lt;&gt;"))</f>
        <v/>
      </c>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98"/>
    </row>
    <row r="172" spans="1:49" ht="60" customHeight="1" x14ac:dyDescent="0.35">
      <c r="A172" s="96" t="s">
        <v>2682</v>
      </c>
      <c r="B172" s="88" t="s">
        <v>2700</v>
      </c>
      <c r="C172" s="89" t="s">
        <v>2701</v>
      </c>
      <c r="D172" s="90" t="s">
        <v>2702</v>
      </c>
      <c r="E172" s="90" t="s">
        <v>2703</v>
      </c>
      <c r="F172" s="91" t="s">
        <v>2322</v>
      </c>
      <c r="G172" s="91" t="s">
        <v>2062</v>
      </c>
      <c r="H172" s="91">
        <v>3</v>
      </c>
      <c r="I172" s="92" t="str">
        <f>IF(COUNTIF(J172:AW172,"&lt;&gt;")=0,"",SUMPRODUCT(((Recommendations[ImplStatus]="Implemented")+(Recommendations[ImplStatus]="Compensated"))*ISNUMBER(MATCH(Recommendations[Id],J172:AW172,0)))/COUNTIF(J172:AW172,"&lt;&gt;"))</f>
        <v/>
      </c>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9"/>
    </row>
    <row r="176" spans="1:49" ht="32" customHeight="1" x14ac:dyDescent="0.35">
      <c r="A176" s="262" t="s">
        <v>1766</v>
      </c>
      <c r="B176" s="262"/>
      <c r="C176" s="262"/>
      <c r="D176" s="262"/>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IFERROR(INDEX('Recommendations'!$G$2:$G$368, MATCH(J2,'Recommendations'!$B$2:$B$368,0))="Implemented", FALSE))</xm:f>
            <x14:dxf>
              <font>
                <color rgb="FF000000"/>
              </font>
              <fill>
                <patternFill>
                  <bgColor rgb="FF3C7D22"/>
                </patternFill>
              </fill>
            </x14:dxf>
          </x14:cfRule>
          <x14:cfRule type="expression" priority="2" id="{00000000-000E-0000-0400-000002000000}">
            <xm:f>AND(J2&lt;&gt;"", IFERROR(INDEX('Recommendations'!$G$2:$G$368, MATCH(J2,'Recommendations'!$B$2:$B$368,0))="Compensated", FALSE))</xm:f>
            <x14:dxf>
              <font>
                <color rgb="FF000000"/>
              </font>
              <fill>
                <patternFill>
                  <bgColor rgb="FFC6E0B4"/>
                </patternFill>
              </fill>
            </x14:dxf>
          </x14:cfRule>
          <x14:cfRule type="expression" priority="3" id="{00000000-000E-0000-0400-000003000000}">
            <xm:f>AND(J2&lt;&gt;"", IFERROR(INDEX('Recommendations'!$G$2:$G$368, MATCH(J2,'Recommendations'!$B$2:$B$368,0))="Testing", FALSE))</xm:f>
            <x14:dxf>
              <font>
                <color rgb="FF000000"/>
              </font>
              <fill>
                <patternFill>
                  <bgColor rgb="FFFFC000"/>
                </patternFill>
              </fill>
            </x14:dxf>
          </x14:cfRule>
          <x14:cfRule type="expression" priority="4" id="{00000000-000E-0000-0400-000004000000}">
            <xm:f>AND(J2&lt;&gt;"", IFERROR(INDEX('Recommendations'!$G$2:$G$368, MATCH(J2,'Recommendations'!$B$2:$B$368,0))="Failed", FALSE))</xm:f>
            <x14:dxf>
              <font>
                <color rgb="FF000000"/>
              </font>
              <fill>
                <patternFill>
                  <bgColor rgb="FFD82891"/>
                </patternFill>
              </fill>
            </x14:dxf>
          </x14:cfRule>
          <x14:cfRule type="expression" priority="5" id="{00000000-000E-0000-0400-000005000000}">
            <xm:f>AND(J2&lt;&gt;"", IFERROR(INDEX('Recommendations'!$G$2:$G$368, MATCH(J2,'Recommendations'!$B$2:$B$368,0))="Risk Accepted", FALSE))</xm:f>
            <x14:dxf>
              <font>
                <color rgb="FF000000"/>
              </font>
              <fill>
                <patternFill>
                  <bgColor rgb="FFD9D9D9"/>
                </patternFill>
              </fill>
            </x14:dxf>
          </x14:cfRule>
          <x14:cfRule type="expression" priority="6" id="{00000000-000E-0000-0400-000006000000}">
            <xm:f>AND(J2&lt;&gt;"", IFERROR(INDEX('Recommendations'!$G$2:$G$368, MATCH(J2,'Recommendations'!$B$2:$B$368,0))="N/A",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17" t="s">
        <v>1</v>
      </c>
      <c r="B1" s="118" t="s">
        <v>2704</v>
      </c>
      <c r="C1" s="118" t="s">
        <v>9</v>
      </c>
      <c r="D1" s="118" t="s">
        <v>1910</v>
      </c>
      <c r="E1" s="118" t="s">
        <v>2705</v>
      </c>
      <c r="F1" s="118" t="s">
        <v>2706</v>
      </c>
      <c r="G1" s="118" t="s">
        <v>2004</v>
      </c>
      <c r="H1" s="118" t="s">
        <v>2005</v>
      </c>
      <c r="I1" s="118" t="s">
        <v>2006</v>
      </c>
      <c r="J1" s="118" t="s">
        <v>2007</v>
      </c>
      <c r="K1" s="118" t="s">
        <v>2008</v>
      </c>
      <c r="L1" s="118" t="s">
        <v>2009</v>
      </c>
      <c r="M1" s="118" t="s">
        <v>2010</v>
      </c>
      <c r="N1" s="118" t="s">
        <v>2011</v>
      </c>
      <c r="O1" s="118" t="s">
        <v>2012</v>
      </c>
      <c r="P1" s="118" t="s">
        <v>2013</v>
      </c>
      <c r="Q1" s="118" t="s">
        <v>2014</v>
      </c>
      <c r="R1" s="118" t="s">
        <v>2015</v>
      </c>
      <c r="S1" s="118" t="s">
        <v>2016</v>
      </c>
      <c r="T1" s="118" t="s">
        <v>2017</v>
      </c>
      <c r="U1" s="118" t="s">
        <v>2018</v>
      </c>
      <c r="V1" s="118" t="s">
        <v>2019</v>
      </c>
      <c r="W1" s="118" t="s">
        <v>2020</v>
      </c>
      <c r="X1" s="118" t="s">
        <v>2021</v>
      </c>
      <c r="Y1" s="118" t="s">
        <v>2022</v>
      </c>
      <c r="Z1" s="118" t="s">
        <v>2023</v>
      </c>
      <c r="AA1" s="118" t="s">
        <v>2024</v>
      </c>
      <c r="AB1" s="118" t="s">
        <v>2025</v>
      </c>
      <c r="AC1" s="118" t="s">
        <v>2026</v>
      </c>
      <c r="AD1" s="118" t="s">
        <v>2027</v>
      </c>
      <c r="AE1" s="118" t="s">
        <v>2028</v>
      </c>
      <c r="AF1" s="118" t="s">
        <v>2029</v>
      </c>
      <c r="AG1" s="118" t="s">
        <v>2030</v>
      </c>
      <c r="AH1" s="118" t="s">
        <v>2031</v>
      </c>
      <c r="AI1" s="118" t="s">
        <v>2032</v>
      </c>
      <c r="AJ1" s="118" t="s">
        <v>2033</v>
      </c>
      <c r="AK1" s="118" t="s">
        <v>2034</v>
      </c>
      <c r="AL1" s="118" t="s">
        <v>2035</v>
      </c>
      <c r="AM1" s="118" t="s">
        <v>2036</v>
      </c>
      <c r="AN1" s="118" t="s">
        <v>2037</v>
      </c>
      <c r="AO1" s="118" t="s">
        <v>2038</v>
      </c>
      <c r="AP1" s="118" t="s">
        <v>2039</v>
      </c>
      <c r="AQ1" s="118" t="s">
        <v>2040</v>
      </c>
      <c r="AR1" s="118" t="s">
        <v>2041</v>
      </c>
      <c r="AS1" s="118" t="s">
        <v>2042</v>
      </c>
      <c r="AT1" s="118" t="s">
        <v>2043</v>
      </c>
      <c r="AU1" s="119" t="s">
        <v>2044</v>
      </c>
    </row>
    <row r="2" spans="1:47" ht="60" customHeight="1" x14ac:dyDescent="0.35">
      <c r="A2" s="113" t="s">
        <v>2707</v>
      </c>
      <c r="B2" s="103" t="s">
        <v>2708</v>
      </c>
      <c r="C2" s="104" t="s">
        <v>2709</v>
      </c>
      <c r="D2" s="104" t="s">
        <v>2710</v>
      </c>
      <c r="E2" s="104" t="s">
        <v>2711</v>
      </c>
      <c r="F2" s="105" t="s">
        <v>2712</v>
      </c>
      <c r="G2" s="106">
        <f>IF(COUNTIF(H2:AU2,"&lt;&gt;")=0,"",SUMPRODUCT(((Recommendations[ImplStatus]="Implemented")+(Recommendations[ImplStatus]="Compensated"))*ISNUMBER(MATCH(Recommendations[Id],H2:AU2,0)))/COUNTIF(H2:AU2,"&lt;&gt;"))</f>
        <v>0</v>
      </c>
      <c r="H2" s="107" t="s">
        <v>563</v>
      </c>
      <c r="I2" s="107" t="s">
        <v>584</v>
      </c>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15"/>
    </row>
    <row r="3" spans="1:47" ht="60" customHeight="1" x14ac:dyDescent="0.35">
      <c r="A3" s="113" t="s">
        <v>2713</v>
      </c>
      <c r="B3" s="103" t="s">
        <v>2714</v>
      </c>
      <c r="C3" s="104" t="s">
        <v>2715</v>
      </c>
      <c r="D3" s="104" t="s">
        <v>2716</v>
      </c>
      <c r="E3" s="104" t="s">
        <v>2717</v>
      </c>
      <c r="F3" s="105" t="s">
        <v>2718</v>
      </c>
      <c r="G3" s="106" t="str">
        <f>IF(COUNTIF(H3:AU3,"&lt;&gt;")=0,"",SUMPRODUCT(((Recommendations[ImplStatus]="Implemented")+(Recommendations[ImplStatus]="Compensated"))*ISNUMBER(MATCH(Recommendations[Id],H3:AU3,0)))/COUNTIF(H3:AU3,"&lt;&gt;"))</f>
        <v/>
      </c>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15"/>
    </row>
    <row r="4" spans="1:47" ht="60" customHeight="1" x14ac:dyDescent="0.35">
      <c r="A4" s="113" t="s">
        <v>2719</v>
      </c>
      <c r="B4" s="103" t="s">
        <v>2720</v>
      </c>
      <c r="C4" s="104" t="s">
        <v>2721</v>
      </c>
      <c r="D4" s="104" t="s">
        <v>2722</v>
      </c>
      <c r="E4" s="104" t="s">
        <v>2723</v>
      </c>
      <c r="F4" s="105" t="s">
        <v>2724</v>
      </c>
      <c r="G4" s="106">
        <f>IF(COUNTIF(H4:AU4,"&lt;&gt;")=0,"",SUMPRODUCT(((Recommendations[ImplStatus]="Implemented")+(Recommendations[ImplStatus]="Compensated"))*ISNUMBER(MATCH(Recommendations[Id],H4:AU4,0)))/COUNTIF(H4:AU4,"&lt;&gt;"))</f>
        <v>0</v>
      </c>
      <c r="H4" s="107" t="s">
        <v>705</v>
      </c>
      <c r="I4" s="107" t="s">
        <v>717</v>
      </c>
      <c r="J4" s="107" t="s">
        <v>1455</v>
      </c>
      <c r="K4" s="107" t="s">
        <v>1476</v>
      </c>
      <c r="L4" s="107" t="s">
        <v>1482</v>
      </c>
      <c r="M4" s="107" t="s">
        <v>1488</v>
      </c>
      <c r="N4" s="107" t="s">
        <v>1493</v>
      </c>
      <c r="O4" s="107" t="s">
        <v>1522</v>
      </c>
      <c r="P4" s="107" t="s">
        <v>1534</v>
      </c>
      <c r="Q4" s="107" t="s">
        <v>1544</v>
      </c>
      <c r="R4" s="107" t="s">
        <v>1549</v>
      </c>
      <c r="S4" s="107" t="s">
        <v>1554</v>
      </c>
      <c r="T4" s="107" t="s">
        <v>1559</v>
      </c>
      <c r="U4" s="107" t="s">
        <v>1564</v>
      </c>
      <c r="V4" s="107" t="s">
        <v>1569</v>
      </c>
      <c r="W4" s="107" t="s">
        <v>1581</v>
      </c>
      <c r="X4" s="107" t="s">
        <v>1586</v>
      </c>
      <c r="Y4" s="107" t="s">
        <v>1591</v>
      </c>
      <c r="Z4" s="107"/>
      <c r="AA4" s="107"/>
      <c r="AB4" s="107"/>
      <c r="AC4" s="107"/>
      <c r="AD4" s="107"/>
      <c r="AE4" s="107"/>
      <c r="AF4" s="107"/>
      <c r="AG4" s="107"/>
      <c r="AH4" s="107"/>
      <c r="AI4" s="107"/>
      <c r="AJ4" s="107"/>
      <c r="AK4" s="107"/>
      <c r="AL4" s="107"/>
      <c r="AM4" s="107"/>
      <c r="AN4" s="107"/>
      <c r="AO4" s="107"/>
      <c r="AP4" s="107"/>
      <c r="AQ4" s="107"/>
      <c r="AR4" s="107"/>
      <c r="AS4" s="107"/>
      <c r="AT4" s="107"/>
      <c r="AU4" s="115"/>
    </row>
    <row r="5" spans="1:47" ht="60" customHeight="1" x14ac:dyDescent="0.35">
      <c r="A5" s="113" t="s">
        <v>2725</v>
      </c>
      <c r="B5" s="103" t="s">
        <v>2726</v>
      </c>
      <c r="C5" s="104" t="s">
        <v>2727</v>
      </c>
      <c r="D5" s="104" t="s">
        <v>2728</v>
      </c>
      <c r="E5" s="104" t="s">
        <v>2729</v>
      </c>
      <c r="F5" s="105" t="s">
        <v>2730</v>
      </c>
      <c r="G5" s="106" t="str">
        <f>IF(COUNTIF(H5:AU5,"&lt;&gt;")=0,"",SUMPRODUCT(((Recommendations[ImplStatus]="Implemented")+(Recommendations[ImplStatus]="Compensated"))*ISNUMBER(MATCH(Recommendations[Id],H5:AU5,0)))/COUNTIF(H5:AU5,"&lt;&gt;"))</f>
        <v/>
      </c>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15"/>
    </row>
    <row r="6" spans="1:47" ht="60" customHeight="1" x14ac:dyDescent="0.35">
      <c r="A6" s="113" t="s">
        <v>2731</v>
      </c>
      <c r="B6" s="103" t="s">
        <v>2732</v>
      </c>
      <c r="C6" s="104" t="s">
        <v>2733</v>
      </c>
      <c r="D6" s="104" t="s">
        <v>2734</v>
      </c>
      <c r="E6" s="104" t="s">
        <v>20</v>
      </c>
      <c r="F6" s="105" t="s">
        <v>2735</v>
      </c>
      <c r="G6" s="106" t="str">
        <f>IF(COUNTIF(H6:AU6,"&lt;&gt;")=0,"",SUMPRODUCT(((Recommendations[ImplStatus]="Implemented")+(Recommendations[ImplStatus]="Compensated"))*ISNUMBER(MATCH(Recommendations[Id],H6:AU6,0)))/COUNTIF(H6:AU6,"&lt;&gt;"))</f>
        <v/>
      </c>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15"/>
    </row>
    <row r="7" spans="1:47" ht="60" customHeight="1" x14ac:dyDescent="0.35">
      <c r="A7" s="113" t="s">
        <v>2736</v>
      </c>
      <c r="B7" s="103" t="s">
        <v>2737</v>
      </c>
      <c r="C7" s="104" t="s">
        <v>2738</v>
      </c>
      <c r="D7" s="104" t="s">
        <v>2739</v>
      </c>
      <c r="E7" s="104" t="s">
        <v>20</v>
      </c>
      <c r="F7" s="105" t="s">
        <v>2740</v>
      </c>
      <c r="G7" s="106" t="str">
        <f>IF(COUNTIF(H7:AU7,"&lt;&gt;")=0,"",SUMPRODUCT(((Recommendations[ImplStatus]="Implemented")+(Recommendations[ImplStatus]="Compensated"))*ISNUMBER(MATCH(Recommendations[Id],H7:AU7,0)))/COUNTIF(H7:AU7,"&lt;&gt;"))</f>
        <v/>
      </c>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15"/>
    </row>
    <row r="8" spans="1:47" ht="60" customHeight="1" x14ac:dyDescent="0.35">
      <c r="A8" s="113" t="s">
        <v>2741</v>
      </c>
      <c r="B8" s="103" t="s">
        <v>2742</v>
      </c>
      <c r="C8" s="104" t="s">
        <v>2743</v>
      </c>
      <c r="D8" s="104" t="s">
        <v>2744</v>
      </c>
      <c r="E8" s="104" t="s">
        <v>20</v>
      </c>
      <c r="F8" s="105" t="s">
        <v>2745</v>
      </c>
      <c r="G8" s="106">
        <f>IF(COUNTIF(H8:AU8,"&lt;&gt;")=0,"",SUMPRODUCT(((Recommendations[ImplStatus]="Implemented")+(Recommendations[ImplStatus]="Compensated"))*ISNUMBER(MATCH(Recommendations[Id],H8:AU8,0)))/COUNTIF(H8:AU8,"&lt;&gt;"))</f>
        <v>0</v>
      </c>
      <c r="H8" s="107" t="s">
        <v>748</v>
      </c>
      <c r="I8" s="107" t="s">
        <v>862</v>
      </c>
      <c r="J8" s="107" t="s">
        <v>1504</v>
      </c>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15"/>
    </row>
    <row r="9" spans="1:47" ht="60" customHeight="1" x14ac:dyDescent="0.35">
      <c r="A9" s="113" t="s">
        <v>2746</v>
      </c>
      <c r="B9" s="103" t="s">
        <v>2747</v>
      </c>
      <c r="C9" s="104" t="s">
        <v>2748</v>
      </c>
      <c r="D9" s="104" t="s">
        <v>2749</v>
      </c>
      <c r="E9" s="104" t="s">
        <v>20</v>
      </c>
      <c r="F9" s="105" t="s">
        <v>2750</v>
      </c>
      <c r="G9" s="106" t="str">
        <f>IF(COUNTIF(H9:AU9,"&lt;&gt;")=0,"",SUMPRODUCT(((Recommendations[ImplStatus]="Implemented")+(Recommendations[ImplStatus]="Compensated"))*ISNUMBER(MATCH(Recommendations[Id],H9:AU9,0)))/COUNTIF(H9:AU9,"&lt;&gt;"))</f>
        <v/>
      </c>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15"/>
    </row>
    <row r="10" spans="1:47" ht="60" customHeight="1" x14ac:dyDescent="0.35">
      <c r="A10" s="113" t="s">
        <v>2751</v>
      </c>
      <c r="B10" s="103" t="s">
        <v>2752</v>
      </c>
      <c r="C10" s="104" t="s">
        <v>2753</v>
      </c>
      <c r="D10" s="104" t="s">
        <v>2754</v>
      </c>
      <c r="E10" s="104" t="s">
        <v>20</v>
      </c>
      <c r="F10" s="105" t="s">
        <v>2755</v>
      </c>
      <c r="G10" s="106" t="str">
        <f>IF(COUNTIF(H10:AU10,"&lt;&gt;")=0,"",SUMPRODUCT(((Recommendations[ImplStatus]="Implemented")+(Recommendations[ImplStatus]="Compensated"))*ISNUMBER(MATCH(Recommendations[Id],H10:AU10,0)))/COUNTIF(H10:AU10,"&lt;&gt;"))</f>
        <v/>
      </c>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15"/>
    </row>
    <row r="11" spans="1:47" ht="60" customHeight="1" x14ac:dyDescent="0.35">
      <c r="A11" s="113" t="s">
        <v>2756</v>
      </c>
      <c r="B11" s="103" t="s">
        <v>2757</v>
      </c>
      <c r="C11" s="104" t="s">
        <v>2758</v>
      </c>
      <c r="D11" s="104" t="s">
        <v>2759</v>
      </c>
      <c r="E11" s="104" t="s">
        <v>20</v>
      </c>
      <c r="F11" s="105" t="s">
        <v>2760</v>
      </c>
      <c r="G11" s="106">
        <f>IF(COUNTIF(H11:AU11,"&lt;&gt;")=0,"",SUMPRODUCT(((Recommendations[ImplStatus]="Implemented")+(Recommendations[ImplStatus]="Compensated"))*ISNUMBER(MATCH(Recommendations[Id],H11:AU11,0)))/COUNTIF(H11:AU11,"&lt;&gt;"))</f>
        <v>0</v>
      </c>
      <c r="H11" s="107" t="s">
        <v>499</v>
      </c>
      <c r="I11" s="107" t="s">
        <v>698</v>
      </c>
      <c r="J11" s="107" t="s">
        <v>777</v>
      </c>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15"/>
    </row>
    <row r="12" spans="1:47" ht="60" customHeight="1" x14ac:dyDescent="0.35">
      <c r="A12" s="113" t="s">
        <v>2761</v>
      </c>
      <c r="B12" s="103" t="s">
        <v>2762</v>
      </c>
      <c r="C12" s="104" t="s">
        <v>2763</v>
      </c>
      <c r="D12" s="104" t="s">
        <v>2764</v>
      </c>
      <c r="E12" s="104" t="s">
        <v>20</v>
      </c>
      <c r="F12" s="105" t="s">
        <v>2765</v>
      </c>
      <c r="G12" s="106" t="str">
        <f>IF(COUNTIF(H12:AU12,"&lt;&gt;")=0,"",SUMPRODUCT(((Recommendations[ImplStatus]="Implemented")+(Recommendations[ImplStatus]="Compensated"))*ISNUMBER(MATCH(Recommendations[Id],H12:AU12,0)))/COUNTIF(H12:AU12,"&lt;&gt;"))</f>
        <v/>
      </c>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15"/>
    </row>
    <row r="13" spans="1:47" ht="60" customHeight="1" x14ac:dyDescent="0.35">
      <c r="A13" s="113" t="s">
        <v>2766</v>
      </c>
      <c r="B13" s="103" t="s">
        <v>2767</v>
      </c>
      <c r="C13" s="104" t="s">
        <v>2768</v>
      </c>
      <c r="D13" s="104" t="s">
        <v>2769</v>
      </c>
      <c r="E13" s="104" t="s">
        <v>20</v>
      </c>
      <c r="F13" s="105" t="s">
        <v>2770</v>
      </c>
      <c r="G13" s="106" t="str">
        <f>IF(COUNTIF(H13:AU13,"&lt;&gt;")=0,"",SUMPRODUCT(((Recommendations[ImplStatus]="Implemented")+(Recommendations[ImplStatus]="Compensated"))*ISNUMBER(MATCH(Recommendations[Id],H13:AU13,0)))/COUNTIF(H13:AU13,"&lt;&gt;"))</f>
        <v/>
      </c>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15"/>
    </row>
    <row r="14" spans="1:47" ht="60" customHeight="1" x14ac:dyDescent="0.35">
      <c r="A14" s="113" t="s">
        <v>2771</v>
      </c>
      <c r="B14" s="103" t="s">
        <v>2772</v>
      </c>
      <c r="C14" s="104" t="s">
        <v>2773</v>
      </c>
      <c r="D14" s="104" t="s">
        <v>2774</v>
      </c>
      <c r="E14" s="104" t="s">
        <v>20</v>
      </c>
      <c r="F14" s="105" t="s">
        <v>2775</v>
      </c>
      <c r="G14" s="106">
        <f>IF(COUNTIF(H14:AU14,"&lt;&gt;")=0,"",SUMPRODUCT(((Recommendations[ImplStatus]="Implemented")+(Recommendations[ImplStatus]="Compensated"))*ISNUMBER(MATCH(Recommendations[Id],H14:AU14,0)))/COUNTIF(H14:AU14,"&lt;&gt;"))</f>
        <v>0</v>
      </c>
      <c r="H14" s="107" t="s">
        <v>483</v>
      </c>
      <c r="I14" s="107" t="s">
        <v>489</v>
      </c>
      <c r="J14" s="107" t="s">
        <v>711</v>
      </c>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15"/>
    </row>
    <row r="15" spans="1:47" ht="60" customHeight="1" x14ac:dyDescent="0.35">
      <c r="A15" s="113" t="s">
        <v>2776</v>
      </c>
      <c r="B15" s="103" t="s">
        <v>2777</v>
      </c>
      <c r="C15" s="104" t="s">
        <v>2778</v>
      </c>
      <c r="D15" s="104" t="s">
        <v>2779</v>
      </c>
      <c r="E15" s="104" t="s">
        <v>20</v>
      </c>
      <c r="F15" s="105" t="s">
        <v>2780</v>
      </c>
      <c r="G15" s="106" t="str">
        <f>IF(COUNTIF(H15:AU15,"&lt;&gt;")=0,"",SUMPRODUCT(((Recommendations[ImplStatus]="Implemented")+(Recommendations[ImplStatus]="Compensated"))*ISNUMBER(MATCH(Recommendations[Id],H15:AU15,0)))/COUNTIF(H15:AU15,"&lt;&gt;"))</f>
        <v/>
      </c>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15"/>
    </row>
    <row r="16" spans="1:47" ht="60" customHeight="1" x14ac:dyDescent="0.35">
      <c r="A16" s="113" t="s">
        <v>2781</v>
      </c>
      <c r="B16" s="103" t="s">
        <v>2782</v>
      </c>
      <c r="C16" s="104" t="s">
        <v>2783</v>
      </c>
      <c r="D16" s="104" t="s">
        <v>2784</v>
      </c>
      <c r="E16" s="104" t="s">
        <v>20</v>
      </c>
      <c r="F16" s="105" t="s">
        <v>2785</v>
      </c>
      <c r="G16" s="106">
        <f>IF(COUNTIF(H16:AU16,"&lt;&gt;")=0,"",SUMPRODUCT(((Recommendations[ImplStatus]="Implemented")+(Recommendations[ImplStatus]="Compensated"))*ISNUMBER(MATCH(Recommendations[Id],H16:AU16,0)))/COUNTIF(H16:AU16,"&lt;&gt;"))</f>
        <v>0</v>
      </c>
      <c r="H16" s="107" t="s">
        <v>693</v>
      </c>
      <c r="I16" s="107" t="s">
        <v>874</v>
      </c>
      <c r="J16" s="107" t="s">
        <v>1003</v>
      </c>
      <c r="K16" s="107" t="s">
        <v>1397</v>
      </c>
      <c r="L16" s="107" t="s">
        <v>1603</v>
      </c>
      <c r="M16" s="107" t="s">
        <v>1609</v>
      </c>
      <c r="N16" s="107" t="s">
        <v>1614</v>
      </c>
      <c r="O16" s="107" t="s">
        <v>1620</v>
      </c>
      <c r="P16" s="107" t="s">
        <v>1705</v>
      </c>
      <c r="Q16" s="107" t="s">
        <v>1710</v>
      </c>
      <c r="R16" s="107" t="s">
        <v>1715</v>
      </c>
      <c r="S16" s="107" t="s">
        <v>1721</v>
      </c>
      <c r="T16" s="107" t="s">
        <v>1725</v>
      </c>
      <c r="U16" s="107" t="s">
        <v>1729</v>
      </c>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15"/>
    </row>
    <row r="17" spans="1:47" ht="60" customHeight="1" x14ac:dyDescent="0.35">
      <c r="A17" s="113" t="s">
        <v>2786</v>
      </c>
      <c r="B17" s="103" t="s">
        <v>2787</v>
      </c>
      <c r="C17" s="104" t="s">
        <v>2788</v>
      </c>
      <c r="D17" s="104" t="s">
        <v>2789</v>
      </c>
      <c r="E17" s="104" t="s">
        <v>20</v>
      </c>
      <c r="F17" s="105" t="s">
        <v>2790</v>
      </c>
      <c r="G17" s="106" t="str">
        <f>IF(COUNTIF(H17:AU17,"&lt;&gt;")=0,"",SUMPRODUCT(((Recommendations[ImplStatus]="Implemented")+(Recommendations[ImplStatus]="Compensated"))*ISNUMBER(MATCH(Recommendations[Id],H17:AU17,0)))/COUNTIF(H17:AU17,"&lt;&gt;"))</f>
        <v/>
      </c>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15"/>
    </row>
    <row r="18" spans="1:47" ht="60" customHeight="1" x14ac:dyDescent="0.35">
      <c r="A18" s="113" t="s">
        <v>2791</v>
      </c>
      <c r="B18" s="103" t="s">
        <v>2792</v>
      </c>
      <c r="C18" s="104" t="s">
        <v>2793</v>
      </c>
      <c r="D18" s="104" t="s">
        <v>2794</v>
      </c>
      <c r="E18" s="104" t="s">
        <v>20</v>
      </c>
      <c r="F18" s="105" t="s">
        <v>2795</v>
      </c>
      <c r="G18" s="106">
        <f>IF(COUNTIF(H18:AU18,"&lt;&gt;")=0,"",SUMPRODUCT(((Recommendations[ImplStatus]="Implemented")+(Recommendations[ImplStatus]="Compensated"))*ISNUMBER(MATCH(Recommendations[Id],H18:AU18,0)))/COUNTIF(H18:AU18,"&lt;&gt;"))</f>
        <v>0</v>
      </c>
      <c r="H18" s="107" t="s">
        <v>653</v>
      </c>
      <c r="I18" s="107" t="s">
        <v>681</v>
      </c>
      <c r="J18" s="107" t="s">
        <v>1504</v>
      </c>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15"/>
    </row>
    <row r="19" spans="1:47" ht="60" customHeight="1" x14ac:dyDescent="0.35">
      <c r="A19" s="113" t="s">
        <v>2796</v>
      </c>
      <c r="B19" s="103" t="s">
        <v>2797</v>
      </c>
      <c r="C19" s="104" t="s">
        <v>2798</v>
      </c>
      <c r="D19" s="104" t="s">
        <v>2799</v>
      </c>
      <c r="E19" s="104" t="s">
        <v>20</v>
      </c>
      <c r="F19" s="105" t="s">
        <v>2800</v>
      </c>
      <c r="G19" s="106">
        <f>IF(COUNTIF(H19:AU19,"&lt;&gt;")=0,"",SUMPRODUCT(((Recommendations[ImplStatus]="Implemented")+(Recommendations[ImplStatus]="Compensated"))*ISNUMBER(MATCH(Recommendations[Id],H19:AU19,0)))/COUNTIF(H19:AU19,"&lt;&gt;"))</f>
        <v>0</v>
      </c>
      <c r="H19" s="107" t="s">
        <v>494</v>
      </c>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15"/>
    </row>
    <row r="20" spans="1:47" ht="60" customHeight="1" x14ac:dyDescent="0.35">
      <c r="A20" s="113" t="s">
        <v>2801</v>
      </c>
      <c r="B20" s="103" t="s">
        <v>2802</v>
      </c>
      <c r="C20" s="104" t="s">
        <v>2803</v>
      </c>
      <c r="D20" s="104" t="s">
        <v>2804</v>
      </c>
      <c r="E20" s="104" t="s">
        <v>20</v>
      </c>
      <c r="F20" s="105" t="s">
        <v>2805</v>
      </c>
      <c r="G20" s="106">
        <f>IF(COUNTIF(H20:AU20,"&lt;&gt;")=0,"",SUMPRODUCT(((Recommendations[ImplStatus]="Implemented")+(Recommendations[ImplStatus]="Compensated"))*ISNUMBER(MATCH(Recommendations[Id],H20:AU20,0)))/COUNTIF(H20:AU20,"&lt;&gt;"))</f>
        <v>0</v>
      </c>
      <c r="H20" s="107" t="s">
        <v>65</v>
      </c>
      <c r="I20" s="107" t="s">
        <v>70</v>
      </c>
      <c r="J20" s="107" t="s">
        <v>75</v>
      </c>
      <c r="K20" s="107" t="s">
        <v>95</v>
      </c>
      <c r="L20" s="107" t="s">
        <v>100</v>
      </c>
      <c r="M20" s="107" t="s">
        <v>105</v>
      </c>
      <c r="N20" s="107" t="s">
        <v>150</v>
      </c>
      <c r="O20" s="107" t="s">
        <v>387</v>
      </c>
      <c r="P20" s="107" t="s">
        <v>390</v>
      </c>
      <c r="Q20" s="107" t="s">
        <v>409</v>
      </c>
      <c r="R20" s="107" t="s">
        <v>412</v>
      </c>
      <c r="S20" s="107" t="s">
        <v>431</v>
      </c>
      <c r="T20" s="107" t="s">
        <v>434</v>
      </c>
      <c r="U20" s="107" t="s">
        <v>515</v>
      </c>
      <c r="V20" s="107" t="s">
        <v>520</v>
      </c>
      <c r="W20" s="107" t="s">
        <v>525</v>
      </c>
      <c r="X20" s="107" t="s">
        <v>579</v>
      </c>
      <c r="Y20" s="107" t="s">
        <v>617</v>
      </c>
      <c r="Z20" s="107" t="s">
        <v>620</v>
      </c>
      <c r="AA20" s="107" t="s">
        <v>633</v>
      </c>
      <c r="AB20" s="107"/>
      <c r="AC20" s="107"/>
      <c r="AD20" s="107"/>
      <c r="AE20" s="107"/>
      <c r="AF20" s="107"/>
      <c r="AG20" s="107"/>
      <c r="AH20" s="107"/>
      <c r="AI20" s="107"/>
      <c r="AJ20" s="107"/>
      <c r="AK20" s="107"/>
      <c r="AL20" s="107"/>
      <c r="AM20" s="107"/>
      <c r="AN20" s="107"/>
      <c r="AO20" s="107"/>
      <c r="AP20" s="107"/>
      <c r="AQ20" s="107"/>
      <c r="AR20" s="107"/>
      <c r="AS20" s="107"/>
      <c r="AT20" s="107"/>
      <c r="AU20" s="115"/>
    </row>
    <row r="21" spans="1:47" ht="60" customHeight="1" x14ac:dyDescent="0.35">
      <c r="A21" s="113" t="s">
        <v>2806</v>
      </c>
      <c r="B21" s="103" t="s">
        <v>2807</v>
      </c>
      <c r="C21" s="104" t="s">
        <v>2808</v>
      </c>
      <c r="D21" s="104" t="s">
        <v>2809</v>
      </c>
      <c r="E21" s="104" t="s">
        <v>2810</v>
      </c>
      <c r="F21" s="105" t="s">
        <v>2811</v>
      </c>
      <c r="G21" s="106">
        <f>IF(COUNTIF(H21:AU21,"&lt;&gt;")=0,"",SUMPRODUCT(((Recommendations[ImplStatus]="Implemented")+(Recommendations[ImplStatus]="Compensated"))*ISNUMBER(MATCH(Recommendations[Id],H21:AU21,0)))/COUNTIF(H21:AU21,"&lt;&gt;"))</f>
        <v>0</v>
      </c>
      <c r="H21" s="107" t="s">
        <v>626</v>
      </c>
      <c r="I21" s="107" t="s">
        <v>639</v>
      </c>
      <c r="J21" s="107" t="s">
        <v>646</v>
      </c>
      <c r="K21" s="107" t="s">
        <v>813</v>
      </c>
      <c r="L21" s="107" t="s">
        <v>819</v>
      </c>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15"/>
    </row>
    <row r="22" spans="1:47" ht="60" customHeight="1" x14ac:dyDescent="0.35">
      <c r="A22" s="113" t="s">
        <v>2812</v>
      </c>
      <c r="B22" s="103" t="s">
        <v>2813</v>
      </c>
      <c r="C22" s="104" t="s">
        <v>2814</v>
      </c>
      <c r="D22" s="104" t="s">
        <v>2815</v>
      </c>
      <c r="E22" s="104" t="s">
        <v>2816</v>
      </c>
      <c r="F22" s="105" t="s">
        <v>2817</v>
      </c>
      <c r="G22" s="106" t="str">
        <f>IF(COUNTIF(H22:AU22,"&lt;&gt;")=0,"",SUMPRODUCT(((Recommendations[ImplStatus]="Implemented")+(Recommendations[ImplStatus]="Compensated"))*ISNUMBER(MATCH(Recommendations[Id],H22:AU22,0)))/COUNTIF(H22:AU22,"&lt;&gt;"))</f>
        <v/>
      </c>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15"/>
    </row>
    <row r="23" spans="1:47" ht="60" customHeight="1" x14ac:dyDescent="0.35">
      <c r="A23" s="113" t="s">
        <v>2818</v>
      </c>
      <c r="B23" s="103" t="s">
        <v>2819</v>
      </c>
      <c r="C23" s="104" t="s">
        <v>2820</v>
      </c>
      <c r="D23" s="104" t="s">
        <v>2821</v>
      </c>
      <c r="E23" s="104" t="s">
        <v>2822</v>
      </c>
      <c r="F23" s="105" t="s">
        <v>2823</v>
      </c>
      <c r="G23" s="106" t="str">
        <f>IF(COUNTIF(H23:AU23,"&lt;&gt;")=0,"",SUMPRODUCT(((Recommendations[ImplStatus]="Implemented")+(Recommendations[ImplStatus]="Compensated"))*ISNUMBER(MATCH(Recommendations[Id],H23:AU23,0)))/COUNTIF(H23:AU23,"&lt;&gt;"))</f>
        <v/>
      </c>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15"/>
    </row>
    <row r="24" spans="1:47" ht="60" customHeight="1" x14ac:dyDescent="0.35">
      <c r="A24" s="113" t="s">
        <v>2824</v>
      </c>
      <c r="B24" s="103" t="s">
        <v>2825</v>
      </c>
      <c r="C24" s="104" t="s">
        <v>2826</v>
      </c>
      <c r="D24" s="104" t="s">
        <v>2827</v>
      </c>
      <c r="E24" s="104" t="s">
        <v>20</v>
      </c>
      <c r="F24" s="105" t="s">
        <v>2828</v>
      </c>
      <c r="G24" s="106">
        <f>IF(COUNTIF(H24:AU24,"&lt;&gt;")=0,"",SUMPRODUCT(((Recommendations[ImplStatus]="Implemented")+(Recommendations[ImplStatus]="Compensated"))*ISNUMBER(MATCH(Recommendations[Id],H24:AU24,0)))/COUNTIF(H24:AU24,"&lt;&gt;"))</f>
        <v>0</v>
      </c>
      <c r="H24" s="107" t="s">
        <v>855</v>
      </c>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15"/>
    </row>
    <row r="25" spans="1:47" ht="60" customHeight="1" x14ac:dyDescent="0.35">
      <c r="A25" s="113" t="s">
        <v>2829</v>
      </c>
      <c r="B25" s="103" t="s">
        <v>2830</v>
      </c>
      <c r="C25" s="104" t="s">
        <v>2831</v>
      </c>
      <c r="D25" s="104" t="s">
        <v>20</v>
      </c>
      <c r="E25" s="104" t="s">
        <v>20</v>
      </c>
      <c r="F25" s="105" t="s">
        <v>2832</v>
      </c>
      <c r="G25" s="106" t="str">
        <f>IF(COUNTIF(H25:AU25,"&lt;&gt;")=0,"",SUMPRODUCT(((Recommendations[ImplStatus]="Implemented")+(Recommendations[ImplStatus]="Compensated"))*ISNUMBER(MATCH(Recommendations[Id],H25:AU25,0)))/COUNTIF(H25:AU25,"&lt;&gt;"))</f>
        <v/>
      </c>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15"/>
    </row>
    <row r="26" spans="1:47" ht="60" customHeight="1" x14ac:dyDescent="0.35">
      <c r="A26" s="113" t="s">
        <v>2833</v>
      </c>
      <c r="B26" s="103" t="s">
        <v>2834</v>
      </c>
      <c r="C26" s="104" t="s">
        <v>2835</v>
      </c>
      <c r="D26" s="104" t="s">
        <v>2836</v>
      </c>
      <c r="E26" s="104" t="s">
        <v>20</v>
      </c>
      <c r="F26" s="105" t="s">
        <v>2837</v>
      </c>
      <c r="G26" s="106" t="str">
        <f>IF(COUNTIF(H26:AU26,"&lt;&gt;")=0,"",SUMPRODUCT(((Recommendations[ImplStatus]="Implemented")+(Recommendations[ImplStatus]="Compensated"))*ISNUMBER(MATCH(Recommendations[Id],H26:AU26,0)))/COUNTIF(H26:AU26,"&lt;&gt;"))</f>
        <v/>
      </c>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15"/>
    </row>
    <row r="27" spans="1:47" ht="60" customHeight="1" x14ac:dyDescent="0.35">
      <c r="A27" s="113" t="s">
        <v>2838</v>
      </c>
      <c r="B27" s="103" t="s">
        <v>2839</v>
      </c>
      <c r="C27" s="104" t="s">
        <v>2840</v>
      </c>
      <c r="D27" s="104" t="s">
        <v>2841</v>
      </c>
      <c r="E27" s="104" t="s">
        <v>2842</v>
      </c>
      <c r="F27" s="105" t="s">
        <v>2843</v>
      </c>
      <c r="G27" s="106">
        <f>IF(COUNTIF(H27:AU27,"&lt;&gt;")=0,"",SUMPRODUCT(((Recommendations[ImplStatus]="Implemented")+(Recommendations[ImplStatus]="Compensated"))*ISNUMBER(MATCH(Recommendations[Id],H27:AU27,0)))/COUNTIF(H27:AU27,"&lt;&gt;"))</f>
        <v>0</v>
      </c>
      <c r="H27" s="107" t="s">
        <v>110</v>
      </c>
      <c r="I27" s="107" t="s">
        <v>115</v>
      </c>
      <c r="J27" s="107" t="s">
        <v>120</v>
      </c>
      <c r="K27" s="107" t="s">
        <v>125</v>
      </c>
      <c r="L27" s="107" t="s">
        <v>130</v>
      </c>
      <c r="M27" s="107" t="s">
        <v>135</v>
      </c>
      <c r="N27" s="107" t="s">
        <v>558</v>
      </c>
      <c r="O27" s="107" t="s">
        <v>591</v>
      </c>
      <c r="P27" s="107" t="s">
        <v>605</v>
      </c>
      <c r="Q27" s="107" t="s">
        <v>783</v>
      </c>
      <c r="R27" s="107" t="s">
        <v>886</v>
      </c>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15"/>
    </row>
    <row r="28" spans="1:47" ht="60" customHeight="1" x14ac:dyDescent="0.35">
      <c r="A28" s="113" t="s">
        <v>2844</v>
      </c>
      <c r="B28" s="103" t="s">
        <v>2845</v>
      </c>
      <c r="C28" s="104" t="s">
        <v>2846</v>
      </c>
      <c r="D28" s="104" t="s">
        <v>20</v>
      </c>
      <c r="E28" s="104" t="s">
        <v>20</v>
      </c>
      <c r="F28" s="105" t="s">
        <v>2847</v>
      </c>
      <c r="G28" s="106" t="str">
        <f>IF(COUNTIF(H28:AU28,"&lt;&gt;")=0,"",SUMPRODUCT(((Recommendations[ImplStatus]="Implemented")+(Recommendations[ImplStatus]="Compensated"))*ISNUMBER(MATCH(Recommendations[Id],H28:AU28,0)))/COUNTIF(H28:AU28,"&lt;&gt;"))</f>
        <v/>
      </c>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15"/>
    </row>
    <row r="29" spans="1:47" ht="60" customHeight="1" x14ac:dyDescent="0.35">
      <c r="A29" s="113" t="s">
        <v>2848</v>
      </c>
      <c r="B29" s="103" t="s">
        <v>2849</v>
      </c>
      <c r="C29" s="104" t="s">
        <v>2850</v>
      </c>
      <c r="D29" s="104" t="s">
        <v>2851</v>
      </c>
      <c r="E29" s="104" t="s">
        <v>2852</v>
      </c>
      <c r="F29" s="105" t="s">
        <v>2853</v>
      </c>
      <c r="G29" s="106">
        <f>IF(COUNTIF(H29:AU29,"&lt;&gt;")=0,"",SUMPRODUCT(((Recommendations[ImplStatus]="Implemented")+(Recommendations[ImplStatus]="Compensated"))*ISNUMBER(MATCH(Recommendations[Id],H29:AU29,0)))/COUNTIF(H29:AU29,"&lt;&gt;"))</f>
        <v>0</v>
      </c>
      <c r="H29" s="107" t="s">
        <v>140</v>
      </c>
      <c r="I29" s="107" t="s">
        <v>145</v>
      </c>
      <c r="J29" s="107" t="s">
        <v>155</v>
      </c>
      <c r="K29" s="107" t="s">
        <v>160</v>
      </c>
      <c r="L29" s="107" t="s">
        <v>509</v>
      </c>
      <c r="M29" s="107" t="s">
        <v>1745</v>
      </c>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15"/>
    </row>
    <row r="30" spans="1:47" ht="60" customHeight="1" x14ac:dyDescent="0.35">
      <c r="A30" s="113" t="s">
        <v>2854</v>
      </c>
      <c r="B30" s="103" t="s">
        <v>2855</v>
      </c>
      <c r="C30" s="104" t="s">
        <v>2856</v>
      </c>
      <c r="D30" s="104" t="s">
        <v>2857</v>
      </c>
      <c r="E30" s="104" t="s">
        <v>20</v>
      </c>
      <c r="F30" s="105" t="s">
        <v>2858</v>
      </c>
      <c r="G30" s="106" t="str">
        <f>IF(COUNTIF(H30:AU30,"&lt;&gt;")=0,"",SUMPRODUCT(((Recommendations[ImplStatus]="Implemented")+(Recommendations[ImplStatus]="Compensated"))*ISNUMBER(MATCH(Recommendations[Id],H30:AU30,0)))/COUNTIF(H30:AU30,"&lt;&gt;"))</f>
        <v/>
      </c>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15"/>
    </row>
    <row r="31" spans="1:47" ht="60" customHeight="1" x14ac:dyDescent="0.35">
      <c r="A31" s="113" t="s">
        <v>2859</v>
      </c>
      <c r="B31" s="103" t="s">
        <v>2860</v>
      </c>
      <c r="C31" s="104" t="s">
        <v>2861</v>
      </c>
      <c r="D31" s="104" t="s">
        <v>2862</v>
      </c>
      <c r="E31" s="104" t="s">
        <v>2863</v>
      </c>
      <c r="F31" s="105" t="s">
        <v>2864</v>
      </c>
      <c r="G31" s="106">
        <f>IF(COUNTIF(H31:AU31,"&lt;&gt;")=0,"",SUMPRODUCT(((Recommendations[ImplStatus]="Implemented")+(Recommendations[ImplStatus]="Compensated"))*ISNUMBER(MATCH(Recommendations[Id],H31:AU31,0)))/COUNTIF(H31:AU31,"&lt;&gt;"))</f>
        <v>0</v>
      </c>
      <c r="H31" s="107" t="s">
        <v>170</v>
      </c>
      <c r="I31" s="107" t="s">
        <v>175</v>
      </c>
      <c r="J31" s="107" t="s">
        <v>180</v>
      </c>
      <c r="K31" s="107" t="s">
        <v>185</v>
      </c>
      <c r="L31" s="107" t="s">
        <v>190</v>
      </c>
      <c r="M31" s="107" t="s">
        <v>195</v>
      </c>
      <c r="N31" s="107" t="s">
        <v>200</v>
      </c>
      <c r="O31" s="107" t="s">
        <v>205</v>
      </c>
      <c r="P31" s="107" t="s">
        <v>210</v>
      </c>
      <c r="Q31" s="107" t="s">
        <v>233</v>
      </c>
      <c r="R31" s="107" t="s">
        <v>237</v>
      </c>
      <c r="S31" s="107" t="s">
        <v>241</v>
      </c>
      <c r="T31" s="107" t="s">
        <v>245</v>
      </c>
      <c r="U31" s="107" t="s">
        <v>253</v>
      </c>
      <c r="V31" s="107" t="s">
        <v>257</v>
      </c>
      <c r="W31" s="107" t="s">
        <v>261</v>
      </c>
      <c r="X31" s="107" t="s">
        <v>265</v>
      </c>
      <c r="Y31" s="107" t="s">
        <v>269</v>
      </c>
      <c r="Z31" s="107" t="s">
        <v>273</v>
      </c>
      <c r="AA31" s="107" t="s">
        <v>277</v>
      </c>
      <c r="AB31" s="107" t="s">
        <v>285</v>
      </c>
      <c r="AC31" s="107" t="s">
        <v>289</v>
      </c>
      <c r="AD31" s="107" t="s">
        <v>293</v>
      </c>
      <c r="AE31" s="107" t="s">
        <v>297</v>
      </c>
      <c r="AF31" s="107" t="s">
        <v>305</v>
      </c>
      <c r="AG31" s="107" t="s">
        <v>471</v>
      </c>
      <c r="AH31" s="107" t="s">
        <v>676</v>
      </c>
      <c r="AI31" s="107" t="s">
        <v>686</v>
      </c>
      <c r="AJ31" s="107" t="s">
        <v>754</v>
      </c>
      <c r="AK31" s="107" t="s">
        <v>760</v>
      </c>
      <c r="AL31" s="107" t="s">
        <v>765</v>
      </c>
      <c r="AM31" s="107" t="s">
        <v>1676</v>
      </c>
      <c r="AN31" s="107" t="s">
        <v>1681</v>
      </c>
      <c r="AO31" s="107"/>
      <c r="AP31" s="107"/>
      <c r="AQ31" s="107"/>
      <c r="AR31" s="107"/>
      <c r="AS31" s="107"/>
      <c r="AT31" s="107"/>
      <c r="AU31" s="115"/>
    </row>
    <row r="32" spans="1:47" ht="60" customHeight="1" x14ac:dyDescent="0.35">
      <c r="A32" s="113" t="s">
        <v>2865</v>
      </c>
      <c r="B32" s="103" t="s">
        <v>2866</v>
      </c>
      <c r="C32" s="104" t="s">
        <v>2867</v>
      </c>
      <c r="D32" s="104" t="s">
        <v>2868</v>
      </c>
      <c r="E32" s="104" t="s">
        <v>2869</v>
      </c>
      <c r="F32" s="105" t="s">
        <v>2870</v>
      </c>
      <c r="G32" s="106">
        <f>IF(COUNTIF(H32:AU32,"&lt;&gt;")=0,"",SUMPRODUCT(((Recommendations[ImplStatus]="Implemented")+(Recommendations[ImplStatus]="Compensated"))*ISNUMBER(MATCH(Recommendations[Id],H32:AU32,0)))/COUNTIF(H32:AU32,"&lt;&gt;"))</f>
        <v>0</v>
      </c>
      <c r="H32" s="107" t="s">
        <v>499</v>
      </c>
      <c r="I32" s="107" t="s">
        <v>771</v>
      </c>
      <c r="J32" s="107" t="s">
        <v>777</v>
      </c>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15"/>
    </row>
    <row r="33" spans="1:47" ht="60" customHeight="1" x14ac:dyDescent="0.35">
      <c r="A33" s="113" t="s">
        <v>2871</v>
      </c>
      <c r="B33" s="103" t="s">
        <v>2872</v>
      </c>
      <c r="C33" s="104" t="s">
        <v>2873</v>
      </c>
      <c r="D33" s="104" t="s">
        <v>2874</v>
      </c>
      <c r="E33" s="104" t="s">
        <v>20</v>
      </c>
      <c r="F33" s="105" t="s">
        <v>2875</v>
      </c>
      <c r="G33" s="106" t="str">
        <f>IF(COUNTIF(H33:AU33,"&lt;&gt;")=0,"",SUMPRODUCT(((Recommendations[ImplStatus]="Implemented")+(Recommendations[ImplStatus]="Compensated"))*ISNUMBER(MATCH(Recommendations[Id],H33:AU33,0)))/COUNTIF(H33:AU33,"&lt;&gt;"))</f>
        <v/>
      </c>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15"/>
    </row>
    <row r="34" spans="1:47" ht="60" customHeight="1" x14ac:dyDescent="0.35">
      <c r="A34" s="113" t="s">
        <v>2876</v>
      </c>
      <c r="B34" s="103" t="s">
        <v>2877</v>
      </c>
      <c r="C34" s="104" t="s">
        <v>2878</v>
      </c>
      <c r="D34" s="104" t="s">
        <v>2879</v>
      </c>
      <c r="E34" s="104" t="s">
        <v>20</v>
      </c>
      <c r="F34" s="105" t="s">
        <v>2880</v>
      </c>
      <c r="G34" s="106" t="str">
        <f>IF(COUNTIF(H34:AU34,"&lt;&gt;")=0,"",SUMPRODUCT(((Recommendations[ImplStatus]="Implemented")+(Recommendations[ImplStatus]="Compensated"))*ISNUMBER(MATCH(Recommendations[Id],H34:AU34,0)))/COUNTIF(H34:AU34,"&lt;&gt;"))</f>
        <v/>
      </c>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15"/>
    </row>
    <row r="35" spans="1:47" ht="60" customHeight="1" x14ac:dyDescent="0.35">
      <c r="A35" s="113" t="s">
        <v>2881</v>
      </c>
      <c r="B35" s="103" t="s">
        <v>2882</v>
      </c>
      <c r="C35" s="104" t="s">
        <v>2883</v>
      </c>
      <c r="D35" s="104" t="s">
        <v>2884</v>
      </c>
      <c r="E35" s="104" t="s">
        <v>2885</v>
      </c>
      <c r="F35" s="105" t="s">
        <v>2886</v>
      </c>
      <c r="G35" s="106" t="str">
        <f>IF(COUNTIF(H35:AU35,"&lt;&gt;")=0,"",SUMPRODUCT(((Recommendations[ImplStatus]="Implemented")+(Recommendations[ImplStatus]="Compensated"))*ISNUMBER(MATCH(Recommendations[Id],H35:AU35,0)))/COUNTIF(H35:AU35,"&lt;&gt;"))</f>
        <v/>
      </c>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15"/>
    </row>
    <row r="36" spans="1:47" ht="60" customHeight="1" x14ac:dyDescent="0.35">
      <c r="A36" s="113" t="s">
        <v>2887</v>
      </c>
      <c r="B36" s="103" t="s">
        <v>2888</v>
      </c>
      <c r="C36" s="104" t="s">
        <v>2889</v>
      </c>
      <c r="D36" s="104" t="s">
        <v>2890</v>
      </c>
      <c r="E36" s="104" t="s">
        <v>2891</v>
      </c>
      <c r="F36" s="105" t="s">
        <v>2892</v>
      </c>
      <c r="G36" s="106" t="str">
        <f>IF(COUNTIF(H36:AU36,"&lt;&gt;")=0,"",SUMPRODUCT(((Recommendations[ImplStatus]="Implemented")+(Recommendations[ImplStatus]="Compensated"))*ISNUMBER(MATCH(Recommendations[Id],H36:AU36,0)))/COUNTIF(H36:AU36,"&lt;&gt;"))</f>
        <v/>
      </c>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15"/>
    </row>
    <row r="37" spans="1:47" ht="60" customHeight="1" x14ac:dyDescent="0.35">
      <c r="A37" s="113" t="s">
        <v>2893</v>
      </c>
      <c r="B37" s="103" t="s">
        <v>2894</v>
      </c>
      <c r="C37" s="104" t="s">
        <v>2895</v>
      </c>
      <c r="D37" s="104" t="s">
        <v>2896</v>
      </c>
      <c r="E37" s="104" t="s">
        <v>20</v>
      </c>
      <c r="F37" s="105" t="s">
        <v>2897</v>
      </c>
      <c r="G37" s="106">
        <f>IF(COUNTIF(H37:AU37,"&lt;&gt;")=0,"",SUMPRODUCT(((Recommendations[ImplStatus]="Implemented")+(Recommendations[ImplStatus]="Compensated"))*ISNUMBER(MATCH(Recommendations[Id],H37:AU37,0)))/COUNTIF(H37:AU37,"&lt;&gt;"))</f>
        <v>0</v>
      </c>
      <c r="H37" s="107" t="s">
        <v>541</v>
      </c>
      <c r="I37" s="107" t="s">
        <v>838</v>
      </c>
      <c r="J37" s="107" t="s">
        <v>843</v>
      </c>
      <c r="K37" s="107" t="s">
        <v>848</v>
      </c>
      <c r="L37" s="107" t="s">
        <v>908</v>
      </c>
      <c r="M37" s="107" t="s">
        <v>913</v>
      </c>
      <c r="N37" s="107" t="s">
        <v>919</v>
      </c>
      <c r="O37" s="107" t="s">
        <v>925</v>
      </c>
      <c r="P37" s="107" t="s">
        <v>931</v>
      </c>
      <c r="Q37" s="107" t="s">
        <v>936</v>
      </c>
      <c r="R37" s="107" t="s">
        <v>957</v>
      </c>
      <c r="S37" s="107" t="s">
        <v>962</v>
      </c>
      <c r="T37" s="107" t="s">
        <v>968</v>
      </c>
      <c r="U37" s="107" t="s">
        <v>975</v>
      </c>
      <c r="V37" s="107" t="s">
        <v>981</v>
      </c>
      <c r="W37" s="107" t="s">
        <v>986</v>
      </c>
      <c r="X37" s="107" t="s">
        <v>992</v>
      </c>
      <c r="Y37" s="107" t="s">
        <v>997</v>
      </c>
      <c r="Z37" s="107" t="s">
        <v>1008</v>
      </c>
      <c r="AA37" s="107" t="s">
        <v>1014</v>
      </c>
      <c r="AB37" s="107" t="s">
        <v>1020</v>
      </c>
      <c r="AC37" s="107" t="s">
        <v>1025</v>
      </c>
      <c r="AD37" s="107" t="s">
        <v>1031</v>
      </c>
      <c r="AE37" s="107" t="s">
        <v>1036</v>
      </c>
      <c r="AF37" s="107" t="s">
        <v>1041</v>
      </c>
      <c r="AG37" s="107" t="s">
        <v>1046</v>
      </c>
      <c r="AH37" s="107" t="s">
        <v>1051</v>
      </c>
      <c r="AI37" s="107" t="s">
        <v>1056</v>
      </c>
      <c r="AJ37" s="107" t="s">
        <v>1062</v>
      </c>
      <c r="AK37" s="107" t="s">
        <v>1067</v>
      </c>
      <c r="AL37" s="107" t="s">
        <v>1072</v>
      </c>
      <c r="AM37" s="107" t="s">
        <v>1077</v>
      </c>
      <c r="AN37" s="107" t="s">
        <v>1082</v>
      </c>
      <c r="AO37" s="107" t="s">
        <v>1087</v>
      </c>
      <c r="AP37" s="107" t="s">
        <v>1092</v>
      </c>
      <c r="AQ37" s="107" t="s">
        <v>1097</v>
      </c>
      <c r="AR37" s="107" t="s">
        <v>1102</v>
      </c>
      <c r="AS37" s="107" t="s">
        <v>1107</v>
      </c>
      <c r="AT37" s="107" t="s">
        <v>1112</v>
      </c>
      <c r="AU37" s="115" t="s">
        <v>1117</v>
      </c>
    </row>
    <row r="38" spans="1:47" ht="60" customHeight="1" x14ac:dyDescent="0.35">
      <c r="A38" s="113" t="s">
        <v>2898</v>
      </c>
      <c r="B38" s="103" t="s">
        <v>2899</v>
      </c>
      <c r="C38" s="104" t="s">
        <v>2900</v>
      </c>
      <c r="D38" s="104" t="s">
        <v>2901</v>
      </c>
      <c r="E38" s="104" t="s">
        <v>2902</v>
      </c>
      <c r="F38" s="105" t="s">
        <v>2903</v>
      </c>
      <c r="G38" s="106" t="str">
        <f>IF(COUNTIF(H38:AU38,"&lt;&gt;")=0,"",SUMPRODUCT(((Recommendations[ImplStatus]="Implemented")+(Recommendations[ImplStatus]="Compensated"))*ISNUMBER(MATCH(Recommendations[Id],H38:AU38,0)))/COUNTIF(H38:AU38,"&lt;&gt;"))</f>
        <v/>
      </c>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15"/>
    </row>
    <row r="39" spans="1:47" ht="60" customHeight="1" x14ac:dyDescent="0.35">
      <c r="A39" s="113" t="s">
        <v>2904</v>
      </c>
      <c r="B39" s="103" t="s">
        <v>2905</v>
      </c>
      <c r="C39" s="104" t="s">
        <v>2906</v>
      </c>
      <c r="D39" s="104" t="s">
        <v>2907</v>
      </c>
      <c r="E39" s="104" t="s">
        <v>20</v>
      </c>
      <c r="F39" s="105" t="s">
        <v>2908</v>
      </c>
      <c r="G39" s="106" t="str">
        <f>IF(COUNTIF(H39:AU39,"&lt;&gt;")=0,"",SUMPRODUCT(((Recommendations[ImplStatus]="Implemented")+(Recommendations[ImplStatus]="Compensated"))*ISNUMBER(MATCH(Recommendations[Id],H39:AU39,0)))/COUNTIF(H39:AU39,"&lt;&gt;"))</f>
        <v/>
      </c>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15"/>
    </row>
    <row r="40" spans="1:47" ht="60" customHeight="1" x14ac:dyDescent="0.35">
      <c r="A40" s="113" t="s">
        <v>2909</v>
      </c>
      <c r="B40" s="103" t="s">
        <v>2910</v>
      </c>
      <c r="C40" s="104" t="s">
        <v>2911</v>
      </c>
      <c r="D40" s="104" t="s">
        <v>2912</v>
      </c>
      <c r="E40" s="104" t="s">
        <v>2913</v>
      </c>
      <c r="F40" s="105" t="s">
        <v>2914</v>
      </c>
      <c r="G40" s="106" t="str">
        <f>IF(COUNTIF(H40:AU40,"&lt;&gt;")=0,"",SUMPRODUCT(((Recommendations[ImplStatus]="Implemented")+(Recommendations[ImplStatus]="Compensated"))*ISNUMBER(MATCH(Recommendations[Id],H40:AU40,0)))/COUNTIF(H40:AU40,"&lt;&gt;"))</f>
        <v/>
      </c>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15"/>
    </row>
    <row r="41" spans="1:47" ht="60" customHeight="1" x14ac:dyDescent="0.35">
      <c r="A41" s="113" t="s">
        <v>2915</v>
      </c>
      <c r="B41" s="103" t="s">
        <v>2916</v>
      </c>
      <c r="C41" s="104" t="s">
        <v>2917</v>
      </c>
      <c r="D41" s="104" t="s">
        <v>2918</v>
      </c>
      <c r="E41" s="104" t="s">
        <v>2919</v>
      </c>
      <c r="F41" s="105" t="s">
        <v>2920</v>
      </c>
      <c r="G41" s="106" t="str">
        <f>IF(COUNTIF(H41:AU41,"&lt;&gt;")=0,"",SUMPRODUCT(((Recommendations[ImplStatus]="Implemented")+(Recommendations[ImplStatus]="Compensated"))*ISNUMBER(MATCH(Recommendations[Id],H41:AU41,0)))/COUNTIF(H41:AU41,"&lt;&gt;"))</f>
        <v/>
      </c>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15"/>
    </row>
    <row r="42" spans="1:47" ht="60" customHeight="1" x14ac:dyDescent="0.35">
      <c r="A42" s="113" t="s">
        <v>2921</v>
      </c>
      <c r="B42" s="103" t="s">
        <v>2922</v>
      </c>
      <c r="C42" s="104" t="s">
        <v>2923</v>
      </c>
      <c r="D42" s="104" t="s">
        <v>2924</v>
      </c>
      <c r="E42" s="104" t="s">
        <v>2925</v>
      </c>
      <c r="F42" s="105" t="s">
        <v>2926</v>
      </c>
      <c r="G42" s="106" t="str">
        <f>IF(COUNTIF(H42:AU42,"&lt;&gt;")=0,"",SUMPRODUCT(((Recommendations[ImplStatus]="Implemented")+(Recommendations[ImplStatus]="Compensated"))*ISNUMBER(MATCH(Recommendations[Id],H42:AU42,0)))/COUNTIF(H42:AU42,"&lt;&gt;"))</f>
        <v/>
      </c>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15"/>
    </row>
    <row r="43" spans="1:47" ht="60" customHeight="1" x14ac:dyDescent="0.35">
      <c r="A43" s="113" t="s">
        <v>2927</v>
      </c>
      <c r="B43" s="103" t="s">
        <v>2928</v>
      </c>
      <c r="C43" s="104" t="s">
        <v>2929</v>
      </c>
      <c r="D43" s="104" t="s">
        <v>2930</v>
      </c>
      <c r="E43" s="104" t="s">
        <v>2931</v>
      </c>
      <c r="F43" s="105" t="s">
        <v>2932</v>
      </c>
      <c r="G43" s="106" t="str">
        <f>IF(COUNTIF(H43:AU43,"&lt;&gt;")=0,"",SUMPRODUCT(((Recommendations[ImplStatus]="Implemented")+(Recommendations[ImplStatus]="Compensated"))*ISNUMBER(MATCH(Recommendations[Id],H43:AU43,0)))/COUNTIF(H43:AU43,"&lt;&gt;"))</f>
        <v/>
      </c>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15"/>
    </row>
    <row r="44" spans="1:47" ht="60" customHeight="1" x14ac:dyDescent="0.35">
      <c r="A44" s="113" t="s">
        <v>2933</v>
      </c>
      <c r="B44" s="103" t="s">
        <v>2934</v>
      </c>
      <c r="C44" s="104" t="s">
        <v>2935</v>
      </c>
      <c r="D44" s="104" t="s">
        <v>2936</v>
      </c>
      <c r="E44" s="104" t="s">
        <v>20</v>
      </c>
      <c r="F44" s="105" t="s">
        <v>2937</v>
      </c>
      <c r="G44" s="106">
        <f>IF(COUNTIF(H44:AU44,"&lt;&gt;")=0,"",SUMPRODUCT(((Recommendations[ImplStatus]="Implemented")+(Recommendations[ImplStatus]="Compensated"))*ISNUMBER(MATCH(Recommendations[Id],H44:AU44,0)))/COUNTIF(H44:AU44,"&lt;&gt;"))</f>
        <v>0</v>
      </c>
      <c r="H44" s="107" t="s">
        <v>85</v>
      </c>
      <c r="I44" s="107" t="s">
        <v>1639</v>
      </c>
      <c r="J44" s="107" t="s">
        <v>1644</v>
      </c>
      <c r="K44" s="107" t="s">
        <v>1649</v>
      </c>
      <c r="L44" s="107" t="s">
        <v>1654</v>
      </c>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15"/>
    </row>
    <row r="45" spans="1:47" ht="60" customHeight="1" x14ac:dyDescent="0.35">
      <c r="A45" s="114" t="s">
        <v>2938</v>
      </c>
      <c r="B45" s="108" t="s">
        <v>2939</v>
      </c>
      <c r="C45" s="109" t="s">
        <v>2940</v>
      </c>
      <c r="D45" s="109" t="s">
        <v>2941</v>
      </c>
      <c r="E45" s="109" t="s">
        <v>2942</v>
      </c>
      <c r="F45" s="110" t="s">
        <v>2943</v>
      </c>
      <c r="G45" s="111" t="str">
        <f>IF(COUNTIF(H45:AU45,"&lt;&gt;")=0,"",SUMPRODUCT(((Recommendations[ImplStatus]="Implemented")+(Recommendations[ImplStatus]="Compensated"))*ISNUMBER(MATCH(Recommendations[Id],H45:AU45,0)))/COUNTIF(H45:AU45,"&lt;&gt;"))</f>
        <v/>
      </c>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6"/>
    </row>
    <row r="49" spans="1:4" ht="32" customHeight="1" x14ac:dyDescent="0.35">
      <c r="A49" s="262" t="s">
        <v>1766</v>
      </c>
      <c r="B49" s="262"/>
      <c r="C49" s="262"/>
      <c r="D49" s="262"/>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IFERROR(INDEX('Recommendations'!$G$2:$G$368, MATCH(H2,'Recommendations'!$B$2:$B$368,0))="Implemented", FALSE))</xm:f>
            <x14:dxf>
              <font>
                <color rgb="FF000000"/>
              </font>
              <fill>
                <patternFill>
                  <bgColor rgb="FF3C7D22"/>
                </patternFill>
              </fill>
            </x14:dxf>
          </x14:cfRule>
          <x14:cfRule type="expression" priority="2" id="{00000000-000E-0000-0500-000002000000}">
            <xm:f>AND(H2&lt;&gt;"", IFERROR(INDEX('Recommendations'!$G$2:$G$368, MATCH(H2,'Recommendations'!$B$2:$B$368,0))="Compensated", FALSE))</xm:f>
            <x14:dxf>
              <font>
                <color rgb="FF000000"/>
              </font>
              <fill>
                <patternFill>
                  <bgColor rgb="FFC6E0B4"/>
                </patternFill>
              </fill>
            </x14:dxf>
          </x14:cfRule>
          <x14:cfRule type="expression" priority="3" id="{00000000-000E-0000-0500-000003000000}">
            <xm:f>AND(H2&lt;&gt;"", IFERROR(INDEX('Recommendations'!$G$2:$G$368, MATCH(H2,'Recommendations'!$B$2:$B$368,0))="Testing", FALSE))</xm:f>
            <x14:dxf>
              <font>
                <color rgb="FF000000"/>
              </font>
              <fill>
                <patternFill>
                  <bgColor rgb="FFFFC000"/>
                </patternFill>
              </fill>
            </x14:dxf>
          </x14:cfRule>
          <x14:cfRule type="expression" priority="4" id="{00000000-000E-0000-0500-000004000000}">
            <xm:f>AND(H2&lt;&gt;"", IFERROR(INDEX('Recommendations'!$G$2:$G$368, MATCH(H2,'Recommendations'!$B$2:$B$368,0))="Failed", FALSE))</xm:f>
            <x14:dxf>
              <font>
                <color rgb="FF000000"/>
              </font>
              <fill>
                <patternFill>
                  <bgColor rgb="FFD82891"/>
                </patternFill>
              </fill>
            </x14:dxf>
          </x14:cfRule>
          <x14:cfRule type="expression" priority="5" id="{00000000-000E-0000-0500-000005000000}">
            <xm:f>AND(H2&lt;&gt;"", IFERROR(INDEX('Recommendations'!$G$2:$G$368, MATCH(H2,'Recommendations'!$B$2:$B$368,0))="Risk Accepted", FALSE))</xm:f>
            <x14:dxf>
              <font>
                <color rgb="FF000000"/>
              </font>
              <fill>
                <patternFill>
                  <bgColor rgb="FFD9D9D9"/>
                </patternFill>
              </fill>
            </x14:dxf>
          </x14:cfRule>
          <x14:cfRule type="expression" priority="6" id="{00000000-000E-0000-0500-000006000000}">
            <xm:f>AND(H2&lt;&gt;"", IFERROR(INDEX('Recommendations'!$G$2:$G$368, MATCH(H2,'Recommendations'!$B$2:$B$368,0))="N/A",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1" t="s">
        <v>2944</v>
      </c>
      <c r="B1" s="142" t="s">
        <v>1998</v>
      </c>
      <c r="C1" s="142" t="s">
        <v>1</v>
      </c>
      <c r="D1" s="142" t="s">
        <v>1999</v>
      </c>
      <c r="E1" s="142" t="s">
        <v>2945</v>
      </c>
      <c r="F1" s="142" t="s">
        <v>2946</v>
      </c>
      <c r="G1" s="142" t="s">
        <v>2947</v>
      </c>
      <c r="H1" s="142" t="s">
        <v>2948</v>
      </c>
      <c r="I1" s="142" t="s">
        <v>2004</v>
      </c>
      <c r="J1" s="142" t="s">
        <v>2005</v>
      </c>
      <c r="K1" s="142" t="s">
        <v>2006</v>
      </c>
      <c r="L1" s="142" t="s">
        <v>2007</v>
      </c>
      <c r="M1" s="142" t="s">
        <v>2008</v>
      </c>
      <c r="N1" s="142" t="s">
        <v>2009</v>
      </c>
      <c r="O1" s="142" t="s">
        <v>2010</v>
      </c>
      <c r="P1" s="142" t="s">
        <v>2011</v>
      </c>
      <c r="Q1" s="142" t="s">
        <v>2012</v>
      </c>
      <c r="R1" s="142" t="s">
        <v>2013</v>
      </c>
      <c r="S1" s="142" t="s">
        <v>2014</v>
      </c>
      <c r="T1" s="142" t="s">
        <v>2015</v>
      </c>
      <c r="U1" s="142" t="s">
        <v>2016</v>
      </c>
      <c r="V1" s="142" t="s">
        <v>2017</v>
      </c>
      <c r="W1" s="142" t="s">
        <v>2018</v>
      </c>
      <c r="X1" s="142" t="s">
        <v>2019</v>
      </c>
      <c r="Y1" s="142" t="s">
        <v>2020</v>
      </c>
      <c r="Z1" s="142" t="s">
        <v>2021</v>
      </c>
      <c r="AA1" s="142" t="s">
        <v>2022</v>
      </c>
      <c r="AB1" s="142" t="s">
        <v>2023</v>
      </c>
      <c r="AC1" s="142" t="s">
        <v>2024</v>
      </c>
      <c r="AD1" s="142" t="s">
        <v>2025</v>
      </c>
      <c r="AE1" s="142" t="s">
        <v>2026</v>
      </c>
      <c r="AF1" s="142" t="s">
        <v>2027</v>
      </c>
      <c r="AG1" s="142" t="s">
        <v>2028</v>
      </c>
      <c r="AH1" s="142" t="s">
        <v>2029</v>
      </c>
      <c r="AI1" s="142" t="s">
        <v>2030</v>
      </c>
      <c r="AJ1" s="142" t="s">
        <v>2031</v>
      </c>
      <c r="AK1" s="142" t="s">
        <v>2032</v>
      </c>
      <c r="AL1" s="142" t="s">
        <v>2033</v>
      </c>
      <c r="AM1" s="142" t="s">
        <v>2034</v>
      </c>
      <c r="AN1" s="142" t="s">
        <v>2035</v>
      </c>
      <c r="AO1" s="142" t="s">
        <v>2036</v>
      </c>
      <c r="AP1" s="142" t="s">
        <v>2037</v>
      </c>
      <c r="AQ1" s="142" t="s">
        <v>2038</v>
      </c>
      <c r="AR1" s="142" t="s">
        <v>2039</v>
      </c>
      <c r="AS1" s="142" t="s">
        <v>2040</v>
      </c>
      <c r="AT1" s="142" t="s">
        <v>2041</v>
      </c>
      <c r="AU1" s="142" t="s">
        <v>2042</v>
      </c>
      <c r="AV1" s="142" t="s">
        <v>2043</v>
      </c>
      <c r="AW1" s="143" t="s">
        <v>2044</v>
      </c>
    </row>
    <row r="2" spans="1:49" ht="60" customHeight="1" outlineLevel="1" x14ac:dyDescent="0.35">
      <c r="A2" s="135" t="s">
        <v>2949</v>
      </c>
      <c r="B2" s="121"/>
      <c r="C2" s="120" t="s">
        <v>2950</v>
      </c>
      <c r="D2" s="124"/>
      <c r="E2" s="124"/>
      <c r="F2" s="124"/>
      <c r="G2" s="124"/>
      <c r="H2" s="124"/>
      <c r="I2" s="126" t="str">
        <f>IF(COUNTIF(J2:AW2,"&lt;&gt;")=0,"",SUMPRODUCT(((Recommendations[ImplStatus]="Implemented")+(Recommendations[ImplStatus]="Compensated"))*ISNUMBER(MATCH(Recommendations[Id],J2:AW2,0)))/COUNTIF(J2:AW2,"&lt;&gt;"))</f>
        <v/>
      </c>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38"/>
    </row>
    <row r="3" spans="1:49" ht="60" customHeight="1" x14ac:dyDescent="0.35">
      <c r="A3" s="136" t="s">
        <v>2949</v>
      </c>
      <c r="B3" s="122" t="s">
        <v>313</v>
      </c>
      <c r="C3" s="123" t="s">
        <v>2951</v>
      </c>
      <c r="D3" s="125" t="s">
        <v>2952</v>
      </c>
      <c r="E3" s="125" t="s">
        <v>2953</v>
      </c>
      <c r="F3" s="125" t="s">
        <v>2954</v>
      </c>
      <c r="G3" s="125" t="s">
        <v>2955</v>
      </c>
      <c r="H3" s="125" t="s">
        <v>2956</v>
      </c>
      <c r="I3" s="127">
        <f>IF(COUNTIF(J3:AW3,"&lt;&gt;")=0,"",SUMPRODUCT(((Recommendations[ImplStatus]="Implemented")+(Recommendations[ImplStatus]="Compensated"))*ISNUMBER(MATCH(Recommendations[Id],J3:AW3,0)))/COUNTIF(J3:AW3,"&lt;&gt;"))</f>
        <v>0</v>
      </c>
      <c r="J3" s="129" t="s">
        <v>221</v>
      </c>
      <c r="K3" s="129" t="s">
        <v>229</v>
      </c>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39"/>
    </row>
    <row r="4" spans="1:49" ht="60" customHeight="1" x14ac:dyDescent="0.35">
      <c r="A4" s="136" t="s">
        <v>2949</v>
      </c>
      <c r="B4" s="122" t="s">
        <v>2957</v>
      </c>
      <c r="C4" s="123" t="s">
        <v>2958</v>
      </c>
      <c r="D4" s="125" t="s">
        <v>2959</v>
      </c>
      <c r="E4" s="125" t="s">
        <v>2960</v>
      </c>
      <c r="F4" s="125" t="s">
        <v>2961</v>
      </c>
      <c r="G4" s="125" t="s">
        <v>2962</v>
      </c>
      <c r="H4" s="125" t="s">
        <v>2963</v>
      </c>
      <c r="I4" s="127">
        <f>IF(COUNTIF(J4:AW4,"&lt;&gt;")=0,"",SUMPRODUCT(((Recommendations[ImplStatus]="Implemented")+(Recommendations[ImplStatus]="Compensated"))*ISNUMBER(MATCH(Recommendations[Id],J4:AW4,0)))/COUNTIF(J4:AW4,"&lt;&gt;"))</f>
        <v>0</v>
      </c>
      <c r="J4" s="129" t="s">
        <v>110</v>
      </c>
      <c r="K4" s="129" t="s">
        <v>115</v>
      </c>
      <c r="L4" s="129" t="s">
        <v>120</v>
      </c>
      <c r="M4" s="129" t="s">
        <v>125</v>
      </c>
      <c r="N4" s="129" t="s">
        <v>130</v>
      </c>
      <c r="O4" s="129" t="s">
        <v>135</v>
      </c>
      <c r="P4" s="129" t="s">
        <v>165</v>
      </c>
      <c r="Q4" s="129" t="s">
        <v>216</v>
      </c>
      <c r="R4" s="129" t="s">
        <v>225</v>
      </c>
      <c r="S4" s="129" t="s">
        <v>257</v>
      </c>
      <c r="T4" s="129" t="s">
        <v>261</v>
      </c>
      <c r="U4" s="129" t="s">
        <v>471</v>
      </c>
      <c r="V4" s="129" t="s">
        <v>558</v>
      </c>
      <c r="W4" s="129" t="s">
        <v>591</v>
      </c>
      <c r="X4" s="129" t="s">
        <v>605</v>
      </c>
      <c r="Y4" s="129" t="s">
        <v>819</v>
      </c>
      <c r="Z4" s="129" t="s">
        <v>1603</v>
      </c>
      <c r="AA4" s="129" t="s">
        <v>1609</v>
      </c>
      <c r="AB4" s="129" t="s">
        <v>1614</v>
      </c>
      <c r="AC4" s="129"/>
      <c r="AD4" s="129"/>
      <c r="AE4" s="129"/>
      <c r="AF4" s="129"/>
      <c r="AG4" s="129"/>
      <c r="AH4" s="129"/>
      <c r="AI4" s="129"/>
      <c r="AJ4" s="129"/>
      <c r="AK4" s="129"/>
      <c r="AL4" s="129"/>
      <c r="AM4" s="129"/>
      <c r="AN4" s="129"/>
      <c r="AO4" s="129"/>
      <c r="AP4" s="129"/>
      <c r="AQ4" s="129"/>
      <c r="AR4" s="129"/>
      <c r="AS4" s="129"/>
      <c r="AT4" s="129"/>
      <c r="AU4" s="129"/>
      <c r="AV4" s="129"/>
      <c r="AW4" s="139"/>
    </row>
    <row r="5" spans="1:49" ht="60" customHeight="1" x14ac:dyDescent="0.35">
      <c r="A5" s="136" t="s">
        <v>2949</v>
      </c>
      <c r="B5" s="122" t="s">
        <v>2964</v>
      </c>
      <c r="C5" s="123" t="s">
        <v>2965</v>
      </c>
      <c r="D5" s="125" t="s">
        <v>2966</v>
      </c>
      <c r="E5" s="125" t="s">
        <v>2967</v>
      </c>
      <c r="F5" s="125" t="s">
        <v>2968</v>
      </c>
      <c r="G5" s="125" t="s">
        <v>2969</v>
      </c>
      <c r="H5" s="125" t="s">
        <v>2970</v>
      </c>
      <c r="I5" s="127" t="str">
        <f>IF(COUNTIF(J5:AW5,"&lt;&gt;")=0,"",SUMPRODUCT(((Recommendations[ImplStatus]="Implemented")+(Recommendations[ImplStatus]="Compensated"))*ISNUMBER(MATCH(Recommendations[Id],J5:AW5,0)))/COUNTIF(J5:AW5,"&lt;&gt;"))</f>
        <v/>
      </c>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39"/>
    </row>
    <row r="6" spans="1:49" ht="60" customHeight="1" x14ac:dyDescent="0.35">
      <c r="A6" s="136" t="s">
        <v>2949</v>
      </c>
      <c r="B6" s="122" t="s">
        <v>2971</v>
      </c>
      <c r="C6" s="123" t="s">
        <v>2972</v>
      </c>
      <c r="D6" s="125" t="s">
        <v>2973</v>
      </c>
      <c r="E6" s="125" t="s">
        <v>2974</v>
      </c>
      <c r="F6" s="125" t="s">
        <v>2975</v>
      </c>
      <c r="G6" s="125" t="s">
        <v>2976</v>
      </c>
      <c r="H6" s="125" t="s">
        <v>2977</v>
      </c>
      <c r="I6" s="127" t="str">
        <f>IF(COUNTIF(J6:AW6,"&lt;&gt;")=0,"",SUMPRODUCT(((Recommendations[ImplStatus]="Implemented")+(Recommendations[ImplStatus]="Compensated"))*ISNUMBER(MATCH(Recommendations[Id],J6:AW6,0)))/COUNTIF(J6:AW6,"&lt;&gt;"))</f>
        <v/>
      </c>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39"/>
    </row>
    <row r="7" spans="1:49" ht="60" customHeight="1" x14ac:dyDescent="0.35">
      <c r="A7" s="136" t="s">
        <v>2949</v>
      </c>
      <c r="B7" s="122" t="s">
        <v>2978</v>
      </c>
      <c r="C7" s="123" t="s">
        <v>2979</v>
      </c>
      <c r="D7" s="125" t="s">
        <v>2980</v>
      </c>
      <c r="E7" s="125" t="s">
        <v>2981</v>
      </c>
      <c r="F7" s="125" t="s">
        <v>2982</v>
      </c>
      <c r="G7" s="125" t="s">
        <v>2983</v>
      </c>
      <c r="H7" s="125" t="s">
        <v>2984</v>
      </c>
      <c r="I7" s="127">
        <f>IF(COUNTIF(J7:AW7,"&lt;&gt;")=0,"",SUMPRODUCT(((Recommendations[ImplStatus]="Implemented")+(Recommendations[ImplStatus]="Compensated"))*ISNUMBER(MATCH(Recommendations[Id],J7:AW7,0)))/COUNTIF(J7:AW7,"&lt;&gt;"))</f>
        <v>0</v>
      </c>
      <c r="J7" s="129" t="s">
        <v>170</v>
      </c>
      <c r="K7" s="129" t="s">
        <v>175</v>
      </c>
      <c r="L7" s="129" t="s">
        <v>180</v>
      </c>
      <c r="M7" s="129" t="s">
        <v>185</v>
      </c>
      <c r="N7" s="129" t="s">
        <v>190</v>
      </c>
      <c r="O7" s="129" t="s">
        <v>195</v>
      </c>
      <c r="P7" s="129" t="s">
        <v>200</v>
      </c>
      <c r="Q7" s="129" t="s">
        <v>205</v>
      </c>
      <c r="R7" s="129" t="s">
        <v>210</v>
      </c>
      <c r="S7" s="129" t="s">
        <v>233</v>
      </c>
      <c r="T7" s="129" t="s">
        <v>237</v>
      </c>
      <c r="U7" s="129" t="s">
        <v>241</v>
      </c>
      <c r="V7" s="129" t="s">
        <v>245</v>
      </c>
      <c r="W7" s="129" t="s">
        <v>249</v>
      </c>
      <c r="X7" s="129" t="s">
        <v>253</v>
      </c>
      <c r="Y7" s="129" t="s">
        <v>269</v>
      </c>
      <c r="Z7" s="129" t="s">
        <v>273</v>
      </c>
      <c r="AA7" s="129" t="s">
        <v>277</v>
      </c>
      <c r="AB7" s="129" t="s">
        <v>281</v>
      </c>
      <c r="AC7" s="129" t="s">
        <v>285</v>
      </c>
      <c r="AD7" s="129" t="s">
        <v>289</v>
      </c>
      <c r="AE7" s="129" t="s">
        <v>293</v>
      </c>
      <c r="AF7" s="129" t="s">
        <v>297</v>
      </c>
      <c r="AG7" s="129" t="s">
        <v>301</v>
      </c>
      <c r="AH7" s="129" t="s">
        <v>305</v>
      </c>
      <c r="AI7" s="129" t="s">
        <v>471</v>
      </c>
      <c r="AJ7" s="129" t="s">
        <v>676</v>
      </c>
      <c r="AK7" s="129" t="s">
        <v>686</v>
      </c>
      <c r="AL7" s="129" t="s">
        <v>783</v>
      </c>
      <c r="AM7" s="129" t="s">
        <v>886</v>
      </c>
      <c r="AN7" s="129" t="s">
        <v>1676</v>
      </c>
      <c r="AO7" s="129" t="s">
        <v>1681</v>
      </c>
      <c r="AP7" s="129"/>
      <c r="AQ7" s="129"/>
      <c r="AR7" s="129"/>
      <c r="AS7" s="129"/>
      <c r="AT7" s="129"/>
      <c r="AU7" s="129"/>
      <c r="AV7" s="129"/>
      <c r="AW7" s="139"/>
    </row>
    <row r="8" spans="1:49" ht="60" customHeight="1" x14ac:dyDescent="0.35">
      <c r="A8" s="136" t="s">
        <v>2949</v>
      </c>
      <c r="B8" s="122" t="s">
        <v>2985</v>
      </c>
      <c r="C8" s="123" t="s">
        <v>2986</v>
      </c>
      <c r="D8" s="125" t="s">
        <v>2987</v>
      </c>
      <c r="E8" s="125" t="s">
        <v>2988</v>
      </c>
      <c r="F8" s="125" t="s">
        <v>2989</v>
      </c>
      <c r="G8" s="125" t="s">
        <v>2983</v>
      </c>
      <c r="H8" s="125" t="s">
        <v>2990</v>
      </c>
      <c r="I8" s="127" t="str">
        <f>IF(COUNTIF(J8:AW8,"&lt;&gt;")=0,"",SUMPRODUCT(((Recommendations[ImplStatus]="Implemented")+(Recommendations[ImplStatus]="Compensated"))*ISNUMBER(MATCH(Recommendations[Id],J8:AW8,0)))/COUNTIF(J8:AW8,"&lt;&gt;"))</f>
        <v/>
      </c>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39"/>
    </row>
    <row r="9" spans="1:49" ht="60" customHeight="1" x14ac:dyDescent="0.35">
      <c r="A9" s="136" t="s">
        <v>2949</v>
      </c>
      <c r="B9" s="122" t="s">
        <v>2991</v>
      </c>
      <c r="C9" s="123" t="s">
        <v>2992</v>
      </c>
      <c r="D9" s="125" t="s">
        <v>2993</v>
      </c>
      <c r="E9" s="125" t="s">
        <v>2994</v>
      </c>
      <c r="F9" s="125" t="s">
        <v>2995</v>
      </c>
      <c r="G9" s="125" t="s">
        <v>2996</v>
      </c>
      <c r="H9" s="125" t="s">
        <v>2997</v>
      </c>
      <c r="I9" s="127" t="str">
        <f>IF(COUNTIF(J9:AW9,"&lt;&gt;")=0,"",SUMPRODUCT(((Recommendations[ImplStatus]="Implemented")+(Recommendations[ImplStatus]="Compensated"))*ISNUMBER(MATCH(Recommendations[Id],J9:AW9,0)))/COUNTIF(J9:AW9,"&lt;&gt;"))</f>
        <v/>
      </c>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39"/>
    </row>
    <row r="10" spans="1:49" ht="60" customHeight="1" x14ac:dyDescent="0.35">
      <c r="A10" s="136" t="s">
        <v>2949</v>
      </c>
      <c r="B10" s="122" t="s">
        <v>2998</v>
      </c>
      <c r="C10" s="123" t="s">
        <v>2999</v>
      </c>
      <c r="D10" s="125" t="s">
        <v>3000</v>
      </c>
      <c r="E10" s="125" t="s">
        <v>3001</v>
      </c>
      <c r="F10" s="125" t="s">
        <v>3002</v>
      </c>
      <c r="G10" s="125" t="s">
        <v>3003</v>
      </c>
      <c r="H10" s="125" t="s">
        <v>3004</v>
      </c>
      <c r="I10" s="127" t="str">
        <f>IF(COUNTIF(J10:AW10,"&lt;&gt;")=0,"",SUMPRODUCT(((Recommendations[ImplStatus]="Implemented")+(Recommendations[ImplStatus]="Compensated"))*ISNUMBER(MATCH(Recommendations[Id],J10:AW10,0)))/COUNTIF(J10:AW10,"&lt;&gt;"))</f>
        <v/>
      </c>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39"/>
    </row>
    <row r="11" spans="1:49" ht="60" customHeight="1" x14ac:dyDescent="0.35">
      <c r="A11" s="136" t="s">
        <v>2949</v>
      </c>
      <c r="B11" s="122" t="s">
        <v>3005</v>
      </c>
      <c r="C11" s="123" t="s">
        <v>3006</v>
      </c>
      <c r="D11" s="125" t="s">
        <v>3007</v>
      </c>
      <c r="E11" s="125" t="s">
        <v>3008</v>
      </c>
      <c r="F11" s="125" t="s">
        <v>3009</v>
      </c>
      <c r="G11" s="125" t="s">
        <v>3010</v>
      </c>
      <c r="H11" s="125" t="s">
        <v>3011</v>
      </c>
      <c r="I11" s="127" t="str">
        <f>IF(COUNTIF(J11:AW11,"&lt;&gt;")=0,"",SUMPRODUCT(((Recommendations[ImplStatus]="Implemented")+(Recommendations[ImplStatus]="Compensated"))*ISNUMBER(MATCH(Recommendations[Id],J11:AW11,0)))/COUNTIF(J11:AW11,"&lt;&gt;"))</f>
        <v/>
      </c>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39"/>
    </row>
    <row r="12" spans="1:49" ht="60" customHeight="1" x14ac:dyDescent="0.35">
      <c r="A12" s="136" t="s">
        <v>2949</v>
      </c>
      <c r="B12" s="122" t="s">
        <v>3012</v>
      </c>
      <c r="C12" s="123" t="s">
        <v>3013</v>
      </c>
      <c r="D12" s="125" t="s">
        <v>3014</v>
      </c>
      <c r="E12" s="125" t="s">
        <v>3015</v>
      </c>
      <c r="F12" s="125" t="s">
        <v>3016</v>
      </c>
      <c r="G12" s="125" t="s">
        <v>3003</v>
      </c>
      <c r="H12" s="125" t="s">
        <v>3017</v>
      </c>
      <c r="I12" s="127">
        <f>IF(COUNTIF(J12:AW12,"&lt;&gt;")=0,"",SUMPRODUCT(((Recommendations[ImplStatus]="Implemented")+(Recommendations[ImplStatus]="Compensated"))*ISNUMBER(MATCH(Recommendations[Id],J12:AW12,0)))/COUNTIF(J12:AW12,"&lt;&gt;"))</f>
        <v>0</v>
      </c>
      <c r="J12" s="129" t="s">
        <v>85</v>
      </c>
      <c r="K12" s="129" t="s">
        <v>90</v>
      </c>
      <c r="L12" s="129" t="s">
        <v>459</v>
      </c>
      <c r="M12" s="129" t="s">
        <v>465</v>
      </c>
      <c r="N12" s="129" t="s">
        <v>794</v>
      </c>
      <c r="O12" s="129" t="s">
        <v>799</v>
      </c>
      <c r="P12" s="129" t="s">
        <v>803</v>
      </c>
      <c r="Q12" s="129" t="s">
        <v>808</v>
      </c>
      <c r="R12" s="129" t="s">
        <v>826</v>
      </c>
      <c r="S12" s="129" t="s">
        <v>1669</v>
      </c>
      <c r="T12" s="129" t="s">
        <v>1687</v>
      </c>
      <c r="U12" s="129" t="s">
        <v>1692</v>
      </c>
      <c r="V12" s="129" t="s">
        <v>1735</v>
      </c>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39"/>
    </row>
    <row r="13" spans="1:49" ht="60" customHeight="1" x14ac:dyDescent="0.35">
      <c r="A13" s="136" t="s">
        <v>2949</v>
      </c>
      <c r="B13" s="122" t="s">
        <v>3018</v>
      </c>
      <c r="C13" s="123" t="s">
        <v>3019</v>
      </c>
      <c r="D13" s="125" t="s">
        <v>3020</v>
      </c>
      <c r="E13" s="125" t="s">
        <v>3021</v>
      </c>
      <c r="F13" s="125" t="s">
        <v>3022</v>
      </c>
      <c r="G13" s="125" t="s">
        <v>3003</v>
      </c>
      <c r="H13" s="125" t="s">
        <v>3023</v>
      </c>
      <c r="I13" s="127" t="str">
        <f>IF(COUNTIF(J13:AW13,"&lt;&gt;")=0,"",SUMPRODUCT(((Recommendations[ImplStatus]="Implemented")+(Recommendations[ImplStatus]="Compensated"))*ISNUMBER(MATCH(Recommendations[Id],J13:AW13,0)))/COUNTIF(J13:AW13,"&lt;&gt;"))</f>
        <v/>
      </c>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39"/>
    </row>
    <row r="14" spans="1:49" ht="60" customHeight="1" x14ac:dyDescent="0.35">
      <c r="A14" s="136" t="s">
        <v>2949</v>
      </c>
      <c r="B14" s="122" t="s">
        <v>3024</v>
      </c>
      <c r="C14" s="123" t="s">
        <v>3025</v>
      </c>
      <c r="D14" s="125" t="s">
        <v>3026</v>
      </c>
      <c r="E14" s="125" t="s">
        <v>3027</v>
      </c>
      <c r="F14" s="125" t="s">
        <v>3028</v>
      </c>
      <c r="G14" s="125" t="s">
        <v>3029</v>
      </c>
      <c r="H14" s="125" t="s">
        <v>3030</v>
      </c>
      <c r="I14" s="127" t="str">
        <f>IF(COUNTIF(J14:AW14,"&lt;&gt;")=0,"",SUMPRODUCT(((Recommendations[ImplStatus]="Implemented")+(Recommendations[ImplStatus]="Compensated"))*ISNUMBER(MATCH(Recommendations[Id],J14:AW14,0)))/COUNTIF(J14:AW14,"&lt;&gt;"))</f>
        <v/>
      </c>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39"/>
    </row>
    <row r="15" spans="1:49" ht="60" customHeight="1" x14ac:dyDescent="0.35">
      <c r="A15" s="136" t="s">
        <v>2949</v>
      </c>
      <c r="B15" s="122" t="s">
        <v>3031</v>
      </c>
      <c r="C15" s="123" t="s">
        <v>3032</v>
      </c>
      <c r="D15" s="125" t="s">
        <v>3033</v>
      </c>
      <c r="E15" s="125" t="s">
        <v>3034</v>
      </c>
      <c r="F15" s="125" t="s">
        <v>3035</v>
      </c>
      <c r="G15" s="125" t="s">
        <v>3036</v>
      </c>
      <c r="H15" s="125" t="s">
        <v>3037</v>
      </c>
      <c r="I15" s="127" t="str">
        <f>IF(COUNTIF(J15:AW15,"&lt;&gt;")=0,"",SUMPRODUCT(((Recommendations[ImplStatus]="Implemented")+(Recommendations[ImplStatus]="Compensated"))*ISNUMBER(MATCH(Recommendations[Id],J15:AW15,0)))/COUNTIF(J15:AW15,"&lt;&gt;"))</f>
        <v/>
      </c>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39"/>
    </row>
    <row r="16" spans="1:49" ht="60" customHeight="1" x14ac:dyDescent="0.35">
      <c r="A16" s="136" t="s">
        <v>2949</v>
      </c>
      <c r="B16" s="122" t="s">
        <v>3038</v>
      </c>
      <c r="C16" s="123" t="s">
        <v>3039</v>
      </c>
      <c r="D16" s="125" t="s">
        <v>3040</v>
      </c>
      <c r="E16" s="125" t="s">
        <v>3041</v>
      </c>
      <c r="F16" s="125" t="s">
        <v>3042</v>
      </c>
      <c r="G16" s="125" t="s">
        <v>3043</v>
      </c>
      <c r="H16" s="125" t="s">
        <v>3044</v>
      </c>
      <c r="I16" s="127" t="str">
        <f>IF(COUNTIF(J16:AW16,"&lt;&gt;")=0,"",SUMPRODUCT(((Recommendations[ImplStatus]="Implemented")+(Recommendations[ImplStatus]="Compensated"))*ISNUMBER(MATCH(Recommendations[Id],J16:AW16,0)))/COUNTIF(J16:AW16,"&lt;&gt;"))</f>
        <v/>
      </c>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39"/>
    </row>
    <row r="17" spans="1:49" ht="60" customHeight="1" x14ac:dyDescent="0.35">
      <c r="A17" s="136" t="s">
        <v>2949</v>
      </c>
      <c r="B17" s="122" t="s">
        <v>3045</v>
      </c>
      <c r="C17" s="123" t="s">
        <v>3046</v>
      </c>
      <c r="D17" s="125" t="s">
        <v>3047</v>
      </c>
      <c r="E17" s="125" t="s">
        <v>3048</v>
      </c>
      <c r="F17" s="125" t="s">
        <v>3049</v>
      </c>
      <c r="G17" s="125" t="s">
        <v>3050</v>
      </c>
      <c r="H17" s="125" t="s">
        <v>3051</v>
      </c>
      <c r="I17" s="127" t="str">
        <f>IF(COUNTIF(J17:AW17,"&lt;&gt;")=0,"",SUMPRODUCT(((Recommendations[ImplStatus]="Implemented")+(Recommendations[ImplStatus]="Compensated"))*ISNUMBER(MATCH(Recommendations[Id],J17:AW17,0)))/COUNTIF(J17:AW17,"&lt;&gt;"))</f>
        <v/>
      </c>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39"/>
    </row>
    <row r="18" spans="1:49" ht="60" customHeight="1" x14ac:dyDescent="0.35">
      <c r="A18" s="136" t="s">
        <v>2949</v>
      </c>
      <c r="B18" s="122" t="s">
        <v>3052</v>
      </c>
      <c r="C18" s="123" t="s">
        <v>3053</v>
      </c>
      <c r="D18" s="125" t="s">
        <v>3054</v>
      </c>
      <c r="E18" s="125" t="s">
        <v>3055</v>
      </c>
      <c r="F18" s="125" t="s">
        <v>20</v>
      </c>
      <c r="G18" s="125" t="s">
        <v>20</v>
      </c>
      <c r="H18" s="125" t="s">
        <v>20</v>
      </c>
      <c r="I18" s="127" t="str">
        <f>IF(COUNTIF(J18:AW18,"&lt;&gt;")=0,"",SUMPRODUCT(((Recommendations[ImplStatus]="Implemented")+(Recommendations[ImplStatus]="Compensated"))*ISNUMBER(MATCH(Recommendations[Id],J18:AW18,0)))/COUNTIF(J18:AW18,"&lt;&gt;"))</f>
        <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39"/>
    </row>
    <row r="19" spans="1:49" ht="60" customHeight="1" outlineLevel="1" x14ac:dyDescent="0.35">
      <c r="A19" s="135" t="s">
        <v>3056</v>
      </c>
      <c r="B19" s="121"/>
      <c r="C19" s="120" t="s">
        <v>3057</v>
      </c>
      <c r="D19" s="124"/>
      <c r="E19" s="124"/>
      <c r="F19" s="124"/>
      <c r="G19" s="124"/>
      <c r="H19" s="124"/>
      <c r="I19" s="126" t="str">
        <f>IF(COUNTIF(J19:AW19,"&lt;&gt;")=0,"",SUMPRODUCT(((Recommendations[ImplStatus]="Implemented")+(Recommendations[ImplStatus]="Compensated"))*ISNUMBER(MATCH(Recommendations[Id],J19:AW19,0)))/COUNTIF(J19:AW19,"&lt;&gt;"))</f>
        <v/>
      </c>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38"/>
    </row>
    <row r="20" spans="1:49" ht="60" customHeight="1" x14ac:dyDescent="0.35">
      <c r="A20" s="136" t="s">
        <v>3056</v>
      </c>
      <c r="B20" s="122" t="s">
        <v>3058</v>
      </c>
      <c r="C20" s="123" t="s">
        <v>3059</v>
      </c>
      <c r="D20" s="125" t="s">
        <v>3060</v>
      </c>
      <c r="E20" s="125" t="s">
        <v>3061</v>
      </c>
      <c r="F20" s="125" t="s">
        <v>3062</v>
      </c>
      <c r="G20" s="125" t="s">
        <v>3063</v>
      </c>
      <c r="H20" s="125" t="s">
        <v>3064</v>
      </c>
      <c r="I20" s="127" t="str">
        <f>IF(COUNTIF(J20:AW20,"&lt;&gt;")=0,"",SUMPRODUCT(((Recommendations[ImplStatus]="Implemented")+(Recommendations[ImplStatus]="Compensated"))*ISNUMBER(MATCH(Recommendations[Id],J20:AW20,0)))/COUNTIF(J20:AW20,"&lt;&gt;"))</f>
        <v/>
      </c>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39"/>
    </row>
    <row r="21" spans="1:49" ht="60" customHeight="1" x14ac:dyDescent="0.35">
      <c r="A21" s="136" t="s">
        <v>3056</v>
      </c>
      <c r="B21" s="122" t="s">
        <v>3065</v>
      </c>
      <c r="C21" s="123" t="s">
        <v>3066</v>
      </c>
      <c r="D21" s="125" t="s">
        <v>3067</v>
      </c>
      <c r="E21" s="125" t="s">
        <v>3068</v>
      </c>
      <c r="F21" s="125" t="s">
        <v>3069</v>
      </c>
      <c r="G21" s="125" t="s">
        <v>3070</v>
      </c>
      <c r="H21" s="125" t="s">
        <v>3071</v>
      </c>
      <c r="I21" s="127" t="str">
        <f>IF(COUNTIF(J21:AW21,"&lt;&gt;")=0,"",SUMPRODUCT(((Recommendations[ImplStatus]="Implemented")+(Recommendations[ImplStatus]="Compensated"))*ISNUMBER(MATCH(Recommendations[Id],J21:AW21,0)))/COUNTIF(J21:AW21,"&lt;&gt;"))</f>
        <v/>
      </c>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39"/>
    </row>
    <row r="22" spans="1:49" ht="60" customHeight="1" outlineLevel="1" x14ac:dyDescent="0.35">
      <c r="A22" s="135" t="s">
        <v>3072</v>
      </c>
      <c r="B22" s="121"/>
      <c r="C22" s="120" t="s">
        <v>3073</v>
      </c>
      <c r="D22" s="124"/>
      <c r="E22" s="124"/>
      <c r="F22" s="124"/>
      <c r="G22" s="124"/>
      <c r="H22" s="124"/>
      <c r="I22" s="126" t="str">
        <f>IF(COUNTIF(J22:AW22,"&lt;&gt;")=0,"",SUMPRODUCT(((Recommendations[ImplStatus]="Implemented")+(Recommendations[ImplStatus]="Compensated"))*ISNUMBER(MATCH(Recommendations[Id],J22:AW22,0)))/COUNTIF(J22:AW22,"&lt;&gt;"))</f>
        <v/>
      </c>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38"/>
    </row>
    <row r="23" spans="1:49" ht="60" customHeight="1" x14ac:dyDescent="0.35">
      <c r="A23" s="136" t="s">
        <v>3072</v>
      </c>
      <c r="B23" s="122" t="s">
        <v>3074</v>
      </c>
      <c r="C23" s="123" t="s">
        <v>3075</v>
      </c>
      <c r="D23" s="125" t="s">
        <v>3076</v>
      </c>
      <c r="E23" s="125" t="s">
        <v>3077</v>
      </c>
      <c r="F23" s="125" t="s">
        <v>3078</v>
      </c>
      <c r="G23" s="125" t="s">
        <v>3079</v>
      </c>
      <c r="H23" s="125" t="s">
        <v>3080</v>
      </c>
      <c r="I23" s="127">
        <f>IF(COUNTIF(J23:AW23,"&lt;&gt;")=0,"",SUMPRODUCT(((Recommendations[ImplStatus]="Implemented")+(Recommendations[ImplStatus]="Compensated"))*ISNUMBER(MATCH(Recommendations[Id],J23:AW23,0)))/COUNTIF(J23:AW23,"&lt;&gt;"))</f>
        <v>0</v>
      </c>
      <c r="J23" s="129" t="s">
        <v>60</v>
      </c>
      <c r="K23" s="129" t="s">
        <v>310</v>
      </c>
      <c r="L23" s="129" t="s">
        <v>314</v>
      </c>
      <c r="M23" s="129" t="s">
        <v>317</v>
      </c>
      <c r="N23" s="129" t="s">
        <v>321</v>
      </c>
      <c r="O23" s="129" t="s">
        <v>324</v>
      </c>
      <c r="P23" s="129" t="s">
        <v>328</v>
      </c>
      <c r="Q23" s="129" t="s">
        <v>331</v>
      </c>
      <c r="R23" s="129" t="s">
        <v>334</v>
      </c>
      <c r="S23" s="129" t="s">
        <v>337</v>
      </c>
      <c r="T23" s="129" t="s">
        <v>340</v>
      </c>
      <c r="U23" s="129" t="s">
        <v>344</v>
      </c>
      <c r="V23" s="129" t="s">
        <v>347</v>
      </c>
      <c r="W23" s="129" t="s">
        <v>350</v>
      </c>
      <c r="X23" s="129" t="s">
        <v>353</v>
      </c>
      <c r="Y23" s="129" t="s">
        <v>357</v>
      </c>
      <c r="Z23" s="129" t="s">
        <v>360</v>
      </c>
      <c r="AA23" s="129" t="s">
        <v>363</v>
      </c>
      <c r="AB23" s="129" t="s">
        <v>366</v>
      </c>
      <c r="AC23" s="129" t="s">
        <v>370</v>
      </c>
      <c r="AD23" s="129" t="s">
        <v>374</v>
      </c>
      <c r="AE23" s="129" t="s">
        <v>377</v>
      </c>
      <c r="AF23" s="129" t="s">
        <v>380</v>
      </c>
      <c r="AG23" s="129" t="s">
        <v>383</v>
      </c>
      <c r="AH23" s="129" t="s">
        <v>399</v>
      </c>
      <c r="AI23" s="129" t="s">
        <v>402</v>
      </c>
      <c r="AJ23" s="129" t="s">
        <v>405</v>
      </c>
      <c r="AK23" s="129" t="s">
        <v>421</v>
      </c>
      <c r="AL23" s="129" t="s">
        <v>424</v>
      </c>
      <c r="AM23" s="129" t="s">
        <v>427</v>
      </c>
      <c r="AN23" s="129" t="s">
        <v>449</v>
      </c>
      <c r="AO23" s="129" t="s">
        <v>452</v>
      </c>
      <c r="AP23" s="129" t="s">
        <v>455</v>
      </c>
      <c r="AQ23" s="129" t="s">
        <v>547</v>
      </c>
      <c r="AR23" s="129" t="s">
        <v>553</v>
      </c>
      <c r="AS23" s="129" t="s">
        <v>595</v>
      </c>
      <c r="AT23" s="129" t="s">
        <v>600</v>
      </c>
      <c r="AU23" s="129" t="s">
        <v>892</v>
      </c>
      <c r="AV23" s="129" t="s">
        <v>898</v>
      </c>
      <c r="AW23" s="139" t="s">
        <v>904</v>
      </c>
    </row>
    <row r="24" spans="1:49" ht="60" customHeight="1" x14ac:dyDescent="0.35">
      <c r="A24" s="136" t="s">
        <v>3072</v>
      </c>
      <c r="B24" s="122" t="s">
        <v>3081</v>
      </c>
      <c r="C24" s="123" t="s">
        <v>3082</v>
      </c>
      <c r="D24" s="125" t="s">
        <v>3083</v>
      </c>
      <c r="E24" s="125" t="s">
        <v>3084</v>
      </c>
      <c r="F24" s="125" t="s">
        <v>3085</v>
      </c>
      <c r="G24" s="125" t="s">
        <v>3086</v>
      </c>
      <c r="H24" s="125" t="s">
        <v>3087</v>
      </c>
      <c r="I24" s="127">
        <f>IF(COUNTIF(J24:AW24,"&lt;&gt;")=0,"",SUMPRODUCT(((Recommendations[ImplStatus]="Implemented")+(Recommendations[ImplStatus]="Compensated"))*ISNUMBER(MATCH(Recommendations[Id],J24:AW24,0)))/COUNTIF(J24:AW24,"&lt;&gt;"))</f>
        <v>0</v>
      </c>
      <c r="J24" s="129" t="s">
        <v>353</v>
      </c>
      <c r="K24" s="129" t="s">
        <v>370</v>
      </c>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39"/>
    </row>
    <row r="25" spans="1:49" ht="60" customHeight="1" x14ac:dyDescent="0.35">
      <c r="A25" s="136" t="s">
        <v>3072</v>
      </c>
      <c r="B25" s="122" t="s">
        <v>3088</v>
      </c>
      <c r="C25" s="123" t="s">
        <v>3089</v>
      </c>
      <c r="D25" s="125" t="s">
        <v>3090</v>
      </c>
      <c r="E25" s="125" t="s">
        <v>3091</v>
      </c>
      <c r="F25" s="125" t="s">
        <v>3092</v>
      </c>
      <c r="G25" s="125" t="s">
        <v>3093</v>
      </c>
      <c r="H25" s="125" t="s">
        <v>3094</v>
      </c>
      <c r="I25" s="127" t="str">
        <f>IF(COUNTIF(J25:AW25,"&lt;&gt;")=0,"",SUMPRODUCT(((Recommendations[ImplStatus]="Implemented")+(Recommendations[ImplStatus]="Compensated"))*ISNUMBER(MATCH(Recommendations[Id],J25:AW25,0)))/COUNTIF(J25:AW25,"&lt;&gt;"))</f>
        <v/>
      </c>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39"/>
    </row>
    <row r="26" spans="1:49" ht="60" customHeight="1" x14ac:dyDescent="0.35">
      <c r="A26" s="136" t="s">
        <v>3072</v>
      </c>
      <c r="B26" s="122" t="s">
        <v>3095</v>
      </c>
      <c r="C26" s="123" t="s">
        <v>3096</v>
      </c>
      <c r="D26" s="125" t="s">
        <v>3097</v>
      </c>
      <c r="E26" s="125" t="s">
        <v>3098</v>
      </c>
      <c r="F26" s="125" t="s">
        <v>3099</v>
      </c>
      <c r="G26" s="125" t="s">
        <v>3086</v>
      </c>
      <c r="H26" s="125" t="s">
        <v>3100</v>
      </c>
      <c r="I26" s="127" t="str">
        <f>IF(COUNTIF(J26:AW26,"&lt;&gt;")=0,"",SUMPRODUCT(((Recommendations[ImplStatus]="Implemented")+(Recommendations[ImplStatus]="Compensated"))*ISNUMBER(MATCH(Recommendations[Id],J26:AW26,0)))/COUNTIF(J26:AW26,"&lt;&gt;"))</f>
        <v/>
      </c>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39"/>
    </row>
    <row r="27" spans="1:49" ht="60" customHeight="1" x14ac:dyDescent="0.35">
      <c r="A27" s="136" t="s">
        <v>3072</v>
      </c>
      <c r="B27" s="122" t="s">
        <v>3101</v>
      </c>
      <c r="C27" s="123" t="s">
        <v>3102</v>
      </c>
      <c r="D27" s="125" t="s">
        <v>3103</v>
      </c>
      <c r="E27" s="125" t="s">
        <v>3104</v>
      </c>
      <c r="F27" s="125" t="s">
        <v>3105</v>
      </c>
      <c r="G27" s="125" t="s">
        <v>3106</v>
      </c>
      <c r="H27" s="125" t="s">
        <v>3107</v>
      </c>
      <c r="I27" s="127" t="str">
        <f>IF(COUNTIF(J27:AW27,"&lt;&gt;")=0,"",SUMPRODUCT(((Recommendations[ImplStatus]="Implemented")+(Recommendations[ImplStatus]="Compensated"))*ISNUMBER(MATCH(Recommendations[Id],J27:AW27,0)))/COUNTIF(J27:AW27,"&lt;&gt;"))</f>
        <v/>
      </c>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39"/>
    </row>
    <row r="28" spans="1:49" ht="60" customHeight="1" x14ac:dyDescent="0.35">
      <c r="A28" s="136" t="s">
        <v>3072</v>
      </c>
      <c r="B28" s="122" t="s">
        <v>3108</v>
      </c>
      <c r="C28" s="123" t="s">
        <v>3109</v>
      </c>
      <c r="D28" s="125" t="s">
        <v>3110</v>
      </c>
      <c r="E28" s="125" t="s">
        <v>3111</v>
      </c>
      <c r="F28" s="125" t="s">
        <v>3112</v>
      </c>
      <c r="G28" s="125" t="s">
        <v>3113</v>
      </c>
      <c r="H28" s="125" t="s">
        <v>3114</v>
      </c>
      <c r="I28" s="127" t="str">
        <f>IF(COUNTIF(J28:AW28,"&lt;&gt;")=0,"",SUMPRODUCT(((Recommendations[ImplStatus]="Implemented")+(Recommendations[ImplStatus]="Compensated"))*ISNUMBER(MATCH(Recommendations[Id],J28:AW28,0)))/COUNTIF(J28:AW28,"&lt;&gt;"))</f>
        <v/>
      </c>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39"/>
    </row>
    <row r="29" spans="1:49" ht="60" customHeight="1" x14ac:dyDescent="0.35">
      <c r="A29" s="136" t="s">
        <v>3072</v>
      </c>
      <c r="B29" s="122" t="s">
        <v>3115</v>
      </c>
      <c r="C29" s="123" t="s">
        <v>3116</v>
      </c>
      <c r="D29" s="125" t="s">
        <v>3117</v>
      </c>
      <c r="E29" s="125" t="s">
        <v>3118</v>
      </c>
      <c r="F29" s="125" t="s">
        <v>3119</v>
      </c>
      <c r="G29" s="125" t="s">
        <v>3003</v>
      </c>
      <c r="H29" s="125" t="s">
        <v>3120</v>
      </c>
      <c r="I29" s="127" t="str">
        <f>IF(COUNTIF(J29:AW29,"&lt;&gt;")=0,"",SUMPRODUCT(((Recommendations[ImplStatus]="Implemented")+(Recommendations[ImplStatus]="Compensated"))*ISNUMBER(MATCH(Recommendations[Id],J29:AW29,0)))/COUNTIF(J29:AW29,"&lt;&gt;"))</f>
        <v/>
      </c>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39"/>
    </row>
    <row r="30" spans="1:49" ht="60" customHeight="1" x14ac:dyDescent="0.35">
      <c r="A30" s="136" t="s">
        <v>3072</v>
      </c>
      <c r="B30" s="122" t="s">
        <v>3121</v>
      </c>
      <c r="C30" s="123" t="s">
        <v>3122</v>
      </c>
      <c r="D30" s="125" t="s">
        <v>3123</v>
      </c>
      <c r="E30" s="125" t="s">
        <v>3124</v>
      </c>
      <c r="F30" s="125" t="s">
        <v>3125</v>
      </c>
      <c r="G30" s="125" t="s">
        <v>3086</v>
      </c>
      <c r="H30" s="125" t="s">
        <v>3126</v>
      </c>
      <c r="I30" s="127" t="str">
        <f>IF(COUNTIF(J30:AW30,"&lt;&gt;")=0,"",SUMPRODUCT(((Recommendations[ImplStatus]="Implemented")+(Recommendations[ImplStatus]="Compensated"))*ISNUMBER(MATCH(Recommendations[Id],J30:AW30,0)))/COUNTIF(J30:AW30,"&lt;&gt;"))</f>
        <v/>
      </c>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39"/>
    </row>
    <row r="31" spans="1:49" ht="60" customHeight="1" outlineLevel="1" x14ac:dyDescent="0.35">
      <c r="A31" s="135" t="s">
        <v>3127</v>
      </c>
      <c r="B31" s="121"/>
      <c r="C31" s="120" t="s">
        <v>3128</v>
      </c>
      <c r="D31" s="124"/>
      <c r="E31" s="124"/>
      <c r="F31" s="124"/>
      <c r="G31" s="124"/>
      <c r="H31" s="124"/>
      <c r="I31" s="126" t="str">
        <f>IF(COUNTIF(J31:AW31,"&lt;&gt;")=0,"",SUMPRODUCT(((Recommendations[ImplStatus]="Implemented")+(Recommendations[ImplStatus]="Compensated"))*ISNUMBER(MATCH(Recommendations[Id],J31:AW31,0)))/COUNTIF(J31:AW31,"&lt;&gt;"))</f>
        <v/>
      </c>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38"/>
    </row>
    <row r="32" spans="1:49" ht="60" customHeight="1" x14ac:dyDescent="0.35">
      <c r="A32" s="136" t="s">
        <v>3127</v>
      </c>
      <c r="B32" s="122" t="s">
        <v>3129</v>
      </c>
      <c r="C32" s="123" t="s">
        <v>3130</v>
      </c>
      <c r="D32" s="125" t="s">
        <v>3131</v>
      </c>
      <c r="E32" s="125" t="s">
        <v>3132</v>
      </c>
      <c r="F32" s="125" t="s">
        <v>3133</v>
      </c>
      <c r="G32" s="125" t="s">
        <v>3134</v>
      </c>
      <c r="H32" s="125" t="s">
        <v>3135</v>
      </c>
      <c r="I32" s="127" t="str">
        <f>IF(COUNTIF(J32:AW32,"&lt;&gt;")=0,"",SUMPRODUCT(((Recommendations[ImplStatus]="Implemented")+(Recommendations[ImplStatus]="Compensated"))*ISNUMBER(MATCH(Recommendations[Id],J32:AW32,0)))/COUNTIF(J32:AW32,"&lt;&gt;"))</f>
        <v/>
      </c>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39"/>
    </row>
    <row r="33" spans="1:49" ht="60" customHeight="1" x14ac:dyDescent="0.35">
      <c r="A33" s="136" t="s">
        <v>3127</v>
      </c>
      <c r="B33" s="122" t="s">
        <v>3136</v>
      </c>
      <c r="C33" s="123" t="s">
        <v>3137</v>
      </c>
      <c r="D33" s="125" t="s">
        <v>3138</v>
      </c>
      <c r="E33" s="125" t="s">
        <v>3139</v>
      </c>
      <c r="F33" s="125" t="s">
        <v>3140</v>
      </c>
      <c r="G33" s="125" t="s">
        <v>3141</v>
      </c>
      <c r="H33" s="125" t="s">
        <v>3142</v>
      </c>
      <c r="I33" s="127" t="str">
        <f>IF(COUNTIF(J33:AW33,"&lt;&gt;")=0,"",SUMPRODUCT(((Recommendations[ImplStatus]="Implemented")+(Recommendations[ImplStatus]="Compensated"))*ISNUMBER(MATCH(Recommendations[Id],J33:AW33,0)))/COUNTIF(J33:AW33,"&lt;&gt;"))</f>
        <v/>
      </c>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39"/>
    </row>
    <row r="34" spans="1:49" ht="60" customHeight="1" x14ac:dyDescent="0.35">
      <c r="A34" s="136" t="s">
        <v>3127</v>
      </c>
      <c r="B34" s="122" t="s">
        <v>3143</v>
      </c>
      <c r="C34" s="123" t="s">
        <v>3144</v>
      </c>
      <c r="D34" s="125" t="s">
        <v>3145</v>
      </c>
      <c r="E34" s="125" t="s">
        <v>3146</v>
      </c>
      <c r="F34" s="125" t="s">
        <v>3147</v>
      </c>
      <c r="G34" s="125" t="s">
        <v>3148</v>
      </c>
      <c r="H34" s="125" t="s">
        <v>3149</v>
      </c>
      <c r="I34" s="127" t="str">
        <f>IF(COUNTIF(J34:AW34,"&lt;&gt;")=0,"",SUMPRODUCT(((Recommendations[ImplStatus]="Implemented")+(Recommendations[ImplStatus]="Compensated"))*ISNUMBER(MATCH(Recommendations[Id],J34:AW34,0)))/COUNTIF(J34:AW34,"&lt;&gt;"))</f>
        <v/>
      </c>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39"/>
    </row>
    <row r="35" spans="1:49" ht="60" customHeight="1" x14ac:dyDescent="0.35">
      <c r="A35" s="136" t="s">
        <v>3127</v>
      </c>
      <c r="B35" s="122" t="s">
        <v>3150</v>
      </c>
      <c r="C35" s="123" t="s">
        <v>3151</v>
      </c>
      <c r="D35" s="125" t="s">
        <v>3152</v>
      </c>
      <c r="E35" s="125" t="s">
        <v>3153</v>
      </c>
      <c r="F35" s="125" t="s">
        <v>3154</v>
      </c>
      <c r="G35" s="125" t="s">
        <v>3155</v>
      </c>
      <c r="H35" s="125" t="s">
        <v>3156</v>
      </c>
      <c r="I35" s="127" t="str">
        <f>IF(COUNTIF(J35:AW35,"&lt;&gt;")=0,"",SUMPRODUCT(((Recommendations[ImplStatus]="Implemented")+(Recommendations[ImplStatus]="Compensated"))*ISNUMBER(MATCH(Recommendations[Id],J35:AW35,0)))/COUNTIF(J35:AW35,"&lt;&gt;"))</f>
        <v/>
      </c>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39"/>
    </row>
    <row r="36" spans="1:49" ht="60" customHeight="1" x14ac:dyDescent="0.35">
      <c r="A36" s="136" t="s">
        <v>3127</v>
      </c>
      <c r="B36" s="122" t="s">
        <v>3157</v>
      </c>
      <c r="C36" s="123" t="s">
        <v>3158</v>
      </c>
      <c r="D36" s="125" t="s">
        <v>3159</v>
      </c>
      <c r="E36" s="125" t="s">
        <v>3160</v>
      </c>
      <c r="F36" s="125" t="s">
        <v>3161</v>
      </c>
      <c r="G36" s="125" t="s">
        <v>3162</v>
      </c>
      <c r="H36" s="125" t="s">
        <v>3163</v>
      </c>
      <c r="I36" s="127" t="str">
        <f>IF(COUNTIF(J36:AW36,"&lt;&gt;")=0,"",SUMPRODUCT(((Recommendations[ImplStatus]="Implemented")+(Recommendations[ImplStatus]="Compensated"))*ISNUMBER(MATCH(Recommendations[Id],J36:AW36,0)))/COUNTIF(J36:AW36,"&lt;&gt;"))</f>
        <v/>
      </c>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39"/>
    </row>
    <row r="37" spans="1:49" ht="60" customHeight="1" x14ac:dyDescent="0.35">
      <c r="A37" s="136" t="s">
        <v>3127</v>
      </c>
      <c r="B37" s="122" t="s">
        <v>3164</v>
      </c>
      <c r="C37" s="123" t="s">
        <v>3165</v>
      </c>
      <c r="D37" s="125" t="s">
        <v>3166</v>
      </c>
      <c r="E37" s="125" t="s">
        <v>3167</v>
      </c>
      <c r="F37" s="125" t="s">
        <v>3168</v>
      </c>
      <c r="G37" s="125" t="s">
        <v>3169</v>
      </c>
      <c r="H37" s="125" t="s">
        <v>3170</v>
      </c>
      <c r="I37" s="127">
        <f>IF(COUNTIF(J37:AW37,"&lt;&gt;")=0,"",SUMPRODUCT(((Recommendations[ImplStatus]="Implemented")+(Recommendations[ImplStatus]="Compensated"))*ISNUMBER(MATCH(Recommendations[Id],J37:AW37,0)))/COUNTIF(J37:AW37,"&lt;&gt;"))</f>
        <v>0</v>
      </c>
      <c r="J37" s="129" t="s">
        <v>483</v>
      </c>
      <c r="K37" s="129" t="s">
        <v>489</v>
      </c>
      <c r="L37" s="129" t="s">
        <v>711</v>
      </c>
      <c r="M37" s="129" t="s">
        <v>1663</v>
      </c>
      <c r="N37" s="129" t="s">
        <v>1676</v>
      </c>
      <c r="O37" s="129" t="s">
        <v>1681</v>
      </c>
      <c r="P37" s="129" t="s">
        <v>1751</v>
      </c>
      <c r="Q37" s="129" t="s">
        <v>1754</v>
      </c>
      <c r="R37" s="129" t="s">
        <v>1757</v>
      </c>
      <c r="S37" s="129" t="s">
        <v>1760</v>
      </c>
      <c r="T37" s="129" t="s">
        <v>1763</v>
      </c>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39"/>
    </row>
    <row r="38" spans="1:49" ht="60" customHeight="1" x14ac:dyDescent="0.35">
      <c r="A38" s="136" t="s">
        <v>3127</v>
      </c>
      <c r="B38" s="122" t="s">
        <v>3171</v>
      </c>
      <c r="C38" s="123" t="s">
        <v>3172</v>
      </c>
      <c r="D38" s="125" t="s">
        <v>3173</v>
      </c>
      <c r="E38" s="125" t="s">
        <v>3174</v>
      </c>
      <c r="F38" s="125" t="s">
        <v>3175</v>
      </c>
      <c r="G38" s="125" t="s">
        <v>3176</v>
      </c>
      <c r="H38" s="125" t="s">
        <v>3177</v>
      </c>
      <c r="I38" s="127" t="str">
        <f>IF(COUNTIF(J38:AW38,"&lt;&gt;")=0,"",SUMPRODUCT(((Recommendations[ImplStatus]="Implemented")+(Recommendations[ImplStatus]="Compensated"))*ISNUMBER(MATCH(Recommendations[Id],J38:AW38,0)))/COUNTIF(J38:AW38,"&lt;&gt;"))</f>
        <v/>
      </c>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39"/>
    </row>
    <row r="39" spans="1:49" ht="60" customHeight="1" x14ac:dyDescent="0.35">
      <c r="A39" s="136" t="s">
        <v>3127</v>
      </c>
      <c r="B39" s="122" t="s">
        <v>3178</v>
      </c>
      <c r="C39" s="123" t="s">
        <v>3179</v>
      </c>
      <c r="D39" s="125" t="s">
        <v>3180</v>
      </c>
      <c r="E39" s="125" t="s">
        <v>3181</v>
      </c>
      <c r="F39" s="125" t="s">
        <v>3182</v>
      </c>
      <c r="G39" s="125" t="s">
        <v>3183</v>
      </c>
      <c r="H39" s="125" t="s">
        <v>3184</v>
      </c>
      <c r="I39" s="127" t="str">
        <f>IF(COUNTIF(J39:AW39,"&lt;&gt;")=0,"",SUMPRODUCT(((Recommendations[ImplStatus]="Implemented")+(Recommendations[ImplStatus]="Compensated"))*ISNUMBER(MATCH(Recommendations[Id],J39:AW39,0)))/COUNTIF(J39:AW39,"&lt;&gt;"))</f>
        <v/>
      </c>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39"/>
    </row>
    <row r="40" spans="1:49" ht="60" customHeight="1" x14ac:dyDescent="0.35">
      <c r="A40" s="136" t="s">
        <v>3127</v>
      </c>
      <c r="B40" s="122" t="s">
        <v>3185</v>
      </c>
      <c r="C40" s="123" t="s">
        <v>3186</v>
      </c>
      <c r="D40" s="125" t="s">
        <v>3187</v>
      </c>
      <c r="E40" s="125" t="s">
        <v>3188</v>
      </c>
      <c r="F40" s="125" t="s">
        <v>3189</v>
      </c>
      <c r="G40" s="125" t="s">
        <v>3190</v>
      </c>
      <c r="H40" s="125" t="s">
        <v>3191</v>
      </c>
      <c r="I40" s="127" t="str">
        <f>IF(COUNTIF(J40:AW40,"&lt;&gt;")=0,"",SUMPRODUCT(((Recommendations[ImplStatus]="Implemented")+(Recommendations[ImplStatus]="Compensated"))*ISNUMBER(MATCH(Recommendations[Id],J40:AW40,0)))/COUNTIF(J40:AW40,"&lt;&gt;"))</f>
        <v/>
      </c>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39"/>
    </row>
    <row r="41" spans="1:49" ht="60" customHeight="1" x14ac:dyDescent="0.35">
      <c r="A41" s="136" t="s">
        <v>3127</v>
      </c>
      <c r="B41" s="122" t="s">
        <v>3192</v>
      </c>
      <c r="C41" s="123" t="s">
        <v>3193</v>
      </c>
      <c r="D41" s="125" t="s">
        <v>3194</v>
      </c>
      <c r="E41" s="125" t="s">
        <v>3195</v>
      </c>
      <c r="F41" s="125" t="s">
        <v>3196</v>
      </c>
      <c r="G41" s="125" t="s">
        <v>3134</v>
      </c>
      <c r="H41" s="125" t="s">
        <v>3197</v>
      </c>
      <c r="I41" s="127" t="str">
        <f>IF(COUNTIF(J41:AW41,"&lt;&gt;")=0,"",SUMPRODUCT(((Recommendations[ImplStatus]="Implemented")+(Recommendations[ImplStatus]="Compensated"))*ISNUMBER(MATCH(Recommendations[Id],J41:AW41,0)))/COUNTIF(J41:AW41,"&lt;&gt;"))</f>
        <v/>
      </c>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39"/>
    </row>
    <row r="42" spans="1:49" ht="60" customHeight="1" outlineLevel="1" x14ac:dyDescent="0.35">
      <c r="A42" s="135" t="s">
        <v>3198</v>
      </c>
      <c r="B42" s="121"/>
      <c r="C42" s="120" t="s">
        <v>3199</v>
      </c>
      <c r="D42" s="124"/>
      <c r="E42" s="124"/>
      <c r="F42" s="124"/>
      <c r="G42" s="124"/>
      <c r="H42" s="124"/>
      <c r="I42" s="126" t="str">
        <f>IF(COUNTIF(J42:AW42,"&lt;&gt;")=0,"",SUMPRODUCT(((Recommendations[ImplStatus]="Implemented")+(Recommendations[ImplStatus]="Compensated"))*ISNUMBER(MATCH(Recommendations[Id],J42:AW42,0)))/COUNTIF(J42:AW42,"&lt;&gt;"))</f>
        <v/>
      </c>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38"/>
    </row>
    <row r="43" spans="1:49" ht="60" customHeight="1" x14ac:dyDescent="0.35">
      <c r="A43" s="136" t="s">
        <v>3198</v>
      </c>
      <c r="B43" s="122" t="s">
        <v>3200</v>
      </c>
      <c r="C43" s="123" t="s">
        <v>3201</v>
      </c>
      <c r="D43" s="125" t="s">
        <v>3202</v>
      </c>
      <c r="E43" s="125" t="s">
        <v>3203</v>
      </c>
      <c r="F43" s="125" t="s">
        <v>3204</v>
      </c>
      <c r="G43" s="125" t="s">
        <v>3205</v>
      </c>
      <c r="H43" s="125" t="s">
        <v>3206</v>
      </c>
      <c r="I43" s="127">
        <f>IF(COUNTIF(J43:AW43,"&lt;&gt;")=0,"",SUMPRODUCT(((Recommendations[ImplStatus]="Implemented")+(Recommendations[ImplStatus]="Compensated"))*ISNUMBER(MATCH(Recommendations[Id],J43:AW43,0)))/COUNTIF(J43:AW43,"&lt;&gt;"))</f>
        <v>0</v>
      </c>
      <c r="J43" s="129" t="s">
        <v>509</v>
      </c>
      <c r="K43" s="129" t="s">
        <v>698</v>
      </c>
      <c r="L43" s="129" t="s">
        <v>754</v>
      </c>
      <c r="M43" s="129" t="s">
        <v>760</v>
      </c>
      <c r="N43" s="129" t="s">
        <v>765</v>
      </c>
      <c r="O43" s="129" t="s">
        <v>832</v>
      </c>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39"/>
    </row>
    <row r="44" spans="1:49" ht="60" customHeight="1" x14ac:dyDescent="0.35">
      <c r="A44" s="136" t="s">
        <v>3198</v>
      </c>
      <c r="B44" s="122" t="s">
        <v>3207</v>
      </c>
      <c r="C44" s="123" t="s">
        <v>3208</v>
      </c>
      <c r="D44" s="125" t="s">
        <v>3209</v>
      </c>
      <c r="E44" s="125" t="s">
        <v>3210</v>
      </c>
      <c r="F44" s="125" t="s">
        <v>3211</v>
      </c>
      <c r="G44" s="125" t="s">
        <v>3212</v>
      </c>
      <c r="H44" s="125" t="s">
        <v>3213</v>
      </c>
      <c r="I44" s="127" t="str">
        <f>IF(COUNTIF(J44:AW44,"&lt;&gt;")=0,"",SUMPRODUCT(((Recommendations[ImplStatus]="Implemented")+(Recommendations[ImplStatus]="Compensated"))*ISNUMBER(MATCH(Recommendations[Id],J44:AW44,0)))/COUNTIF(J44:AW44,"&lt;&gt;"))</f>
        <v/>
      </c>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39"/>
    </row>
    <row r="45" spans="1:49" ht="60" customHeight="1" x14ac:dyDescent="0.35">
      <c r="A45" s="136" t="s">
        <v>3198</v>
      </c>
      <c r="B45" s="122" t="s">
        <v>3214</v>
      </c>
      <c r="C45" s="123" t="s">
        <v>3215</v>
      </c>
      <c r="D45" s="125" t="s">
        <v>3216</v>
      </c>
      <c r="E45" s="125" t="s">
        <v>3217</v>
      </c>
      <c r="F45" s="125" t="s">
        <v>3218</v>
      </c>
      <c r="G45" s="125" t="s">
        <v>3219</v>
      </c>
      <c r="H45" s="125" t="s">
        <v>3220</v>
      </c>
      <c r="I45" s="127" t="str">
        <f>IF(COUNTIF(J45:AW45,"&lt;&gt;")=0,"",SUMPRODUCT(((Recommendations[ImplStatus]="Implemented")+(Recommendations[ImplStatus]="Compensated"))*ISNUMBER(MATCH(Recommendations[Id],J45:AW45,0)))/COUNTIF(J45:AW45,"&lt;&gt;"))</f>
        <v/>
      </c>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39"/>
    </row>
    <row r="46" spans="1:49" ht="60" customHeight="1" x14ac:dyDescent="0.35">
      <c r="A46" s="136" t="s">
        <v>3198</v>
      </c>
      <c r="B46" s="122" t="s">
        <v>3221</v>
      </c>
      <c r="C46" s="123" t="s">
        <v>3222</v>
      </c>
      <c r="D46" s="125" t="s">
        <v>3223</v>
      </c>
      <c r="E46" s="125" t="s">
        <v>3224</v>
      </c>
      <c r="F46" s="125" t="s">
        <v>3225</v>
      </c>
      <c r="G46" s="125" t="s">
        <v>3219</v>
      </c>
      <c r="H46" s="125" t="s">
        <v>3226</v>
      </c>
      <c r="I46" s="127">
        <f>IF(COUNTIF(J46:AW46,"&lt;&gt;")=0,"",SUMPRODUCT(((Recommendations[ImplStatus]="Implemented")+(Recommendations[ImplStatus]="Compensated"))*ISNUMBER(MATCH(Recommendations[Id],J46:AW46,0)))/COUNTIF(J46:AW46,"&lt;&gt;"))</f>
        <v>0</v>
      </c>
      <c r="J46" s="129" t="s">
        <v>265</v>
      </c>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39"/>
    </row>
    <row r="47" spans="1:49" ht="60" customHeight="1" x14ac:dyDescent="0.35">
      <c r="A47" s="136" t="s">
        <v>3198</v>
      </c>
      <c r="B47" s="122" t="s">
        <v>3227</v>
      </c>
      <c r="C47" s="123" t="s">
        <v>3228</v>
      </c>
      <c r="D47" s="125" t="s">
        <v>3229</v>
      </c>
      <c r="E47" s="125" t="s">
        <v>3230</v>
      </c>
      <c r="F47" s="125" t="s">
        <v>3231</v>
      </c>
      <c r="G47" s="125" t="s">
        <v>3232</v>
      </c>
      <c r="H47" s="125" t="s">
        <v>3233</v>
      </c>
      <c r="I47" s="127" t="str">
        <f>IF(COUNTIF(J47:AW47,"&lt;&gt;")=0,"",SUMPRODUCT(((Recommendations[ImplStatus]="Implemented")+(Recommendations[ImplStatus]="Compensated"))*ISNUMBER(MATCH(Recommendations[Id],J47:AW47,0)))/COUNTIF(J47:AW47,"&lt;&gt;"))</f>
        <v/>
      </c>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39"/>
    </row>
    <row r="48" spans="1:49" ht="60" customHeight="1" x14ac:dyDescent="0.35">
      <c r="A48" s="136" t="s">
        <v>3198</v>
      </c>
      <c r="B48" s="122" t="s">
        <v>3234</v>
      </c>
      <c r="C48" s="123" t="s">
        <v>3235</v>
      </c>
      <c r="D48" s="125" t="s">
        <v>3236</v>
      </c>
      <c r="E48" s="125" t="s">
        <v>3237</v>
      </c>
      <c r="F48" s="125" t="s">
        <v>3238</v>
      </c>
      <c r="G48" s="125" t="s">
        <v>3239</v>
      </c>
      <c r="H48" s="125" t="s">
        <v>3240</v>
      </c>
      <c r="I48" s="127">
        <f>IF(COUNTIF(J48:AW48,"&lt;&gt;")=0,"",SUMPRODUCT(((Recommendations[ImplStatus]="Implemented")+(Recommendations[ImplStatus]="Compensated"))*ISNUMBER(MATCH(Recommendations[Id],J48:AW48,0)))/COUNTIF(J48:AW48,"&lt;&gt;"))</f>
        <v>0</v>
      </c>
      <c r="J48" s="129" t="s">
        <v>15</v>
      </c>
      <c r="K48" s="129" t="s">
        <v>24</v>
      </c>
      <c r="L48" s="129" t="s">
        <v>28</v>
      </c>
      <c r="M48" s="129" t="s">
        <v>32</v>
      </c>
      <c r="N48" s="129" t="s">
        <v>37</v>
      </c>
      <c r="O48" s="129" t="s">
        <v>42</v>
      </c>
      <c r="P48" s="129" t="s">
        <v>46</v>
      </c>
      <c r="Q48" s="129" t="s">
        <v>50</v>
      </c>
      <c r="R48" s="129" t="s">
        <v>55</v>
      </c>
      <c r="S48" s="129" t="s">
        <v>788</v>
      </c>
      <c r="T48" s="129" t="s">
        <v>1745</v>
      </c>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9"/>
    </row>
    <row r="49" spans="1:49" ht="60" customHeight="1" x14ac:dyDescent="0.35">
      <c r="A49" s="136" t="s">
        <v>3198</v>
      </c>
      <c r="B49" s="122" t="s">
        <v>3241</v>
      </c>
      <c r="C49" s="123" t="s">
        <v>3242</v>
      </c>
      <c r="D49" s="125" t="s">
        <v>3243</v>
      </c>
      <c r="E49" s="125" t="s">
        <v>3244</v>
      </c>
      <c r="F49" s="125" t="s">
        <v>3245</v>
      </c>
      <c r="G49" s="125" t="s">
        <v>3003</v>
      </c>
      <c r="H49" s="125" t="s">
        <v>3246</v>
      </c>
      <c r="I49" s="127" t="str">
        <f>IF(COUNTIF(J49:AW49,"&lt;&gt;")=0,"",SUMPRODUCT(((Recommendations[ImplStatus]="Implemented")+(Recommendations[ImplStatus]="Compensated"))*ISNUMBER(MATCH(Recommendations[Id],J49:AW49,0)))/COUNTIF(J49:AW49,"&lt;&gt;"))</f>
        <v/>
      </c>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39"/>
    </row>
    <row r="50" spans="1:49" ht="60" customHeight="1" x14ac:dyDescent="0.35">
      <c r="A50" s="136" t="s">
        <v>3198</v>
      </c>
      <c r="B50" s="122" t="s">
        <v>3247</v>
      </c>
      <c r="C50" s="123" t="s">
        <v>3248</v>
      </c>
      <c r="D50" s="125" t="s">
        <v>3249</v>
      </c>
      <c r="E50" s="125" t="s">
        <v>3250</v>
      </c>
      <c r="F50" s="125" t="s">
        <v>3251</v>
      </c>
      <c r="G50" s="125" t="s">
        <v>3252</v>
      </c>
      <c r="H50" s="125" t="s">
        <v>3253</v>
      </c>
      <c r="I50" s="127" t="str">
        <f>IF(COUNTIF(J50:AW50,"&lt;&gt;")=0,"",SUMPRODUCT(((Recommendations[ImplStatus]="Implemented")+(Recommendations[ImplStatus]="Compensated"))*ISNUMBER(MATCH(Recommendations[Id],J50:AW50,0)))/COUNTIF(J50:AW50,"&lt;&gt;"))</f>
        <v/>
      </c>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39"/>
    </row>
    <row r="51" spans="1:49" ht="60" customHeight="1" outlineLevel="1" x14ac:dyDescent="0.35">
      <c r="A51" s="135" t="s">
        <v>3254</v>
      </c>
      <c r="B51" s="121"/>
      <c r="C51" s="120" t="s">
        <v>3255</v>
      </c>
      <c r="D51" s="124"/>
      <c r="E51" s="124"/>
      <c r="F51" s="124"/>
      <c r="G51" s="124"/>
      <c r="H51" s="124"/>
      <c r="I51" s="126" t="str">
        <f>IF(COUNTIF(J51:AW51,"&lt;&gt;")=0,"",SUMPRODUCT(((Recommendations[ImplStatus]="Implemented")+(Recommendations[ImplStatus]="Compensated"))*ISNUMBER(MATCH(Recommendations[Id],J51:AW51,0)))/COUNTIF(J51:AW51,"&lt;&gt;"))</f>
        <v/>
      </c>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38"/>
    </row>
    <row r="52" spans="1:49" ht="60" customHeight="1" x14ac:dyDescent="0.35">
      <c r="A52" s="136" t="s">
        <v>3254</v>
      </c>
      <c r="B52" s="122" t="s">
        <v>3256</v>
      </c>
      <c r="C52" s="123" t="s">
        <v>3257</v>
      </c>
      <c r="D52" s="125" t="s">
        <v>3258</v>
      </c>
      <c r="E52" s="125" t="s">
        <v>3259</v>
      </c>
      <c r="F52" s="125" t="s">
        <v>3260</v>
      </c>
      <c r="G52" s="125" t="s">
        <v>3261</v>
      </c>
      <c r="H52" s="125" t="s">
        <v>3262</v>
      </c>
      <c r="I52" s="127" t="str">
        <f>IF(COUNTIF(J52:AW52,"&lt;&gt;")=0,"",SUMPRODUCT(((Recommendations[ImplStatus]="Implemented")+(Recommendations[ImplStatus]="Compensated"))*ISNUMBER(MATCH(Recommendations[Id],J52:AW52,0)))/COUNTIF(J52:AW52,"&lt;&gt;"))</f>
        <v/>
      </c>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39"/>
    </row>
    <row r="53" spans="1:49" ht="60" customHeight="1" x14ac:dyDescent="0.35">
      <c r="A53" s="136" t="s">
        <v>3254</v>
      </c>
      <c r="B53" s="122" t="s">
        <v>3263</v>
      </c>
      <c r="C53" s="123" t="s">
        <v>3264</v>
      </c>
      <c r="D53" s="125" t="s">
        <v>3265</v>
      </c>
      <c r="E53" s="125" t="s">
        <v>3266</v>
      </c>
      <c r="F53" s="125" t="s">
        <v>3267</v>
      </c>
      <c r="G53" s="125" t="s">
        <v>3268</v>
      </c>
      <c r="H53" s="125" t="s">
        <v>3269</v>
      </c>
      <c r="I53" s="127" t="str">
        <f>IF(COUNTIF(J53:AW53,"&lt;&gt;")=0,"",SUMPRODUCT(((Recommendations[ImplStatus]="Implemented")+(Recommendations[ImplStatus]="Compensated"))*ISNUMBER(MATCH(Recommendations[Id],J53:AW53,0)))/COUNTIF(J53:AW53,"&lt;&gt;"))</f>
        <v/>
      </c>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39"/>
    </row>
    <row r="54" spans="1:49" ht="60" customHeight="1" x14ac:dyDescent="0.35">
      <c r="A54" s="136" t="s">
        <v>3254</v>
      </c>
      <c r="B54" s="122" t="s">
        <v>3270</v>
      </c>
      <c r="C54" s="123" t="s">
        <v>3271</v>
      </c>
      <c r="D54" s="125" t="s">
        <v>3272</v>
      </c>
      <c r="E54" s="125" t="s">
        <v>3273</v>
      </c>
      <c r="F54" s="125" t="s">
        <v>3274</v>
      </c>
      <c r="G54" s="125" t="s">
        <v>3275</v>
      </c>
      <c r="H54" s="125" t="s">
        <v>20</v>
      </c>
      <c r="I54" s="127" t="str">
        <f>IF(COUNTIF(J54:AW54,"&lt;&gt;")=0,"",SUMPRODUCT(((Recommendations[ImplStatus]="Implemented")+(Recommendations[ImplStatus]="Compensated"))*ISNUMBER(MATCH(Recommendations[Id],J54:AW54,0)))/COUNTIF(J54:AW54,"&lt;&gt;"))</f>
        <v/>
      </c>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39"/>
    </row>
    <row r="55" spans="1:49" ht="60" customHeight="1" x14ac:dyDescent="0.35">
      <c r="A55" s="136" t="s">
        <v>3254</v>
      </c>
      <c r="B55" s="122" t="s">
        <v>3276</v>
      </c>
      <c r="C55" s="123" t="s">
        <v>3277</v>
      </c>
      <c r="D55" s="125" t="s">
        <v>3278</v>
      </c>
      <c r="E55" s="125" t="s">
        <v>3279</v>
      </c>
      <c r="F55" s="125" t="s">
        <v>3280</v>
      </c>
      <c r="G55" s="125" t="s">
        <v>3281</v>
      </c>
      <c r="H55" s="125" t="s">
        <v>20</v>
      </c>
      <c r="I55" s="127" t="str">
        <f>IF(COUNTIF(J55:AW55,"&lt;&gt;")=0,"",SUMPRODUCT(((Recommendations[ImplStatus]="Implemented")+(Recommendations[ImplStatus]="Compensated"))*ISNUMBER(MATCH(Recommendations[Id],J55:AW55,0)))/COUNTIF(J55:AW55,"&lt;&gt;"))</f>
        <v/>
      </c>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39"/>
    </row>
    <row r="56" spans="1:49" ht="60" customHeight="1" x14ac:dyDescent="0.35">
      <c r="A56" s="136" t="s">
        <v>3254</v>
      </c>
      <c r="B56" s="122" t="s">
        <v>3282</v>
      </c>
      <c r="C56" s="123" t="s">
        <v>3283</v>
      </c>
      <c r="D56" s="125" t="s">
        <v>3284</v>
      </c>
      <c r="E56" s="125" t="s">
        <v>3285</v>
      </c>
      <c r="F56" s="125" t="s">
        <v>3286</v>
      </c>
      <c r="G56" s="125" t="s">
        <v>3287</v>
      </c>
      <c r="H56" s="125" t="s">
        <v>3288</v>
      </c>
      <c r="I56" s="127" t="str">
        <f>IF(COUNTIF(J56:AW56,"&lt;&gt;")=0,"",SUMPRODUCT(((Recommendations[ImplStatus]="Implemented")+(Recommendations[ImplStatus]="Compensated"))*ISNUMBER(MATCH(Recommendations[Id],J56:AW56,0)))/COUNTIF(J56:AW56,"&lt;&gt;"))</f>
        <v/>
      </c>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39"/>
    </row>
    <row r="57" spans="1:49" ht="60" customHeight="1" outlineLevel="1" x14ac:dyDescent="0.35">
      <c r="A57" s="135" t="s">
        <v>3289</v>
      </c>
      <c r="B57" s="121"/>
      <c r="C57" s="120" t="s">
        <v>3290</v>
      </c>
      <c r="D57" s="124"/>
      <c r="E57" s="124"/>
      <c r="F57" s="124"/>
      <c r="G57" s="124"/>
      <c r="H57" s="124"/>
      <c r="I57" s="126" t="str">
        <f>IF(COUNTIF(J57:AW57,"&lt;&gt;")=0,"",SUMPRODUCT(((Recommendations[ImplStatus]="Implemented")+(Recommendations[ImplStatus]="Compensated"))*ISNUMBER(MATCH(Recommendations[Id],J57:AW57,0)))/COUNTIF(J57:AW57,"&lt;&gt;"))</f>
        <v/>
      </c>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38"/>
    </row>
    <row r="58" spans="1:49" ht="60" customHeight="1" x14ac:dyDescent="0.35">
      <c r="A58" s="136" t="s">
        <v>3289</v>
      </c>
      <c r="B58" s="122" t="s">
        <v>3291</v>
      </c>
      <c r="C58" s="123" t="s">
        <v>3292</v>
      </c>
      <c r="D58" s="125" t="s">
        <v>3293</v>
      </c>
      <c r="E58" s="125" t="s">
        <v>3294</v>
      </c>
      <c r="F58" s="125" t="s">
        <v>3295</v>
      </c>
      <c r="G58" s="125" t="s">
        <v>3296</v>
      </c>
      <c r="H58" s="125" t="s">
        <v>3297</v>
      </c>
      <c r="I58" s="127" t="str">
        <f>IF(COUNTIF(J58:AW58,"&lt;&gt;")=0,"",SUMPRODUCT(((Recommendations[ImplStatus]="Implemented")+(Recommendations[ImplStatus]="Compensated"))*ISNUMBER(MATCH(Recommendations[Id],J58:AW58,0)))/COUNTIF(J58:AW58,"&lt;&gt;"))</f>
        <v/>
      </c>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39"/>
    </row>
    <row r="59" spans="1:49" ht="60" customHeight="1" x14ac:dyDescent="0.35">
      <c r="A59" s="136" t="s">
        <v>3289</v>
      </c>
      <c r="B59" s="122" t="s">
        <v>3298</v>
      </c>
      <c r="C59" s="123" t="s">
        <v>3299</v>
      </c>
      <c r="D59" s="125" t="s">
        <v>3300</v>
      </c>
      <c r="E59" s="125" t="s">
        <v>3301</v>
      </c>
      <c r="F59" s="125" t="s">
        <v>3302</v>
      </c>
      <c r="G59" s="125" t="s">
        <v>3303</v>
      </c>
      <c r="H59" s="125" t="s">
        <v>3304</v>
      </c>
      <c r="I59" s="127" t="str">
        <f>IF(COUNTIF(J59:AW59,"&lt;&gt;")=0,"",SUMPRODUCT(((Recommendations[ImplStatus]="Implemented")+(Recommendations[ImplStatus]="Compensated"))*ISNUMBER(MATCH(Recommendations[Id],J59:AW59,0)))/COUNTIF(J59:AW59,"&lt;&gt;"))</f>
        <v/>
      </c>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39"/>
    </row>
    <row r="60" spans="1:49" ht="60" customHeight="1" x14ac:dyDescent="0.35">
      <c r="A60" s="136" t="s">
        <v>3289</v>
      </c>
      <c r="B60" s="122" t="s">
        <v>3305</v>
      </c>
      <c r="C60" s="123" t="s">
        <v>3306</v>
      </c>
      <c r="D60" s="125" t="s">
        <v>3307</v>
      </c>
      <c r="E60" s="125" t="s">
        <v>3308</v>
      </c>
      <c r="F60" s="125" t="s">
        <v>3309</v>
      </c>
      <c r="G60" s="125" t="s">
        <v>3310</v>
      </c>
      <c r="H60" s="125" t="s">
        <v>3311</v>
      </c>
      <c r="I60" s="127" t="str">
        <f>IF(COUNTIF(J60:AW60,"&lt;&gt;")=0,"",SUMPRODUCT(((Recommendations[ImplStatus]="Implemented")+(Recommendations[ImplStatus]="Compensated"))*ISNUMBER(MATCH(Recommendations[Id],J60:AW60,0)))/COUNTIF(J60:AW60,"&lt;&gt;"))</f>
        <v/>
      </c>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39"/>
    </row>
    <row r="61" spans="1:49" ht="60" customHeight="1" outlineLevel="1" x14ac:dyDescent="0.35">
      <c r="A61" s="135" t="s">
        <v>3312</v>
      </c>
      <c r="B61" s="121"/>
      <c r="C61" s="120" t="s">
        <v>3313</v>
      </c>
      <c r="D61" s="124"/>
      <c r="E61" s="124"/>
      <c r="F61" s="124"/>
      <c r="G61" s="124"/>
      <c r="H61" s="124"/>
      <c r="I61" s="126" t="str">
        <f>IF(COUNTIF(J61:AW61,"&lt;&gt;")=0,"",SUMPRODUCT(((Recommendations[ImplStatus]="Implemented")+(Recommendations[ImplStatus]="Compensated"))*ISNUMBER(MATCH(Recommendations[Id],J61:AW61,0)))/COUNTIF(J61:AW61,"&lt;&gt;"))</f>
        <v/>
      </c>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38"/>
    </row>
    <row r="62" spans="1:49" ht="60" customHeight="1" x14ac:dyDescent="0.35">
      <c r="A62" s="136" t="s">
        <v>3312</v>
      </c>
      <c r="B62" s="122" t="s">
        <v>3314</v>
      </c>
      <c r="C62" s="123" t="s">
        <v>3315</v>
      </c>
      <c r="D62" s="125" t="s">
        <v>3316</v>
      </c>
      <c r="E62" s="125" t="s">
        <v>3317</v>
      </c>
      <c r="F62" s="125" t="s">
        <v>3318</v>
      </c>
      <c r="G62" s="125" t="s">
        <v>3319</v>
      </c>
      <c r="H62" s="125" t="s">
        <v>3320</v>
      </c>
      <c r="I62" s="127" t="str">
        <f>IF(COUNTIF(J62:AW62,"&lt;&gt;")=0,"",SUMPRODUCT(((Recommendations[ImplStatus]="Implemented")+(Recommendations[ImplStatus]="Compensated"))*ISNUMBER(MATCH(Recommendations[Id],J62:AW62,0)))/COUNTIF(J62:AW62,"&lt;&gt;"))</f>
        <v/>
      </c>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39"/>
    </row>
    <row r="63" spans="1:49" ht="60" customHeight="1" x14ac:dyDescent="0.35">
      <c r="A63" s="136" t="s">
        <v>3312</v>
      </c>
      <c r="B63" s="122" t="s">
        <v>3321</v>
      </c>
      <c r="C63" s="123" t="s">
        <v>3322</v>
      </c>
      <c r="D63" s="125" t="s">
        <v>3323</v>
      </c>
      <c r="E63" s="125" t="s">
        <v>3324</v>
      </c>
      <c r="F63" s="125" t="s">
        <v>3325</v>
      </c>
      <c r="G63" s="125" t="s">
        <v>3326</v>
      </c>
      <c r="H63" s="125" t="s">
        <v>3327</v>
      </c>
      <c r="I63" s="127" t="str">
        <f>IF(COUNTIF(J63:AW63,"&lt;&gt;")=0,"",SUMPRODUCT(((Recommendations[ImplStatus]="Implemented")+(Recommendations[ImplStatus]="Compensated"))*ISNUMBER(MATCH(Recommendations[Id],J63:AW63,0)))/COUNTIF(J63:AW63,"&lt;&gt;"))</f>
        <v/>
      </c>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39"/>
    </row>
    <row r="64" spans="1:49" ht="60" customHeight="1" x14ac:dyDescent="0.35">
      <c r="A64" s="136" t="s">
        <v>3312</v>
      </c>
      <c r="B64" s="122" t="s">
        <v>3328</v>
      </c>
      <c r="C64" s="123" t="s">
        <v>3329</v>
      </c>
      <c r="D64" s="125" t="s">
        <v>3330</v>
      </c>
      <c r="E64" s="125" t="s">
        <v>3331</v>
      </c>
      <c r="F64" s="125" t="s">
        <v>3332</v>
      </c>
      <c r="G64" s="125" t="s">
        <v>3333</v>
      </c>
      <c r="H64" s="125" t="s">
        <v>3334</v>
      </c>
      <c r="I64" s="127" t="str">
        <f>IF(COUNTIF(J64:AW64,"&lt;&gt;")=0,"",SUMPRODUCT(((Recommendations[ImplStatus]="Implemented")+(Recommendations[ImplStatus]="Compensated"))*ISNUMBER(MATCH(Recommendations[Id],J64:AW64,0)))/COUNTIF(J64:AW64,"&lt;&gt;"))</f>
        <v/>
      </c>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39"/>
    </row>
    <row r="65" spans="1:49" ht="60" customHeight="1" x14ac:dyDescent="0.35">
      <c r="A65" s="136" t="s">
        <v>3312</v>
      </c>
      <c r="B65" s="122" t="s">
        <v>3335</v>
      </c>
      <c r="C65" s="123" t="s">
        <v>3336</v>
      </c>
      <c r="D65" s="125" t="s">
        <v>3337</v>
      </c>
      <c r="E65" s="125" t="s">
        <v>3338</v>
      </c>
      <c r="F65" s="125" t="s">
        <v>3339</v>
      </c>
      <c r="G65" s="125" t="s">
        <v>3340</v>
      </c>
      <c r="H65" s="125" t="s">
        <v>3341</v>
      </c>
      <c r="I65" s="127" t="str">
        <f>IF(COUNTIF(J65:AW65,"&lt;&gt;")=0,"",SUMPRODUCT(((Recommendations[ImplStatus]="Implemented")+(Recommendations[ImplStatus]="Compensated"))*ISNUMBER(MATCH(Recommendations[Id],J65:AW65,0)))/COUNTIF(J65:AW65,"&lt;&gt;"))</f>
        <v/>
      </c>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39"/>
    </row>
    <row r="66" spans="1:49" ht="60" customHeight="1" x14ac:dyDescent="0.35">
      <c r="A66" s="136" t="s">
        <v>3312</v>
      </c>
      <c r="B66" s="122" t="s">
        <v>3342</v>
      </c>
      <c r="C66" s="123" t="s">
        <v>3343</v>
      </c>
      <c r="D66" s="125" t="s">
        <v>3344</v>
      </c>
      <c r="E66" s="125" t="s">
        <v>3345</v>
      </c>
      <c r="F66" s="125" t="s">
        <v>3346</v>
      </c>
      <c r="G66" s="125" t="s">
        <v>3347</v>
      </c>
      <c r="H66" s="125" t="s">
        <v>3348</v>
      </c>
      <c r="I66" s="127" t="str">
        <f>IF(COUNTIF(J66:AW66,"&lt;&gt;")=0,"",SUMPRODUCT(((Recommendations[ImplStatus]="Implemented")+(Recommendations[ImplStatus]="Compensated"))*ISNUMBER(MATCH(Recommendations[Id],J66:AW66,0)))/COUNTIF(J66:AW66,"&lt;&gt;"))</f>
        <v/>
      </c>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39"/>
    </row>
    <row r="67" spans="1:49" ht="60" customHeight="1" x14ac:dyDescent="0.35">
      <c r="A67" s="136" t="s">
        <v>3312</v>
      </c>
      <c r="B67" s="122" t="s">
        <v>3349</v>
      </c>
      <c r="C67" s="123" t="s">
        <v>3350</v>
      </c>
      <c r="D67" s="125" t="s">
        <v>3351</v>
      </c>
      <c r="E67" s="125" t="s">
        <v>3352</v>
      </c>
      <c r="F67" s="125" t="s">
        <v>3353</v>
      </c>
      <c r="G67" s="125" t="s">
        <v>3354</v>
      </c>
      <c r="H67" s="125" t="s">
        <v>3355</v>
      </c>
      <c r="I67" s="127" t="str">
        <f>IF(COUNTIF(J67:AW67,"&lt;&gt;")=0,"",SUMPRODUCT(((Recommendations[ImplStatus]="Implemented")+(Recommendations[ImplStatus]="Compensated"))*ISNUMBER(MATCH(Recommendations[Id],J67:AW67,0)))/COUNTIF(J67:AW67,"&lt;&gt;"))</f>
        <v/>
      </c>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39"/>
    </row>
    <row r="68" spans="1:49" ht="60" customHeight="1" x14ac:dyDescent="0.35">
      <c r="A68" s="136" t="s">
        <v>3312</v>
      </c>
      <c r="B68" s="122" t="s">
        <v>3356</v>
      </c>
      <c r="C68" s="123" t="s">
        <v>3357</v>
      </c>
      <c r="D68" s="125" t="s">
        <v>3358</v>
      </c>
      <c r="E68" s="125" t="s">
        <v>3359</v>
      </c>
      <c r="F68" s="125" t="s">
        <v>3360</v>
      </c>
      <c r="G68" s="125" t="s">
        <v>3361</v>
      </c>
      <c r="H68" s="125" t="s">
        <v>3362</v>
      </c>
      <c r="I68" s="127" t="str">
        <f>IF(COUNTIF(J68:AW68,"&lt;&gt;")=0,"",SUMPRODUCT(((Recommendations[ImplStatus]="Implemented")+(Recommendations[ImplStatus]="Compensated"))*ISNUMBER(MATCH(Recommendations[Id],J68:AW68,0)))/COUNTIF(J68:AW68,"&lt;&gt;"))</f>
        <v/>
      </c>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39"/>
    </row>
    <row r="69" spans="1:49" ht="60" customHeight="1" outlineLevel="1" x14ac:dyDescent="0.35">
      <c r="A69" s="135" t="s">
        <v>3363</v>
      </c>
      <c r="B69" s="121"/>
      <c r="C69" s="120" t="s">
        <v>3364</v>
      </c>
      <c r="D69" s="124"/>
      <c r="E69" s="124"/>
      <c r="F69" s="124"/>
      <c r="G69" s="124"/>
      <c r="H69" s="124"/>
      <c r="I69" s="126" t="str">
        <f>IF(COUNTIF(J69:AW69,"&lt;&gt;")=0,"",SUMPRODUCT(((Recommendations[ImplStatus]="Implemented")+(Recommendations[ImplStatus]="Compensated"))*ISNUMBER(MATCH(Recommendations[Id],J69:AW69,0)))/COUNTIF(J69:AW69,"&lt;&gt;"))</f>
        <v/>
      </c>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38"/>
    </row>
    <row r="70" spans="1:49" ht="60" customHeight="1" x14ac:dyDescent="0.35">
      <c r="A70" s="136" t="s">
        <v>3363</v>
      </c>
      <c r="B70" s="122" t="s">
        <v>3365</v>
      </c>
      <c r="C70" s="123" t="s">
        <v>3366</v>
      </c>
      <c r="D70" s="125" t="s">
        <v>3367</v>
      </c>
      <c r="E70" s="125" t="s">
        <v>3368</v>
      </c>
      <c r="F70" s="125" t="s">
        <v>3369</v>
      </c>
      <c r="G70" s="125" t="s">
        <v>3370</v>
      </c>
      <c r="H70" s="125" t="s">
        <v>3371</v>
      </c>
      <c r="I70" s="127" t="str">
        <f>IF(COUNTIF(J70:AW70,"&lt;&gt;")=0,"",SUMPRODUCT(((Recommendations[ImplStatus]="Implemented")+(Recommendations[ImplStatus]="Compensated"))*ISNUMBER(MATCH(Recommendations[Id],J70:AW70,0)))/COUNTIF(J70:AW70,"&lt;&gt;"))</f>
        <v/>
      </c>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39"/>
    </row>
    <row r="71" spans="1:49" ht="60" customHeight="1" x14ac:dyDescent="0.35">
      <c r="A71" s="136" t="s">
        <v>3363</v>
      </c>
      <c r="B71" s="122" t="s">
        <v>3372</v>
      </c>
      <c r="C71" s="123" t="s">
        <v>3373</v>
      </c>
      <c r="D71" s="125" t="s">
        <v>3374</v>
      </c>
      <c r="E71" s="125" t="s">
        <v>3375</v>
      </c>
      <c r="F71" s="125" t="s">
        <v>3376</v>
      </c>
      <c r="G71" s="125" t="s">
        <v>3377</v>
      </c>
      <c r="H71" s="125" t="s">
        <v>3378</v>
      </c>
      <c r="I71" s="127" t="str">
        <f>IF(COUNTIF(J71:AW71,"&lt;&gt;")=0,"",SUMPRODUCT(((Recommendations[ImplStatus]="Implemented")+(Recommendations[ImplStatus]="Compensated"))*ISNUMBER(MATCH(Recommendations[Id],J71:AW71,0)))/COUNTIF(J71:AW71,"&lt;&gt;"))</f>
        <v/>
      </c>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39"/>
    </row>
    <row r="72" spans="1:49" ht="60" customHeight="1" outlineLevel="1" x14ac:dyDescent="0.35">
      <c r="A72" s="135" t="s">
        <v>3379</v>
      </c>
      <c r="B72" s="121"/>
      <c r="C72" s="120" t="s">
        <v>3380</v>
      </c>
      <c r="D72" s="124"/>
      <c r="E72" s="124"/>
      <c r="F72" s="124"/>
      <c r="G72" s="124"/>
      <c r="H72" s="124"/>
      <c r="I72" s="126" t="str">
        <f>IF(COUNTIF(J72:AW72,"&lt;&gt;")=0,"",SUMPRODUCT(((Recommendations[ImplStatus]="Implemented")+(Recommendations[ImplStatus]="Compensated"))*ISNUMBER(MATCH(Recommendations[Id],J72:AW72,0)))/COUNTIF(J72:AW72,"&lt;&gt;"))</f>
        <v/>
      </c>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38"/>
    </row>
    <row r="73" spans="1:49" ht="60" customHeight="1" x14ac:dyDescent="0.35">
      <c r="A73" s="136" t="s">
        <v>3379</v>
      </c>
      <c r="B73" s="122" t="s">
        <v>3381</v>
      </c>
      <c r="C73" s="123" t="s">
        <v>3382</v>
      </c>
      <c r="D73" s="125" t="s">
        <v>3383</v>
      </c>
      <c r="E73" s="125" t="s">
        <v>3384</v>
      </c>
      <c r="F73" s="125" t="s">
        <v>3385</v>
      </c>
      <c r="G73" s="125" t="s">
        <v>3386</v>
      </c>
      <c r="H73" s="125" t="s">
        <v>3387</v>
      </c>
      <c r="I73" s="127" t="str">
        <f>IF(COUNTIF(J73:AW73,"&lt;&gt;")=0,"",SUMPRODUCT(((Recommendations[ImplStatus]="Implemented")+(Recommendations[ImplStatus]="Compensated"))*ISNUMBER(MATCH(Recommendations[Id],J73:AW73,0)))/COUNTIF(J73:AW73,"&lt;&gt;"))</f>
        <v/>
      </c>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39"/>
    </row>
    <row r="74" spans="1:49" ht="60" customHeight="1" x14ac:dyDescent="0.35">
      <c r="A74" s="136" t="s">
        <v>3379</v>
      </c>
      <c r="B74" s="122" t="s">
        <v>3388</v>
      </c>
      <c r="C74" s="123" t="s">
        <v>3389</v>
      </c>
      <c r="D74" s="125" t="s">
        <v>3390</v>
      </c>
      <c r="E74" s="125" t="s">
        <v>3391</v>
      </c>
      <c r="F74" s="125" t="s">
        <v>3392</v>
      </c>
      <c r="G74" s="125" t="s">
        <v>3393</v>
      </c>
      <c r="H74" s="125" t="s">
        <v>3394</v>
      </c>
      <c r="I74" s="127" t="str">
        <f>IF(COUNTIF(J74:AW74,"&lt;&gt;")=0,"",SUMPRODUCT(((Recommendations[ImplStatus]="Implemented")+(Recommendations[ImplStatus]="Compensated"))*ISNUMBER(MATCH(Recommendations[Id],J74:AW74,0)))/COUNTIF(J74:AW74,"&lt;&gt;"))</f>
        <v/>
      </c>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39"/>
    </row>
    <row r="75" spans="1:49" ht="60" customHeight="1" x14ac:dyDescent="0.35">
      <c r="A75" s="136" t="s">
        <v>3379</v>
      </c>
      <c r="B75" s="122" t="s">
        <v>3395</v>
      </c>
      <c r="C75" s="123" t="s">
        <v>3396</v>
      </c>
      <c r="D75" s="125" t="s">
        <v>3397</v>
      </c>
      <c r="E75" s="125" t="s">
        <v>3398</v>
      </c>
      <c r="F75" s="125" t="s">
        <v>3399</v>
      </c>
      <c r="G75" s="125" t="s">
        <v>3400</v>
      </c>
      <c r="H75" s="125" t="s">
        <v>3401</v>
      </c>
      <c r="I75" s="127" t="str">
        <f>IF(COUNTIF(J75:AW75,"&lt;&gt;")=0,"",SUMPRODUCT(((Recommendations[ImplStatus]="Implemented")+(Recommendations[ImplStatus]="Compensated"))*ISNUMBER(MATCH(Recommendations[Id],J75:AW75,0)))/COUNTIF(J75:AW75,"&lt;&gt;"))</f>
        <v/>
      </c>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39"/>
    </row>
    <row r="76" spans="1:49" ht="60" customHeight="1" x14ac:dyDescent="0.35">
      <c r="A76" s="136" t="s">
        <v>3379</v>
      </c>
      <c r="B76" s="122" t="s">
        <v>3402</v>
      </c>
      <c r="C76" s="123" t="s">
        <v>3403</v>
      </c>
      <c r="D76" s="125" t="s">
        <v>3404</v>
      </c>
      <c r="E76" s="125" t="s">
        <v>3405</v>
      </c>
      <c r="F76" s="125" t="s">
        <v>3406</v>
      </c>
      <c r="G76" s="125" t="s">
        <v>3407</v>
      </c>
      <c r="H76" s="125" t="s">
        <v>3408</v>
      </c>
      <c r="I76" s="127" t="str">
        <f>IF(COUNTIF(J76:AW76,"&lt;&gt;")=0,"",SUMPRODUCT(((Recommendations[ImplStatus]="Implemented")+(Recommendations[ImplStatus]="Compensated"))*ISNUMBER(MATCH(Recommendations[Id],J76:AW76,0)))/COUNTIF(J76:AW76,"&lt;&gt;"))</f>
        <v/>
      </c>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39"/>
    </row>
    <row r="77" spans="1:49" ht="60" customHeight="1" x14ac:dyDescent="0.35">
      <c r="A77" s="136" t="s">
        <v>3379</v>
      </c>
      <c r="B77" s="122" t="s">
        <v>3409</v>
      </c>
      <c r="C77" s="123" t="s">
        <v>3410</v>
      </c>
      <c r="D77" s="125" t="s">
        <v>3411</v>
      </c>
      <c r="E77" s="125" t="s">
        <v>3412</v>
      </c>
      <c r="F77" s="125" t="s">
        <v>3413</v>
      </c>
      <c r="G77" s="125" t="s">
        <v>3407</v>
      </c>
      <c r="H77" s="125" t="s">
        <v>3414</v>
      </c>
      <c r="I77" s="127" t="str">
        <f>IF(COUNTIF(J77:AW77,"&lt;&gt;")=0,"",SUMPRODUCT(((Recommendations[ImplStatus]="Implemented")+(Recommendations[ImplStatus]="Compensated"))*ISNUMBER(MATCH(Recommendations[Id],J77:AW77,0)))/COUNTIF(J77:AW77,"&lt;&gt;"))</f>
        <v/>
      </c>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39"/>
    </row>
    <row r="78" spans="1:49" ht="60" customHeight="1" outlineLevel="1" x14ac:dyDescent="0.35">
      <c r="A78" s="135" t="s">
        <v>3415</v>
      </c>
      <c r="B78" s="121"/>
      <c r="C78" s="120" t="s">
        <v>3416</v>
      </c>
      <c r="D78" s="124"/>
      <c r="E78" s="124"/>
      <c r="F78" s="124"/>
      <c r="G78" s="124"/>
      <c r="H78" s="124"/>
      <c r="I78" s="126" t="str">
        <f>IF(COUNTIF(J78:AW78,"&lt;&gt;")=0,"",SUMPRODUCT(((Recommendations[ImplStatus]="Implemented")+(Recommendations[ImplStatus]="Compensated"))*ISNUMBER(MATCH(Recommendations[Id],J78:AW78,0)))/COUNTIF(J78:AW78,"&lt;&gt;"))</f>
        <v/>
      </c>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38"/>
    </row>
    <row r="79" spans="1:49" ht="60" customHeight="1" x14ac:dyDescent="0.35">
      <c r="A79" s="136" t="s">
        <v>3415</v>
      </c>
      <c r="B79" s="122" t="s">
        <v>3415</v>
      </c>
      <c r="C79" s="123" t="s">
        <v>3417</v>
      </c>
      <c r="D79" s="125" t="s">
        <v>3418</v>
      </c>
      <c r="E79" s="125" t="s">
        <v>3419</v>
      </c>
      <c r="F79" s="125" t="s">
        <v>3420</v>
      </c>
      <c r="G79" s="125" t="s">
        <v>3421</v>
      </c>
      <c r="H79" s="125" t="s">
        <v>3422</v>
      </c>
      <c r="I79" s="127" t="str">
        <f>IF(COUNTIF(J79:AW79,"&lt;&gt;")=0,"",SUMPRODUCT(((Recommendations[ImplStatus]="Implemented")+(Recommendations[ImplStatus]="Compensated"))*ISNUMBER(MATCH(Recommendations[Id],J79:AW79,0)))/COUNTIF(J79:AW79,"&lt;&gt;"))</f>
        <v/>
      </c>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39"/>
    </row>
    <row r="80" spans="1:49" ht="60" customHeight="1" x14ac:dyDescent="0.35">
      <c r="A80" s="136" t="s">
        <v>3415</v>
      </c>
      <c r="B80" s="122" t="s">
        <v>3423</v>
      </c>
      <c r="C80" s="123" t="s">
        <v>3424</v>
      </c>
      <c r="D80" s="125" t="s">
        <v>3425</v>
      </c>
      <c r="E80" s="125" t="s">
        <v>3426</v>
      </c>
      <c r="F80" s="125" t="s">
        <v>3427</v>
      </c>
      <c r="G80" s="125" t="s">
        <v>3428</v>
      </c>
      <c r="H80" s="125" t="s">
        <v>3429</v>
      </c>
      <c r="I80" s="127" t="str">
        <f>IF(COUNTIF(J80:AW80,"&lt;&gt;")=0,"",SUMPRODUCT(((Recommendations[ImplStatus]="Implemented")+(Recommendations[ImplStatus]="Compensated"))*ISNUMBER(MATCH(Recommendations[Id],J80:AW80,0)))/COUNTIF(J80:AW80,"&lt;&gt;"))</f>
        <v/>
      </c>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39"/>
    </row>
    <row r="81" spans="1:49" ht="60" customHeight="1" x14ac:dyDescent="0.35">
      <c r="A81" s="136" t="s">
        <v>3415</v>
      </c>
      <c r="B81" s="122" t="s">
        <v>3430</v>
      </c>
      <c r="C81" s="123" t="s">
        <v>3431</v>
      </c>
      <c r="D81" s="125" t="s">
        <v>3432</v>
      </c>
      <c r="E81" s="125" t="s">
        <v>3433</v>
      </c>
      <c r="F81" s="125" t="s">
        <v>3434</v>
      </c>
      <c r="G81" s="125" t="s">
        <v>3435</v>
      </c>
      <c r="H81" s="125" t="s">
        <v>3436</v>
      </c>
      <c r="I81" s="127" t="str">
        <f>IF(COUNTIF(J81:AW81,"&lt;&gt;")=0,"",SUMPRODUCT(((Recommendations[ImplStatus]="Implemented")+(Recommendations[ImplStatus]="Compensated"))*ISNUMBER(MATCH(Recommendations[Id],J81:AW81,0)))/COUNTIF(J81:AW81,"&lt;&gt;"))</f>
        <v/>
      </c>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39"/>
    </row>
    <row r="82" spans="1:49" ht="60" customHeight="1" outlineLevel="1" x14ac:dyDescent="0.35">
      <c r="A82" s="135" t="s">
        <v>3437</v>
      </c>
      <c r="B82" s="121"/>
      <c r="C82" s="120" t="s">
        <v>3438</v>
      </c>
      <c r="D82" s="124"/>
      <c r="E82" s="124"/>
      <c r="F82" s="124"/>
      <c r="G82" s="124"/>
      <c r="H82" s="124"/>
      <c r="I82" s="126" t="str">
        <f>IF(COUNTIF(J82:AW82,"&lt;&gt;")=0,"",SUMPRODUCT(((Recommendations[ImplStatus]="Implemented")+(Recommendations[ImplStatus]="Compensated"))*ISNUMBER(MATCH(Recommendations[Id],J82:AW82,0)))/COUNTIF(J82:AW82,"&lt;&gt;"))</f>
        <v/>
      </c>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38"/>
    </row>
    <row r="83" spans="1:49" ht="60" customHeight="1" x14ac:dyDescent="0.35">
      <c r="A83" s="136" t="s">
        <v>3437</v>
      </c>
      <c r="B83" s="122" t="s">
        <v>3439</v>
      </c>
      <c r="C83" s="123" t="s">
        <v>3440</v>
      </c>
      <c r="D83" s="125" t="s">
        <v>3441</v>
      </c>
      <c r="E83" s="125" t="s">
        <v>3442</v>
      </c>
      <c r="F83" s="125" t="s">
        <v>3443</v>
      </c>
      <c r="G83" s="125" t="s">
        <v>3444</v>
      </c>
      <c r="H83" s="125" t="s">
        <v>3445</v>
      </c>
      <c r="I83" s="127" t="str">
        <f>IF(COUNTIF(J83:AW83,"&lt;&gt;")=0,"",SUMPRODUCT(((Recommendations[ImplStatus]="Implemented")+(Recommendations[ImplStatus]="Compensated"))*ISNUMBER(MATCH(Recommendations[Id],J83:AW83,0)))/COUNTIF(J83:AW83,"&lt;&gt;"))</f>
        <v/>
      </c>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39"/>
    </row>
    <row r="84" spans="1:49" ht="60" customHeight="1" x14ac:dyDescent="0.35">
      <c r="A84" s="136" t="s">
        <v>3437</v>
      </c>
      <c r="B84" s="122" t="s">
        <v>3446</v>
      </c>
      <c r="C84" s="123" t="s">
        <v>3447</v>
      </c>
      <c r="D84" s="125" t="s">
        <v>3448</v>
      </c>
      <c r="E84" s="125" t="s">
        <v>3449</v>
      </c>
      <c r="F84" s="125" t="s">
        <v>3450</v>
      </c>
      <c r="G84" s="125" t="s">
        <v>3451</v>
      </c>
      <c r="H84" s="125" t="s">
        <v>3452</v>
      </c>
      <c r="I84" s="127" t="str">
        <f>IF(COUNTIF(J84:AW84,"&lt;&gt;")=0,"",SUMPRODUCT(((Recommendations[ImplStatus]="Implemented")+(Recommendations[ImplStatus]="Compensated"))*ISNUMBER(MATCH(Recommendations[Id],J84:AW84,0)))/COUNTIF(J84:AW84,"&lt;&gt;"))</f>
        <v/>
      </c>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39"/>
    </row>
    <row r="85" spans="1:49" ht="60" customHeight="1" x14ac:dyDescent="0.35">
      <c r="A85" s="136" t="s">
        <v>3437</v>
      </c>
      <c r="B85" s="122" t="s">
        <v>3453</v>
      </c>
      <c r="C85" s="123" t="s">
        <v>3454</v>
      </c>
      <c r="D85" s="125" t="s">
        <v>3455</v>
      </c>
      <c r="E85" s="125" t="s">
        <v>3456</v>
      </c>
      <c r="F85" s="125" t="s">
        <v>3457</v>
      </c>
      <c r="G85" s="125" t="s">
        <v>3458</v>
      </c>
      <c r="H85" s="125" t="s">
        <v>3459</v>
      </c>
      <c r="I85" s="127" t="str">
        <f>IF(COUNTIF(J85:AW85,"&lt;&gt;")=0,"",SUMPRODUCT(((Recommendations[ImplStatus]="Implemented")+(Recommendations[ImplStatus]="Compensated"))*ISNUMBER(MATCH(Recommendations[Id],J85:AW85,0)))/COUNTIF(J85:AW85,"&lt;&gt;"))</f>
        <v/>
      </c>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39"/>
    </row>
    <row r="86" spans="1:49" ht="60" customHeight="1" x14ac:dyDescent="0.35">
      <c r="A86" s="136" t="s">
        <v>3437</v>
      </c>
      <c r="B86" s="122" t="s">
        <v>3460</v>
      </c>
      <c r="C86" s="123" t="s">
        <v>3461</v>
      </c>
      <c r="D86" s="125" t="s">
        <v>3462</v>
      </c>
      <c r="E86" s="125" t="s">
        <v>3463</v>
      </c>
      <c r="F86" s="125" t="s">
        <v>3464</v>
      </c>
      <c r="G86" s="125" t="s">
        <v>3465</v>
      </c>
      <c r="H86" s="125" t="s">
        <v>20</v>
      </c>
      <c r="I86" s="127" t="str">
        <f>IF(COUNTIF(J86:AW86,"&lt;&gt;")=0,"",SUMPRODUCT(((Recommendations[ImplStatus]="Implemented")+(Recommendations[ImplStatus]="Compensated"))*ISNUMBER(MATCH(Recommendations[Id],J86:AW86,0)))/COUNTIF(J86:AW86,"&lt;&gt;"))</f>
        <v/>
      </c>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39"/>
    </row>
    <row r="87" spans="1:49" ht="60" customHeight="1" outlineLevel="1" x14ac:dyDescent="0.35">
      <c r="A87" s="135" t="s">
        <v>3466</v>
      </c>
      <c r="B87" s="121"/>
      <c r="C87" s="120" t="s">
        <v>3467</v>
      </c>
      <c r="D87" s="124"/>
      <c r="E87" s="124"/>
      <c r="F87" s="124"/>
      <c r="G87" s="124"/>
      <c r="H87" s="124"/>
      <c r="I87" s="126" t="str">
        <f>IF(COUNTIF(J87:AW87,"&lt;&gt;")=0,"",SUMPRODUCT(((Recommendations[ImplStatus]="Implemented")+(Recommendations[ImplStatus]="Compensated"))*ISNUMBER(MATCH(Recommendations[Id],J87:AW87,0)))/COUNTIF(J87:AW87,"&lt;&gt;"))</f>
        <v/>
      </c>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38"/>
    </row>
    <row r="88" spans="1:49" ht="60" customHeight="1" x14ac:dyDescent="0.35">
      <c r="A88" s="136" t="s">
        <v>3466</v>
      </c>
      <c r="B88" s="122" t="s">
        <v>3468</v>
      </c>
      <c r="C88" s="123" t="s">
        <v>3469</v>
      </c>
      <c r="D88" s="125" t="s">
        <v>3470</v>
      </c>
      <c r="E88" s="125" t="s">
        <v>3471</v>
      </c>
      <c r="F88" s="125" t="s">
        <v>3472</v>
      </c>
      <c r="G88" s="125" t="s">
        <v>3473</v>
      </c>
      <c r="H88" s="125" t="s">
        <v>3474</v>
      </c>
      <c r="I88" s="127">
        <f>IF(COUNTIF(J88:AW88,"&lt;&gt;")=0,"",SUMPRODUCT(((Recommendations[ImplStatus]="Implemented")+(Recommendations[ImplStatus]="Compensated"))*ISNUMBER(MATCH(Recommendations[Id],J88:AW88,0)))/COUNTIF(J88:AW88,"&lt;&gt;"))</f>
        <v>0</v>
      </c>
      <c r="J88" s="129" t="s">
        <v>387</v>
      </c>
      <c r="K88" s="129" t="s">
        <v>390</v>
      </c>
      <c r="L88" s="129" t="s">
        <v>393</v>
      </c>
      <c r="M88" s="129" t="s">
        <v>409</v>
      </c>
      <c r="N88" s="129" t="s">
        <v>412</v>
      </c>
      <c r="O88" s="129" t="s">
        <v>415</v>
      </c>
      <c r="P88" s="129" t="s">
        <v>431</v>
      </c>
      <c r="Q88" s="129" t="s">
        <v>434</v>
      </c>
      <c r="R88" s="129" t="s">
        <v>437</v>
      </c>
      <c r="S88" s="129" t="s">
        <v>515</v>
      </c>
      <c r="T88" s="129" t="s">
        <v>520</v>
      </c>
      <c r="U88" s="129" t="s">
        <v>525</v>
      </c>
      <c r="V88" s="129" t="s">
        <v>530</v>
      </c>
      <c r="W88" s="129" t="s">
        <v>626</v>
      </c>
      <c r="X88" s="129" t="s">
        <v>639</v>
      </c>
      <c r="Y88" s="129" t="s">
        <v>646</v>
      </c>
      <c r="Z88" s="129" t="s">
        <v>658</v>
      </c>
      <c r="AA88" s="129" t="s">
        <v>663</v>
      </c>
      <c r="AB88" s="129" t="s">
        <v>668</v>
      </c>
      <c r="AC88" s="129"/>
      <c r="AD88" s="129"/>
      <c r="AE88" s="129"/>
      <c r="AF88" s="129"/>
      <c r="AG88" s="129"/>
      <c r="AH88" s="129"/>
      <c r="AI88" s="129"/>
      <c r="AJ88" s="129"/>
      <c r="AK88" s="129"/>
      <c r="AL88" s="129"/>
      <c r="AM88" s="129"/>
      <c r="AN88" s="129"/>
      <c r="AO88" s="129"/>
      <c r="AP88" s="129"/>
      <c r="AQ88" s="129"/>
      <c r="AR88" s="129"/>
      <c r="AS88" s="129"/>
      <c r="AT88" s="129"/>
      <c r="AU88" s="129"/>
      <c r="AV88" s="129"/>
      <c r="AW88" s="139"/>
    </row>
    <row r="89" spans="1:49" ht="60" customHeight="1" x14ac:dyDescent="0.35">
      <c r="A89" s="136" t="s">
        <v>3466</v>
      </c>
      <c r="B89" s="122" t="s">
        <v>3475</v>
      </c>
      <c r="C89" s="123" t="s">
        <v>3476</v>
      </c>
      <c r="D89" s="125" t="s">
        <v>3477</v>
      </c>
      <c r="E89" s="125" t="s">
        <v>3478</v>
      </c>
      <c r="F89" s="125" t="s">
        <v>3479</v>
      </c>
      <c r="G89" s="125" t="s">
        <v>3003</v>
      </c>
      <c r="H89" s="125" t="s">
        <v>3480</v>
      </c>
      <c r="I89" s="127" t="str">
        <f>IF(COUNTIF(J89:AW89,"&lt;&gt;")=0,"",SUMPRODUCT(((Recommendations[ImplStatus]="Implemented")+(Recommendations[ImplStatus]="Compensated"))*ISNUMBER(MATCH(Recommendations[Id],J89:AW89,0)))/COUNTIF(J89:AW89,"&lt;&gt;"))</f>
        <v/>
      </c>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39"/>
    </row>
    <row r="90" spans="1:49" ht="60" customHeight="1" x14ac:dyDescent="0.35">
      <c r="A90" s="136" t="s">
        <v>3466</v>
      </c>
      <c r="B90" s="122" t="s">
        <v>3481</v>
      </c>
      <c r="C90" s="123" t="s">
        <v>3482</v>
      </c>
      <c r="D90" s="125" t="s">
        <v>3483</v>
      </c>
      <c r="E90" s="125" t="s">
        <v>3484</v>
      </c>
      <c r="F90" s="125" t="s">
        <v>3485</v>
      </c>
      <c r="G90" s="125" t="s">
        <v>3473</v>
      </c>
      <c r="H90" s="125" t="s">
        <v>3486</v>
      </c>
      <c r="I90" s="127" t="str">
        <f>IF(COUNTIF(J90:AW90,"&lt;&gt;")=0,"",SUMPRODUCT(((Recommendations[ImplStatus]="Implemented")+(Recommendations[ImplStatus]="Compensated"))*ISNUMBER(MATCH(Recommendations[Id],J90:AW90,0)))/COUNTIF(J90:AW90,"&lt;&gt;"))</f>
        <v/>
      </c>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39"/>
    </row>
    <row r="91" spans="1:49" ht="60" customHeight="1" x14ac:dyDescent="0.35">
      <c r="A91" s="136" t="s">
        <v>3466</v>
      </c>
      <c r="B91" s="122" t="s">
        <v>3487</v>
      </c>
      <c r="C91" s="123" t="s">
        <v>3488</v>
      </c>
      <c r="D91" s="125" t="s">
        <v>3489</v>
      </c>
      <c r="E91" s="125" t="s">
        <v>3490</v>
      </c>
      <c r="F91" s="125" t="s">
        <v>3491</v>
      </c>
      <c r="G91" s="125" t="s">
        <v>3003</v>
      </c>
      <c r="H91" s="125" t="s">
        <v>3492</v>
      </c>
      <c r="I91" s="127">
        <f>IF(COUNTIF(J91:AW91,"&lt;&gt;")=0,"",SUMPRODUCT(((Recommendations[ImplStatus]="Implemented")+(Recommendations[ImplStatus]="Compensated"))*ISNUMBER(MATCH(Recommendations[Id],J91:AW91,0)))/COUNTIF(J91:AW91,"&lt;&gt;"))</f>
        <v>0</v>
      </c>
      <c r="J91" s="129" t="s">
        <v>65</v>
      </c>
      <c r="K91" s="129" t="s">
        <v>70</v>
      </c>
      <c r="L91" s="129" t="s">
        <v>75</v>
      </c>
      <c r="M91" s="129" t="s">
        <v>80</v>
      </c>
      <c r="N91" s="129" t="s">
        <v>95</v>
      </c>
      <c r="O91" s="129" t="s">
        <v>100</v>
      </c>
      <c r="P91" s="129" t="s">
        <v>105</v>
      </c>
      <c r="Q91" s="129" t="s">
        <v>140</v>
      </c>
      <c r="R91" s="129" t="s">
        <v>145</v>
      </c>
      <c r="S91" s="129" t="s">
        <v>150</v>
      </c>
      <c r="T91" s="129" t="s">
        <v>155</v>
      </c>
      <c r="U91" s="129" t="s">
        <v>160</v>
      </c>
      <c r="V91" s="129" t="s">
        <v>477</v>
      </c>
      <c r="W91" s="129" t="s">
        <v>483</v>
      </c>
      <c r="X91" s="129" t="s">
        <v>489</v>
      </c>
      <c r="Y91" s="129" t="s">
        <v>509</v>
      </c>
      <c r="Z91" s="129" t="s">
        <v>573</v>
      </c>
      <c r="AA91" s="129" t="s">
        <v>579</v>
      </c>
      <c r="AB91" s="129" t="s">
        <v>614</v>
      </c>
      <c r="AC91" s="129" t="s">
        <v>617</v>
      </c>
      <c r="AD91" s="129" t="s">
        <v>620</v>
      </c>
      <c r="AE91" s="129" t="s">
        <v>633</v>
      </c>
      <c r="AF91" s="129" t="s">
        <v>673</v>
      </c>
      <c r="AG91" s="129" t="s">
        <v>693</v>
      </c>
      <c r="AH91" s="129" t="s">
        <v>736</v>
      </c>
      <c r="AI91" s="129" t="s">
        <v>743</v>
      </c>
      <c r="AJ91" s="129" t="s">
        <v>1003</v>
      </c>
      <c r="AK91" s="129" t="s">
        <v>1397</v>
      </c>
      <c r="AL91" s="129" t="s">
        <v>1603</v>
      </c>
      <c r="AM91" s="129" t="s">
        <v>1609</v>
      </c>
      <c r="AN91" s="129" t="s">
        <v>1614</v>
      </c>
      <c r="AO91" s="129" t="s">
        <v>1620</v>
      </c>
      <c r="AP91" s="129" t="s">
        <v>1705</v>
      </c>
      <c r="AQ91" s="129" t="s">
        <v>1710</v>
      </c>
      <c r="AR91" s="129" t="s">
        <v>1715</v>
      </c>
      <c r="AS91" s="129" t="s">
        <v>1721</v>
      </c>
      <c r="AT91" s="129" t="s">
        <v>1725</v>
      </c>
      <c r="AU91" s="129" t="s">
        <v>1729</v>
      </c>
      <c r="AV91" s="129"/>
      <c r="AW91" s="139"/>
    </row>
    <row r="92" spans="1:49" ht="60" customHeight="1" x14ac:dyDescent="0.35">
      <c r="A92" s="136" t="s">
        <v>3466</v>
      </c>
      <c r="B92" s="122" t="s">
        <v>3493</v>
      </c>
      <c r="C92" s="123" t="s">
        <v>3494</v>
      </c>
      <c r="D92" s="125" t="s">
        <v>3495</v>
      </c>
      <c r="E92" s="125" t="s">
        <v>3496</v>
      </c>
      <c r="F92" s="125" t="s">
        <v>3497</v>
      </c>
      <c r="G92" s="125" t="s">
        <v>3003</v>
      </c>
      <c r="H92" s="125" t="s">
        <v>3498</v>
      </c>
      <c r="I92" s="127" t="str">
        <f>IF(COUNTIF(J92:AW92,"&lt;&gt;")=0,"",SUMPRODUCT(((Recommendations[ImplStatus]="Implemented")+(Recommendations[ImplStatus]="Compensated"))*ISNUMBER(MATCH(Recommendations[Id],J92:AW92,0)))/COUNTIF(J92:AW92,"&lt;&gt;"))</f>
        <v/>
      </c>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39"/>
    </row>
    <row r="93" spans="1:49" ht="60" customHeight="1" x14ac:dyDescent="0.35">
      <c r="A93" s="136" t="s">
        <v>3466</v>
      </c>
      <c r="B93" s="122" t="s">
        <v>3499</v>
      </c>
      <c r="C93" s="123" t="s">
        <v>3500</v>
      </c>
      <c r="D93" s="125" t="s">
        <v>3501</v>
      </c>
      <c r="E93" s="125" t="s">
        <v>3502</v>
      </c>
      <c r="F93" s="125" t="s">
        <v>3503</v>
      </c>
      <c r="G93" s="125" t="s">
        <v>3504</v>
      </c>
      <c r="H93" s="125" t="s">
        <v>3505</v>
      </c>
      <c r="I93" s="127" t="str">
        <f>IF(COUNTIF(J93:AW93,"&lt;&gt;")=0,"",SUMPRODUCT(((Recommendations[ImplStatus]="Implemented")+(Recommendations[ImplStatus]="Compensated"))*ISNUMBER(MATCH(Recommendations[Id],J93:AW93,0)))/COUNTIF(J93:AW93,"&lt;&gt;"))</f>
        <v/>
      </c>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39"/>
    </row>
    <row r="94" spans="1:49" ht="60" customHeight="1" x14ac:dyDescent="0.35">
      <c r="A94" s="136" t="s">
        <v>3466</v>
      </c>
      <c r="B94" s="122" t="s">
        <v>3506</v>
      </c>
      <c r="C94" s="123" t="s">
        <v>3507</v>
      </c>
      <c r="D94" s="125" t="s">
        <v>3508</v>
      </c>
      <c r="E94" s="125" t="s">
        <v>3509</v>
      </c>
      <c r="F94" s="125" t="s">
        <v>3510</v>
      </c>
      <c r="G94" s="125" t="s">
        <v>3511</v>
      </c>
      <c r="H94" s="125" t="s">
        <v>3512</v>
      </c>
      <c r="I94" s="127" t="str">
        <f>IF(COUNTIF(J94:AW94,"&lt;&gt;")=0,"",SUMPRODUCT(((Recommendations[ImplStatus]="Implemented")+(Recommendations[ImplStatus]="Compensated"))*ISNUMBER(MATCH(Recommendations[Id],J94:AW94,0)))/COUNTIF(J94:AW94,"&lt;&gt;"))</f>
        <v/>
      </c>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39"/>
    </row>
    <row r="95" spans="1:49" ht="60" customHeight="1" x14ac:dyDescent="0.35">
      <c r="A95" s="136" t="s">
        <v>3466</v>
      </c>
      <c r="B95" s="122" t="s">
        <v>3513</v>
      </c>
      <c r="C95" s="123" t="s">
        <v>3514</v>
      </c>
      <c r="D95" s="125" t="s">
        <v>3515</v>
      </c>
      <c r="E95" s="125" t="s">
        <v>3516</v>
      </c>
      <c r="F95" s="125" t="s">
        <v>3517</v>
      </c>
      <c r="G95" s="125" t="s">
        <v>3518</v>
      </c>
      <c r="H95" s="125" t="s">
        <v>3519</v>
      </c>
      <c r="I95" s="127" t="str">
        <f>IF(COUNTIF(J95:AW95,"&lt;&gt;")=0,"",SUMPRODUCT(((Recommendations[ImplStatus]="Implemented")+(Recommendations[ImplStatus]="Compensated"))*ISNUMBER(MATCH(Recommendations[Id],J95:AW95,0)))/COUNTIF(J95:AW95,"&lt;&gt;"))</f>
        <v/>
      </c>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39"/>
    </row>
    <row r="96" spans="1:49" ht="60" customHeight="1" x14ac:dyDescent="0.35">
      <c r="A96" s="136" t="s">
        <v>3466</v>
      </c>
      <c r="B96" s="122" t="s">
        <v>3520</v>
      </c>
      <c r="C96" s="123" t="s">
        <v>3521</v>
      </c>
      <c r="D96" s="125" t="s">
        <v>3522</v>
      </c>
      <c r="E96" s="125" t="s">
        <v>3523</v>
      </c>
      <c r="F96" s="125" t="s">
        <v>3524</v>
      </c>
      <c r="G96" s="125" t="s">
        <v>3525</v>
      </c>
      <c r="H96" s="125" t="s">
        <v>3526</v>
      </c>
      <c r="I96" s="127" t="str">
        <f>IF(COUNTIF(J96:AW96,"&lt;&gt;")=0,"",SUMPRODUCT(((Recommendations[ImplStatus]="Implemented")+(Recommendations[ImplStatus]="Compensated"))*ISNUMBER(MATCH(Recommendations[Id],J96:AW96,0)))/COUNTIF(J96:AW96,"&lt;&gt;"))</f>
        <v/>
      </c>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39"/>
    </row>
    <row r="97" spans="1:49" ht="60" customHeight="1" x14ac:dyDescent="0.35">
      <c r="A97" s="136" t="s">
        <v>3466</v>
      </c>
      <c r="B97" s="122" t="s">
        <v>3527</v>
      </c>
      <c r="C97" s="123" t="s">
        <v>3528</v>
      </c>
      <c r="D97" s="125" t="s">
        <v>3529</v>
      </c>
      <c r="E97" s="125" t="s">
        <v>3530</v>
      </c>
      <c r="F97" s="125" t="s">
        <v>3531</v>
      </c>
      <c r="G97" s="125" t="s">
        <v>3532</v>
      </c>
      <c r="H97" s="125" t="s">
        <v>3533</v>
      </c>
      <c r="I97" s="127" t="str">
        <f>IF(COUNTIF(J97:AW97,"&lt;&gt;")=0,"",SUMPRODUCT(((Recommendations[ImplStatus]="Implemented")+(Recommendations[ImplStatus]="Compensated"))*ISNUMBER(MATCH(Recommendations[Id],J97:AW97,0)))/COUNTIF(J97:AW97,"&lt;&gt;"))</f>
        <v/>
      </c>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39"/>
    </row>
    <row r="98" spans="1:49" ht="60" customHeight="1" outlineLevel="1" x14ac:dyDescent="0.35">
      <c r="A98" s="135" t="s">
        <v>3534</v>
      </c>
      <c r="B98" s="121"/>
      <c r="C98" s="120" t="s">
        <v>3535</v>
      </c>
      <c r="D98" s="124"/>
      <c r="E98" s="124"/>
      <c r="F98" s="124"/>
      <c r="G98" s="124"/>
      <c r="H98" s="124"/>
      <c r="I98" s="126" t="str">
        <f>IF(COUNTIF(J98:AW98,"&lt;&gt;")=0,"",SUMPRODUCT(((Recommendations[ImplStatus]="Implemented")+(Recommendations[ImplStatus]="Compensated"))*ISNUMBER(MATCH(Recommendations[Id],J98:AW98,0)))/COUNTIF(J98:AW98,"&lt;&gt;"))</f>
        <v/>
      </c>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38"/>
    </row>
    <row r="99" spans="1:49" ht="60" customHeight="1" x14ac:dyDescent="0.35">
      <c r="A99" s="136" t="s">
        <v>3534</v>
      </c>
      <c r="B99" s="122" t="s">
        <v>3536</v>
      </c>
      <c r="C99" s="123" t="s">
        <v>3537</v>
      </c>
      <c r="D99" s="125" t="s">
        <v>3538</v>
      </c>
      <c r="E99" s="125" t="s">
        <v>3539</v>
      </c>
      <c r="F99" s="125" t="s">
        <v>3540</v>
      </c>
      <c r="G99" s="125" t="s">
        <v>3541</v>
      </c>
      <c r="H99" s="125" t="s">
        <v>3542</v>
      </c>
      <c r="I99" s="127">
        <f>IF(COUNTIF(J99:AW99,"&lt;&gt;")=0,"",SUMPRODUCT(((Recommendations[ImplStatus]="Implemented")+(Recommendations[ImplStatus]="Compensated"))*ISNUMBER(MATCH(Recommendations[Id],J99:AW99,0)))/COUNTIF(J99:AW99,"&lt;&gt;"))</f>
        <v>0</v>
      </c>
      <c r="J99" s="129" t="s">
        <v>717</v>
      </c>
      <c r="K99" s="129" t="s">
        <v>1455</v>
      </c>
      <c r="L99" s="129" t="s">
        <v>1461</v>
      </c>
      <c r="M99" s="129" t="s">
        <v>1466</v>
      </c>
      <c r="N99" s="129" t="s">
        <v>1471</v>
      </c>
      <c r="O99" s="129" t="s">
        <v>1476</v>
      </c>
      <c r="P99" s="129" t="s">
        <v>1482</v>
      </c>
      <c r="Q99" s="129" t="s">
        <v>1488</v>
      </c>
      <c r="R99" s="129" t="s">
        <v>1493</v>
      </c>
      <c r="S99" s="129" t="s">
        <v>1498</v>
      </c>
      <c r="T99" s="129" t="s">
        <v>1504</v>
      </c>
      <c r="U99" s="129" t="s">
        <v>1517</v>
      </c>
      <c r="V99" s="129" t="s">
        <v>1522</v>
      </c>
      <c r="W99" s="129" t="s">
        <v>1528</v>
      </c>
      <c r="X99" s="129" t="s">
        <v>1534</v>
      </c>
      <c r="Y99" s="129" t="s">
        <v>1539</v>
      </c>
      <c r="Z99" s="129" t="s">
        <v>1544</v>
      </c>
      <c r="AA99" s="129" t="s">
        <v>1549</v>
      </c>
      <c r="AB99" s="129" t="s">
        <v>1554</v>
      </c>
      <c r="AC99" s="129" t="s">
        <v>1559</v>
      </c>
      <c r="AD99" s="129" t="s">
        <v>1564</v>
      </c>
      <c r="AE99" s="129" t="s">
        <v>1569</v>
      </c>
      <c r="AF99" s="129" t="s">
        <v>1575</v>
      </c>
      <c r="AG99" s="129" t="s">
        <v>1581</v>
      </c>
      <c r="AH99" s="129" t="s">
        <v>1586</v>
      </c>
      <c r="AI99" s="129" t="s">
        <v>1591</v>
      </c>
      <c r="AJ99" s="129"/>
      <c r="AK99" s="129"/>
      <c r="AL99" s="129"/>
      <c r="AM99" s="129"/>
      <c r="AN99" s="129"/>
      <c r="AO99" s="129"/>
      <c r="AP99" s="129"/>
      <c r="AQ99" s="129"/>
      <c r="AR99" s="129"/>
      <c r="AS99" s="129"/>
      <c r="AT99" s="129"/>
      <c r="AU99" s="129"/>
      <c r="AV99" s="129"/>
      <c r="AW99" s="139"/>
    </row>
    <row r="100" spans="1:49" ht="60" customHeight="1" x14ac:dyDescent="0.35">
      <c r="A100" s="136" t="s">
        <v>3534</v>
      </c>
      <c r="B100" s="122" t="s">
        <v>3543</v>
      </c>
      <c r="C100" s="123" t="s">
        <v>3544</v>
      </c>
      <c r="D100" s="125" t="s">
        <v>3545</v>
      </c>
      <c r="E100" s="125" t="s">
        <v>3546</v>
      </c>
      <c r="F100" s="125" t="s">
        <v>3547</v>
      </c>
      <c r="G100" s="125" t="s">
        <v>3548</v>
      </c>
      <c r="H100" s="125" t="s">
        <v>3549</v>
      </c>
      <c r="I100" s="127">
        <f>IF(COUNTIF(J100:AW100,"&lt;&gt;")=0,"",SUMPRODUCT(((Recommendations[ImplStatus]="Implemented")+(Recommendations[ImplStatus]="Compensated"))*ISNUMBER(MATCH(Recommendations[Id],J100:AW100,0)))/COUNTIF(J100:AW100,"&lt;&gt;"))</f>
        <v>0</v>
      </c>
      <c r="J100" s="129" t="s">
        <v>380</v>
      </c>
      <c r="K100" s="129" t="s">
        <v>383</v>
      </c>
      <c r="L100" s="129" t="s">
        <v>494</v>
      </c>
      <c r="M100" s="129" t="s">
        <v>499</v>
      </c>
      <c r="N100" s="129" t="s">
        <v>771</v>
      </c>
      <c r="O100" s="129" t="s">
        <v>777</v>
      </c>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39"/>
    </row>
    <row r="101" spans="1:49" ht="60" customHeight="1" x14ac:dyDescent="0.35">
      <c r="A101" s="136" t="s">
        <v>3534</v>
      </c>
      <c r="B101" s="122" t="s">
        <v>3550</v>
      </c>
      <c r="C101" s="123" t="s">
        <v>3551</v>
      </c>
      <c r="D101" s="125" t="s">
        <v>3552</v>
      </c>
      <c r="E101" s="125" t="s">
        <v>3553</v>
      </c>
      <c r="F101" s="125" t="s">
        <v>20</v>
      </c>
      <c r="G101" s="125" t="s">
        <v>20</v>
      </c>
      <c r="H101" s="125" t="s">
        <v>20</v>
      </c>
      <c r="I101" s="127">
        <f>IF(COUNTIF(J101:AW101,"&lt;&gt;")=0,"",SUMPRODUCT(((Recommendations[ImplStatus]="Implemented")+(Recommendations[ImplStatus]="Compensated"))*ISNUMBER(MATCH(Recommendations[Id],J101:AW101,0)))/COUNTIF(J101:AW101,"&lt;&gt;"))</f>
        <v>0</v>
      </c>
      <c r="J101" s="129" t="s">
        <v>541</v>
      </c>
      <c r="K101" s="129" t="s">
        <v>838</v>
      </c>
      <c r="L101" s="129" t="s">
        <v>843</v>
      </c>
      <c r="M101" s="129" t="s">
        <v>848</v>
      </c>
      <c r="N101" s="129" t="s">
        <v>908</v>
      </c>
      <c r="O101" s="129" t="s">
        <v>913</v>
      </c>
      <c r="P101" s="129" t="s">
        <v>919</v>
      </c>
      <c r="Q101" s="129" t="s">
        <v>925</v>
      </c>
      <c r="R101" s="129" t="s">
        <v>931</v>
      </c>
      <c r="S101" s="129" t="s">
        <v>936</v>
      </c>
      <c r="T101" s="129" t="s">
        <v>941</v>
      </c>
      <c r="U101" s="129" t="s">
        <v>947</v>
      </c>
      <c r="V101" s="129" t="s">
        <v>952</v>
      </c>
      <c r="W101" s="129" t="s">
        <v>957</v>
      </c>
      <c r="X101" s="129" t="s">
        <v>962</v>
      </c>
      <c r="Y101" s="129" t="s">
        <v>968</v>
      </c>
      <c r="Z101" s="129" t="s">
        <v>975</v>
      </c>
      <c r="AA101" s="129" t="s">
        <v>981</v>
      </c>
      <c r="AB101" s="129" t="s">
        <v>986</v>
      </c>
      <c r="AC101" s="129" t="s">
        <v>992</v>
      </c>
      <c r="AD101" s="129" t="s">
        <v>997</v>
      </c>
      <c r="AE101" s="129" t="s">
        <v>1008</v>
      </c>
      <c r="AF101" s="129" t="s">
        <v>1014</v>
      </c>
      <c r="AG101" s="129" t="s">
        <v>1020</v>
      </c>
      <c r="AH101" s="129" t="s">
        <v>1025</v>
      </c>
      <c r="AI101" s="129" t="s">
        <v>1031</v>
      </c>
      <c r="AJ101" s="129" t="s">
        <v>1036</v>
      </c>
      <c r="AK101" s="129" t="s">
        <v>1041</v>
      </c>
      <c r="AL101" s="129" t="s">
        <v>1046</v>
      </c>
      <c r="AM101" s="129" t="s">
        <v>1051</v>
      </c>
      <c r="AN101" s="129" t="s">
        <v>1056</v>
      </c>
      <c r="AO101" s="129" t="s">
        <v>1062</v>
      </c>
      <c r="AP101" s="129" t="s">
        <v>1067</v>
      </c>
      <c r="AQ101" s="129" t="s">
        <v>1072</v>
      </c>
      <c r="AR101" s="129" t="s">
        <v>1077</v>
      </c>
      <c r="AS101" s="129" t="s">
        <v>1082</v>
      </c>
      <c r="AT101" s="129" t="s">
        <v>1087</v>
      </c>
      <c r="AU101" s="129" t="s">
        <v>1092</v>
      </c>
      <c r="AV101" s="129" t="s">
        <v>1097</v>
      </c>
      <c r="AW101" s="139" t="s">
        <v>1102</v>
      </c>
    </row>
    <row r="102" spans="1:49" ht="60" customHeight="1" x14ac:dyDescent="0.35">
      <c r="A102" s="136" t="s">
        <v>3534</v>
      </c>
      <c r="B102" s="122" t="s">
        <v>3554</v>
      </c>
      <c r="C102" s="123" t="s">
        <v>3555</v>
      </c>
      <c r="D102" s="125" t="s">
        <v>3556</v>
      </c>
      <c r="E102" s="125" t="s">
        <v>3557</v>
      </c>
      <c r="F102" s="125" t="s">
        <v>3558</v>
      </c>
      <c r="G102" s="125" t="s">
        <v>3559</v>
      </c>
      <c r="H102" s="125" t="s">
        <v>3560</v>
      </c>
      <c r="I102" s="127" t="str">
        <f>IF(COUNTIF(J102:AW102,"&lt;&gt;")=0,"",SUMPRODUCT(((Recommendations[ImplStatus]="Implemented")+(Recommendations[ImplStatus]="Compensated"))*ISNUMBER(MATCH(Recommendations[Id],J102:AW102,0)))/COUNTIF(J102:AW102,"&lt;&gt;"))</f>
        <v/>
      </c>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39"/>
    </row>
    <row r="103" spans="1:49" ht="60" customHeight="1" x14ac:dyDescent="0.35">
      <c r="A103" s="136" t="s">
        <v>3534</v>
      </c>
      <c r="B103" s="122" t="s">
        <v>3561</v>
      </c>
      <c r="C103" s="123" t="s">
        <v>3562</v>
      </c>
      <c r="D103" s="125" t="s">
        <v>3563</v>
      </c>
      <c r="E103" s="125" t="s">
        <v>3564</v>
      </c>
      <c r="F103" s="125" t="s">
        <v>3565</v>
      </c>
      <c r="G103" s="125" t="s">
        <v>3566</v>
      </c>
      <c r="H103" s="125" t="s">
        <v>3567</v>
      </c>
      <c r="I103" s="127" t="str">
        <f>IF(COUNTIF(J103:AW103,"&lt;&gt;")=0,"",SUMPRODUCT(((Recommendations[ImplStatus]="Implemented")+(Recommendations[ImplStatus]="Compensated"))*ISNUMBER(MATCH(Recommendations[Id],J103:AW103,0)))/COUNTIF(J103:AW103,"&lt;&gt;"))</f>
        <v/>
      </c>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39"/>
    </row>
    <row r="104" spans="1:49" ht="60" customHeight="1" outlineLevel="1" x14ac:dyDescent="0.35">
      <c r="A104" s="135" t="s">
        <v>3568</v>
      </c>
      <c r="B104" s="121"/>
      <c r="C104" s="120" t="s">
        <v>3569</v>
      </c>
      <c r="D104" s="124"/>
      <c r="E104" s="124"/>
      <c r="F104" s="124"/>
      <c r="G104" s="124"/>
      <c r="H104" s="124"/>
      <c r="I104" s="126" t="str">
        <f>IF(COUNTIF(J104:AW104,"&lt;&gt;")=0,"",SUMPRODUCT(((Recommendations[ImplStatus]="Implemented")+(Recommendations[ImplStatus]="Compensated"))*ISNUMBER(MATCH(Recommendations[Id],J104:AW104,0)))/COUNTIF(J104:AW104,"&lt;&gt;"))</f>
        <v/>
      </c>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38"/>
    </row>
    <row r="105" spans="1:49" ht="60" customHeight="1" x14ac:dyDescent="0.35">
      <c r="A105" s="136" t="s">
        <v>3568</v>
      </c>
      <c r="B105" s="122" t="s">
        <v>3570</v>
      </c>
      <c r="C105" s="123" t="s">
        <v>3571</v>
      </c>
      <c r="D105" s="125" t="s">
        <v>3572</v>
      </c>
      <c r="E105" s="125" t="s">
        <v>3573</v>
      </c>
      <c r="F105" s="125" t="s">
        <v>3574</v>
      </c>
      <c r="G105" s="125" t="s">
        <v>3575</v>
      </c>
      <c r="H105" s="125" t="s">
        <v>20</v>
      </c>
      <c r="I105" s="127" t="str">
        <f>IF(COUNTIF(J105:AW105,"&lt;&gt;")=0,"",SUMPRODUCT(((Recommendations[ImplStatus]="Implemented")+(Recommendations[ImplStatus]="Compensated"))*ISNUMBER(MATCH(Recommendations[Id],J105:AW105,0)))/COUNTIF(J105:AW105,"&lt;&gt;"))</f>
        <v/>
      </c>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39"/>
    </row>
    <row r="106" spans="1:49" ht="60" customHeight="1" x14ac:dyDescent="0.35">
      <c r="A106" s="136" t="s">
        <v>3568</v>
      </c>
      <c r="B106" s="122" t="s">
        <v>3576</v>
      </c>
      <c r="C106" s="123" t="s">
        <v>3577</v>
      </c>
      <c r="D106" s="125" t="s">
        <v>3578</v>
      </c>
      <c r="E106" s="125" t="s">
        <v>3579</v>
      </c>
      <c r="F106" s="125" t="s">
        <v>3580</v>
      </c>
      <c r="G106" s="125" t="s">
        <v>3581</v>
      </c>
      <c r="H106" s="125" t="s">
        <v>3582</v>
      </c>
      <c r="I106" s="127" t="str">
        <f>IF(COUNTIF(J106:AW106,"&lt;&gt;")=0,"",SUMPRODUCT(((Recommendations[ImplStatus]="Implemented")+(Recommendations[ImplStatus]="Compensated"))*ISNUMBER(MATCH(Recommendations[Id],J106:AW106,0)))/COUNTIF(J106:AW106,"&lt;&gt;"))</f>
        <v/>
      </c>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39"/>
    </row>
    <row r="107" spans="1:49" ht="60" customHeight="1" x14ac:dyDescent="0.35">
      <c r="A107" s="136" t="s">
        <v>3568</v>
      </c>
      <c r="B107" s="122" t="s">
        <v>3583</v>
      </c>
      <c r="C107" s="123" t="s">
        <v>3584</v>
      </c>
      <c r="D107" s="125" t="s">
        <v>3585</v>
      </c>
      <c r="E107" s="125" t="s">
        <v>3586</v>
      </c>
      <c r="F107" s="125" t="s">
        <v>3587</v>
      </c>
      <c r="G107" s="125" t="s">
        <v>3588</v>
      </c>
      <c r="H107" s="125" t="s">
        <v>3589</v>
      </c>
      <c r="I107" s="127" t="str">
        <f>IF(COUNTIF(J107:AW107,"&lt;&gt;")=0,"",SUMPRODUCT(((Recommendations[ImplStatus]="Implemented")+(Recommendations[ImplStatus]="Compensated"))*ISNUMBER(MATCH(Recommendations[Id],J107:AW107,0)))/COUNTIF(J107:AW107,"&lt;&gt;"))</f>
        <v/>
      </c>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39"/>
    </row>
    <row r="108" spans="1:49" ht="60" customHeight="1" outlineLevel="1" x14ac:dyDescent="0.35">
      <c r="A108" s="135" t="s">
        <v>3590</v>
      </c>
      <c r="B108" s="121"/>
      <c r="C108" s="120" t="s">
        <v>3591</v>
      </c>
      <c r="D108" s="124"/>
      <c r="E108" s="124"/>
      <c r="F108" s="124"/>
      <c r="G108" s="124"/>
      <c r="H108" s="124"/>
      <c r="I108" s="126" t="str">
        <f>IF(COUNTIF(J108:AW108,"&lt;&gt;")=0,"",SUMPRODUCT(((Recommendations[ImplStatus]="Implemented")+(Recommendations[ImplStatus]="Compensated"))*ISNUMBER(MATCH(Recommendations[Id],J108:AW108,0)))/COUNTIF(J108:AW108,"&lt;&gt;"))</f>
        <v/>
      </c>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38"/>
    </row>
    <row r="109" spans="1:49" ht="60" customHeight="1" x14ac:dyDescent="0.35">
      <c r="A109" s="136" t="s">
        <v>3590</v>
      </c>
      <c r="B109" s="122" t="s">
        <v>3592</v>
      </c>
      <c r="C109" s="123" t="s">
        <v>3593</v>
      </c>
      <c r="D109" s="125" t="s">
        <v>3594</v>
      </c>
      <c r="E109" s="125" t="s">
        <v>3595</v>
      </c>
      <c r="F109" s="125" t="s">
        <v>3596</v>
      </c>
      <c r="G109" s="125" t="s">
        <v>3597</v>
      </c>
      <c r="H109" s="125" t="s">
        <v>3598</v>
      </c>
      <c r="I109" s="127" t="str">
        <f>IF(COUNTIF(J109:AW109,"&lt;&gt;")=0,"",SUMPRODUCT(((Recommendations[ImplStatus]="Implemented")+(Recommendations[ImplStatus]="Compensated"))*ISNUMBER(MATCH(Recommendations[Id],J109:AW109,0)))/COUNTIF(J109:AW109,"&lt;&gt;"))</f>
        <v/>
      </c>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39"/>
    </row>
    <row r="110" spans="1:49" ht="60" customHeight="1" x14ac:dyDescent="0.35">
      <c r="A110" s="136" t="s">
        <v>3590</v>
      </c>
      <c r="B110" s="122" t="s">
        <v>3599</v>
      </c>
      <c r="C110" s="123" t="s">
        <v>3600</v>
      </c>
      <c r="D110" s="125" t="s">
        <v>3601</v>
      </c>
      <c r="E110" s="125" t="s">
        <v>3602</v>
      </c>
      <c r="F110" s="125" t="s">
        <v>3603</v>
      </c>
      <c r="G110" s="125" t="s">
        <v>3604</v>
      </c>
      <c r="H110" s="125" t="s">
        <v>3605</v>
      </c>
      <c r="I110" s="127" t="str">
        <f>IF(COUNTIF(J110:AW110,"&lt;&gt;")=0,"",SUMPRODUCT(((Recommendations[ImplStatus]="Implemented")+(Recommendations[ImplStatus]="Compensated"))*ISNUMBER(MATCH(Recommendations[Id],J110:AW110,0)))/COUNTIF(J110:AW110,"&lt;&gt;"))</f>
        <v/>
      </c>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39"/>
    </row>
    <row r="111" spans="1:49" ht="60" customHeight="1" x14ac:dyDescent="0.35">
      <c r="A111" s="136" t="s">
        <v>3590</v>
      </c>
      <c r="B111" s="122" t="s">
        <v>3606</v>
      </c>
      <c r="C111" s="123" t="s">
        <v>3607</v>
      </c>
      <c r="D111" s="125" t="s">
        <v>3608</v>
      </c>
      <c r="E111" s="125" t="s">
        <v>3609</v>
      </c>
      <c r="F111" s="125" t="s">
        <v>3610</v>
      </c>
      <c r="G111" s="125" t="s">
        <v>3611</v>
      </c>
      <c r="H111" s="125" t="s">
        <v>3612</v>
      </c>
      <c r="I111" s="127" t="str">
        <f>IF(COUNTIF(J111:AW111,"&lt;&gt;")=0,"",SUMPRODUCT(((Recommendations[ImplStatus]="Implemented")+(Recommendations[ImplStatus]="Compensated"))*ISNUMBER(MATCH(Recommendations[Id],J111:AW111,0)))/COUNTIF(J111:AW111,"&lt;&gt;"))</f>
        <v/>
      </c>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39"/>
    </row>
    <row r="112" spans="1:49" ht="60" customHeight="1" outlineLevel="1" x14ac:dyDescent="0.35">
      <c r="A112" s="135" t="s">
        <v>3613</v>
      </c>
      <c r="B112" s="121"/>
      <c r="C112" s="120" t="s">
        <v>3614</v>
      </c>
      <c r="D112" s="124"/>
      <c r="E112" s="124"/>
      <c r="F112" s="124"/>
      <c r="G112" s="124"/>
      <c r="H112" s="124"/>
      <c r="I112" s="126" t="str">
        <f>IF(COUNTIF(J112:AW112,"&lt;&gt;")=0,"",SUMPRODUCT(((Recommendations[ImplStatus]="Implemented")+(Recommendations[ImplStatus]="Compensated"))*ISNUMBER(MATCH(Recommendations[Id],J112:AW112,0)))/COUNTIF(J112:AW112,"&lt;&gt;"))</f>
        <v/>
      </c>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38"/>
    </row>
    <row r="113" spans="1:49" ht="60" customHeight="1" x14ac:dyDescent="0.35">
      <c r="A113" s="136" t="s">
        <v>3613</v>
      </c>
      <c r="B113" s="122" t="s">
        <v>3615</v>
      </c>
      <c r="C113" s="123" t="s">
        <v>3616</v>
      </c>
      <c r="D113" s="125" t="s">
        <v>3617</v>
      </c>
      <c r="E113" s="125" t="s">
        <v>3618</v>
      </c>
      <c r="F113" s="125" t="s">
        <v>3619</v>
      </c>
      <c r="G113" s="125" t="s">
        <v>3620</v>
      </c>
      <c r="H113" s="125" t="s">
        <v>3621</v>
      </c>
      <c r="I113" s="127" t="str">
        <f>IF(COUNTIF(J113:AW113,"&lt;&gt;")=0,"",SUMPRODUCT(((Recommendations[ImplStatus]="Implemented")+(Recommendations[ImplStatus]="Compensated"))*ISNUMBER(MATCH(Recommendations[Id],J113:AW113,0)))/COUNTIF(J113:AW113,"&lt;&gt;"))</f>
        <v/>
      </c>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39"/>
    </row>
    <row r="114" spans="1:49" ht="60" customHeight="1" x14ac:dyDescent="0.35">
      <c r="A114" s="136" t="s">
        <v>3613</v>
      </c>
      <c r="B114" s="122" t="s">
        <v>3622</v>
      </c>
      <c r="C114" s="123" t="s">
        <v>3623</v>
      </c>
      <c r="D114" s="125" t="s">
        <v>3624</v>
      </c>
      <c r="E114" s="125" t="s">
        <v>3625</v>
      </c>
      <c r="F114" s="125" t="s">
        <v>3626</v>
      </c>
      <c r="G114" s="125" t="s">
        <v>3620</v>
      </c>
      <c r="H114" s="125" t="s">
        <v>3627</v>
      </c>
      <c r="I114" s="127" t="str">
        <f>IF(COUNTIF(J114:AW114,"&lt;&gt;")=0,"",SUMPRODUCT(((Recommendations[ImplStatus]="Implemented")+(Recommendations[ImplStatus]="Compensated"))*ISNUMBER(MATCH(Recommendations[Id],J114:AW114,0)))/COUNTIF(J114:AW114,"&lt;&gt;"))</f>
        <v/>
      </c>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39"/>
    </row>
    <row r="115" spans="1:49" ht="60" customHeight="1" x14ac:dyDescent="0.35">
      <c r="A115" s="137" t="s">
        <v>3613</v>
      </c>
      <c r="B115" s="130" t="s">
        <v>3628</v>
      </c>
      <c r="C115" s="131" t="s">
        <v>3629</v>
      </c>
      <c r="D115" s="132" t="s">
        <v>3630</v>
      </c>
      <c r="E115" s="132" t="s">
        <v>3631</v>
      </c>
      <c r="F115" s="132" t="s">
        <v>3632</v>
      </c>
      <c r="G115" s="132" t="s">
        <v>3633</v>
      </c>
      <c r="H115" s="132" t="s">
        <v>3634</v>
      </c>
      <c r="I115" s="133" t="str">
        <f>IF(COUNTIF(J115:AW115,"&lt;&gt;")=0,"",SUMPRODUCT(((Recommendations[ImplStatus]="Implemented")+(Recommendations[ImplStatus]="Compensated"))*ISNUMBER(MATCH(Recommendations[Id],J115:AW115,0)))/COUNTIF(J115:AW115,"&lt;&gt;"))</f>
        <v/>
      </c>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40"/>
    </row>
    <row r="119" spans="1:49" ht="32" customHeight="1" x14ac:dyDescent="0.35">
      <c r="A119" s="262" t="s">
        <v>1766</v>
      </c>
      <c r="B119" s="262"/>
      <c r="C119" s="262"/>
      <c r="D119" s="262"/>
      <c r="E119" s="262"/>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IFERROR(INDEX('Recommendations'!$G$2:$G$368, MATCH(J2,'Recommendations'!$B$2:$B$368,0))="Implemented", FALSE))</xm:f>
            <x14:dxf>
              <font>
                <color rgb="FF000000"/>
              </font>
              <fill>
                <patternFill>
                  <bgColor rgb="FF3C7D22"/>
                </patternFill>
              </fill>
            </x14:dxf>
          </x14:cfRule>
          <x14:cfRule type="expression" priority="2" id="{00000000-000E-0000-0600-000002000000}">
            <xm:f>AND(J2&lt;&gt;"", IFERROR(INDEX('Recommendations'!$G$2:$G$368, MATCH(J2,'Recommendations'!$B$2:$B$368,0))="Compensated", FALSE))</xm:f>
            <x14:dxf>
              <font>
                <color rgb="FF000000"/>
              </font>
              <fill>
                <patternFill>
                  <bgColor rgb="FFC6E0B4"/>
                </patternFill>
              </fill>
            </x14:dxf>
          </x14:cfRule>
          <x14:cfRule type="expression" priority="3" id="{00000000-000E-0000-0600-000003000000}">
            <xm:f>AND(J2&lt;&gt;"", IFERROR(INDEX('Recommendations'!$G$2:$G$368, MATCH(J2,'Recommendations'!$B$2:$B$368,0))="Testing", FALSE))</xm:f>
            <x14:dxf>
              <font>
                <color rgb="FF000000"/>
              </font>
              <fill>
                <patternFill>
                  <bgColor rgb="FFFFC000"/>
                </patternFill>
              </fill>
            </x14:dxf>
          </x14:cfRule>
          <x14:cfRule type="expression" priority="4" id="{00000000-000E-0000-0600-000004000000}">
            <xm:f>AND(J2&lt;&gt;"", IFERROR(INDEX('Recommendations'!$G$2:$G$368, MATCH(J2,'Recommendations'!$B$2:$B$368,0))="Failed", FALSE))</xm:f>
            <x14:dxf>
              <font>
                <color rgb="FF000000"/>
              </font>
              <fill>
                <patternFill>
                  <bgColor rgb="FFD82891"/>
                </patternFill>
              </fill>
            </x14:dxf>
          </x14:cfRule>
          <x14:cfRule type="expression" priority="5" id="{00000000-000E-0000-0600-000005000000}">
            <xm:f>AND(J2&lt;&gt;"", IFERROR(INDEX('Recommendations'!$G$2:$G$368, MATCH(J2,'Recommendations'!$B$2:$B$368,0))="Risk Accepted", FALSE))</xm:f>
            <x14:dxf>
              <font>
                <color rgb="FF000000"/>
              </font>
              <fill>
                <patternFill>
                  <bgColor rgb="FFD9D9D9"/>
                </patternFill>
              </fill>
            </x14:dxf>
          </x14:cfRule>
          <x14:cfRule type="expression" priority="6" id="{00000000-000E-0000-0600-000006000000}">
            <xm:f>AND(J2&lt;&gt;"", IFERROR(INDEX('Recommendations'!$G$2:$G$368, MATCH(J2,'Recommendations'!$B$2:$B$368,0))="N/A",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0" t="s">
        <v>3635</v>
      </c>
      <c r="B1" s="181" t="s">
        <v>3636</v>
      </c>
      <c r="C1" s="181" t="s">
        <v>1</v>
      </c>
      <c r="D1" s="181" t="s">
        <v>3637</v>
      </c>
      <c r="E1" s="181" t="s">
        <v>3638</v>
      </c>
      <c r="F1" s="181" t="s">
        <v>3639</v>
      </c>
      <c r="G1" s="181" t="s">
        <v>2004</v>
      </c>
      <c r="H1" s="181" t="s">
        <v>2005</v>
      </c>
      <c r="I1" s="181" t="s">
        <v>2006</v>
      </c>
      <c r="J1" s="181" t="s">
        <v>2007</v>
      </c>
      <c r="K1" s="181" t="s">
        <v>2008</v>
      </c>
      <c r="L1" s="181" t="s">
        <v>2009</v>
      </c>
      <c r="M1" s="181" t="s">
        <v>2010</v>
      </c>
      <c r="N1" s="181" t="s">
        <v>2011</v>
      </c>
      <c r="O1" s="181" t="s">
        <v>2012</v>
      </c>
      <c r="P1" s="181" t="s">
        <v>2013</v>
      </c>
      <c r="Q1" s="181" t="s">
        <v>2014</v>
      </c>
      <c r="R1" s="181" t="s">
        <v>2015</v>
      </c>
      <c r="S1" s="181" t="s">
        <v>2016</v>
      </c>
      <c r="T1" s="181" t="s">
        <v>2017</v>
      </c>
      <c r="U1" s="181" t="s">
        <v>2018</v>
      </c>
      <c r="V1" s="181" t="s">
        <v>2019</v>
      </c>
      <c r="W1" s="181" t="s">
        <v>2020</v>
      </c>
      <c r="X1" s="181" t="s">
        <v>2021</v>
      </c>
      <c r="Y1" s="181" t="s">
        <v>2022</v>
      </c>
      <c r="Z1" s="181" t="s">
        <v>2023</v>
      </c>
      <c r="AA1" s="181" t="s">
        <v>2024</v>
      </c>
      <c r="AB1" s="181" t="s">
        <v>2025</v>
      </c>
      <c r="AC1" s="181" t="s">
        <v>2026</v>
      </c>
      <c r="AD1" s="181" t="s">
        <v>2027</v>
      </c>
      <c r="AE1" s="181" t="s">
        <v>2028</v>
      </c>
      <c r="AF1" s="181" t="s">
        <v>2029</v>
      </c>
      <c r="AG1" s="181" t="s">
        <v>2030</v>
      </c>
      <c r="AH1" s="181" t="s">
        <v>2031</v>
      </c>
      <c r="AI1" s="181" t="s">
        <v>2032</v>
      </c>
      <c r="AJ1" s="181" t="s">
        <v>2033</v>
      </c>
      <c r="AK1" s="181" t="s">
        <v>2034</v>
      </c>
      <c r="AL1" s="181" t="s">
        <v>2035</v>
      </c>
      <c r="AM1" s="181" t="s">
        <v>2036</v>
      </c>
      <c r="AN1" s="181" t="s">
        <v>2037</v>
      </c>
      <c r="AO1" s="181" t="s">
        <v>2038</v>
      </c>
      <c r="AP1" s="181" t="s">
        <v>2039</v>
      </c>
      <c r="AQ1" s="181" t="s">
        <v>2040</v>
      </c>
      <c r="AR1" s="181" t="s">
        <v>2041</v>
      </c>
      <c r="AS1" s="181" t="s">
        <v>2042</v>
      </c>
      <c r="AT1" s="181" t="s">
        <v>2043</v>
      </c>
      <c r="AU1" s="182" t="s">
        <v>2044</v>
      </c>
    </row>
    <row r="2" spans="1:47" ht="60" customHeight="1" outlineLevel="1" x14ac:dyDescent="0.35">
      <c r="A2" s="172" t="s">
        <v>3640</v>
      </c>
      <c r="B2" s="146" t="s">
        <v>20</v>
      </c>
      <c r="C2" s="144" t="s">
        <v>3641</v>
      </c>
      <c r="D2" s="150" t="s">
        <v>3642</v>
      </c>
      <c r="E2" s="153" t="s">
        <v>20</v>
      </c>
      <c r="F2" s="156" t="s">
        <v>20</v>
      </c>
      <c r="G2" s="159" t="str">
        <f>IF(COUNTIF(H2:AU2,"&lt;&gt;")=0,"",SUMPRODUCT(((Recommendations[ImplStatus]="Implemented")+(Recommendations[ImplStatus]="Compensated"))*ISNUMBER(MATCH(Recommendations[Id],H2:AU2,0)))/COUNTIF(H2:AU2,"&lt;&gt;"))</f>
        <v/>
      </c>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76"/>
    </row>
    <row r="3" spans="1:47" ht="60" customHeight="1" outlineLevel="1" x14ac:dyDescent="0.35">
      <c r="A3" s="173" t="s">
        <v>3640</v>
      </c>
      <c r="B3" s="147" t="s">
        <v>3643</v>
      </c>
      <c r="C3" s="145" t="s">
        <v>3644</v>
      </c>
      <c r="D3" s="151" t="s">
        <v>3645</v>
      </c>
      <c r="E3" s="154" t="s">
        <v>20</v>
      </c>
      <c r="F3" s="157" t="s">
        <v>20</v>
      </c>
      <c r="G3" s="160" t="str">
        <f>IF(COUNTIF(H3:AU3,"&lt;&gt;")=0,"",SUMPRODUCT(((Recommendations[ImplStatus]="Implemented")+(Recommendations[ImplStatus]="Compensated"))*ISNUMBER(MATCH(Recommendations[Id],H3:AU3,0)))/COUNTIF(H3:AU3,"&lt;&gt;"))</f>
        <v/>
      </c>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77"/>
    </row>
    <row r="4" spans="1:47" ht="60" customHeight="1" x14ac:dyDescent="0.35">
      <c r="A4" s="174" t="s">
        <v>3640</v>
      </c>
      <c r="B4" s="148" t="s">
        <v>3643</v>
      </c>
      <c r="C4" s="149" t="s">
        <v>3646</v>
      </c>
      <c r="D4" s="152" t="s">
        <v>3647</v>
      </c>
      <c r="E4" s="155" t="s">
        <v>3648</v>
      </c>
      <c r="F4" s="158" t="s">
        <v>3649</v>
      </c>
      <c r="G4" s="161" t="str">
        <f>IF(COUNTIF(H4:AU4,"&lt;&gt;")=0,"",SUMPRODUCT(((Recommendations[ImplStatus]="Implemented")+(Recommendations[ImplStatus]="Compensated"))*ISNUMBER(MATCH(Recommendations[Id],H4:AU4,0)))/COUNTIF(H4:AU4,"&lt;&gt;"))</f>
        <v/>
      </c>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78"/>
    </row>
    <row r="5" spans="1:47" ht="60" customHeight="1" x14ac:dyDescent="0.35">
      <c r="A5" s="174" t="s">
        <v>3640</v>
      </c>
      <c r="B5" s="148" t="s">
        <v>3643</v>
      </c>
      <c r="C5" s="149" t="s">
        <v>3650</v>
      </c>
      <c r="D5" s="152" t="s">
        <v>3651</v>
      </c>
      <c r="E5" s="155" t="s">
        <v>3652</v>
      </c>
      <c r="F5" s="158" t="s">
        <v>3653</v>
      </c>
      <c r="G5" s="161" t="str">
        <f>IF(COUNTIF(H5:AU5,"&lt;&gt;")=0,"",SUMPRODUCT(((Recommendations[ImplStatus]="Implemented")+(Recommendations[ImplStatus]="Compensated"))*ISNUMBER(MATCH(Recommendations[Id],H5:AU5,0)))/COUNTIF(H5:AU5,"&lt;&gt;"))</f>
        <v/>
      </c>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78"/>
    </row>
    <row r="6" spans="1:47" ht="60" customHeight="1" x14ac:dyDescent="0.35">
      <c r="A6" s="174" t="s">
        <v>3640</v>
      </c>
      <c r="B6" s="148" t="s">
        <v>3643</v>
      </c>
      <c r="C6" s="149" t="s">
        <v>3654</v>
      </c>
      <c r="D6" s="152" t="s">
        <v>3655</v>
      </c>
      <c r="E6" s="155" t="s">
        <v>3656</v>
      </c>
      <c r="F6" s="158" t="s">
        <v>3653</v>
      </c>
      <c r="G6" s="161" t="str">
        <f>IF(COUNTIF(H6:AU6,"&lt;&gt;")=0,"",SUMPRODUCT(((Recommendations[ImplStatus]="Implemented")+(Recommendations[ImplStatus]="Compensated"))*ISNUMBER(MATCH(Recommendations[Id],H6:AU6,0)))/COUNTIF(H6:AU6,"&lt;&gt;"))</f>
        <v/>
      </c>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78"/>
    </row>
    <row r="7" spans="1:47" ht="60" customHeight="1" x14ac:dyDescent="0.35">
      <c r="A7" s="174" t="s">
        <v>3640</v>
      </c>
      <c r="B7" s="148" t="s">
        <v>3643</v>
      </c>
      <c r="C7" s="149" t="s">
        <v>3657</v>
      </c>
      <c r="D7" s="152" t="s">
        <v>3658</v>
      </c>
      <c r="E7" s="155" t="s">
        <v>3659</v>
      </c>
      <c r="F7" s="158" t="s">
        <v>3653</v>
      </c>
      <c r="G7" s="161" t="str">
        <f>IF(COUNTIF(H7:AU7,"&lt;&gt;")=0,"",SUMPRODUCT(((Recommendations[ImplStatus]="Implemented")+(Recommendations[ImplStatus]="Compensated"))*ISNUMBER(MATCH(Recommendations[Id],H7:AU7,0)))/COUNTIF(H7:AU7,"&lt;&gt;"))</f>
        <v/>
      </c>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78"/>
    </row>
    <row r="8" spans="1:47" ht="60" customHeight="1" x14ac:dyDescent="0.35">
      <c r="A8" s="174" t="s">
        <v>3640</v>
      </c>
      <c r="B8" s="148" t="s">
        <v>3643</v>
      </c>
      <c r="C8" s="149" t="s">
        <v>3660</v>
      </c>
      <c r="D8" s="152" t="s">
        <v>3661</v>
      </c>
      <c r="E8" s="155" t="s">
        <v>3662</v>
      </c>
      <c r="F8" s="158" t="s">
        <v>3663</v>
      </c>
      <c r="G8" s="161" t="str">
        <f>IF(COUNTIF(H8:AU8,"&lt;&gt;")=0,"",SUMPRODUCT(((Recommendations[ImplStatus]="Implemented")+(Recommendations[ImplStatus]="Compensated"))*ISNUMBER(MATCH(Recommendations[Id],H8:AU8,0)))/COUNTIF(H8:AU8,"&lt;&gt;"))</f>
        <v/>
      </c>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78"/>
    </row>
    <row r="9" spans="1:47" ht="60" customHeight="1" outlineLevel="1" x14ac:dyDescent="0.35">
      <c r="A9" s="173" t="s">
        <v>3640</v>
      </c>
      <c r="B9" s="147" t="s">
        <v>3664</v>
      </c>
      <c r="C9" s="145" t="s">
        <v>3665</v>
      </c>
      <c r="D9" s="151" t="s">
        <v>3666</v>
      </c>
      <c r="E9" s="154" t="s">
        <v>20</v>
      </c>
      <c r="F9" s="157" t="s">
        <v>20</v>
      </c>
      <c r="G9" s="160" t="str">
        <f>IF(COUNTIF(H9:AU9,"&lt;&gt;")=0,"",SUMPRODUCT(((Recommendations[ImplStatus]="Implemented")+(Recommendations[ImplStatus]="Compensated"))*ISNUMBER(MATCH(Recommendations[Id],H9:AU9,0)))/COUNTIF(H9:AU9,"&lt;&gt;"))</f>
        <v/>
      </c>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77"/>
    </row>
    <row r="10" spans="1:47" ht="60" customHeight="1" x14ac:dyDescent="0.35">
      <c r="A10" s="174" t="s">
        <v>3640</v>
      </c>
      <c r="B10" s="148" t="s">
        <v>3664</v>
      </c>
      <c r="C10" s="149" t="s">
        <v>3667</v>
      </c>
      <c r="D10" s="152" t="s">
        <v>3668</v>
      </c>
      <c r="E10" s="155" t="s">
        <v>3669</v>
      </c>
      <c r="F10" s="158" t="s">
        <v>3649</v>
      </c>
      <c r="G10" s="161" t="str">
        <f>IF(COUNTIF(H10:AU10,"&lt;&gt;")=0,"",SUMPRODUCT(((Recommendations[ImplStatus]="Implemented")+(Recommendations[ImplStatus]="Compensated"))*ISNUMBER(MATCH(Recommendations[Id],H10:AU10,0)))/COUNTIF(H10:AU10,"&lt;&gt;"))</f>
        <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78"/>
    </row>
    <row r="11" spans="1:47" ht="60" customHeight="1" x14ac:dyDescent="0.35">
      <c r="A11" s="174" t="s">
        <v>3640</v>
      </c>
      <c r="B11" s="148" t="s">
        <v>3664</v>
      </c>
      <c r="C11" s="149" t="s">
        <v>3670</v>
      </c>
      <c r="D11" s="152" t="s">
        <v>3671</v>
      </c>
      <c r="E11" s="155" t="s">
        <v>3672</v>
      </c>
      <c r="F11" s="158" t="s">
        <v>3649</v>
      </c>
      <c r="G11" s="161" t="str">
        <f>IF(COUNTIF(H11:AU11,"&lt;&gt;")=0,"",SUMPRODUCT(((Recommendations[ImplStatus]="Implemented")+(Recommendations[ImplStatus]="Compensated"))*ISNUMBER(MATCH(Recommendations[Id],H11:AU11,0)))/COUNTIF(H11:AU11,"&lt;&gt;"))</f>
        <v/>
      </c>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78"/>
    </row>
    <row r="12" spans="1:47" ht="60" customHeight="1" x14ac:dyDescent="0.35">
      <c r="A12" s="174" t="s">
        <v>3640</v>
      </c>
      <c r="B12" s="148" t="s">
        <v>3664</v>
      </c>
      <c r="C12" s="149" t="s">
        <v>3673</v>
      </c>
      <c r="D12" s="152" t="s">
        <v>3674</v>
      </c>
      <c r="E12" s="155" t="s">
        <v>3675</v>
      </c>
      <c r="F12" s="158" t="s">
        <v>3649</v>
      </c>
      <c r="G12" s="161" t="str">
        <f>IF(COUNTIF(H12:AU12,"&lt;&gt;")=0,"",SUMPRODUCT(((Recommendations[ImplStatus]="Implemented")+(Recommendations[ImplStatus]="Compensated"))*ISNUMBER(MATCH(Recommendations[Id],H12:AU12,0)))/COUNTIF(H12:AU12,"&lt;&gt;"))</f>
        <v/>
      </c>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78"/>
    </row>
    <row r="13" spans="1:47" ht="60" customHeight="1" outlineLevel="1" x14ac:dyDescent="0.35">
      <c r="A13" s="173" t="s">
        <v>3640</v>
      </c>
      <c r="B13" s="147" t="s">
        <v>3676</v>
      </c>
      <c r="C13" s="145" t="s">
        <v>3677</v>
      </c>
      <c r="D13" s="151" t="s">
        <v>3678</v>
      </c>
      <c r="E13" s="154" t="s">
        <v>20</v>
      </c>
      <c r="F13" s="157" t="s">
        <v>20</v>
      </c>
      <c r="G13" s="160" t="str">
        <f>IF(COUNTIF(H13:AU13,"&lt;&gt;")=0,"",SUMPRODUCT(((Recommendations[ImplStatus]="Implemented")+(Recommendations[ImplStatus]="Compensated"))*ISNUMBER(MATCH(Recommendations[Id],H13:AU13,0)))/COUNTIF(H13:AU13,"&lt;&gt;"))</f>
        <v/>
      </c>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77"/>
    </row>
    <row r="14" spans="1:47" ht="60" customHeight="1" x14ac:dyDescent="0.35">
      <c r="A14" s="174" t="s">
        <v>3640</v>
      </c>
      <c r="B14" s="148" t="s">
        <v>3676</v>
      </c>
      <c r="C14" s="149" t="s">
        <v>3679</v>
      </c>
      <c r="D14" s="152" t="s">
        <v>3680</v>
      </c>
      <c r="E14" s="155" t="s">
        <v>3681</v>
      </c>
      <c r="F14" s="158" t="s">
        <v>3649</v>
      </c>
      <c r="G14" s="161" t="str">
        <f>IF(COUNTIF(H14:AU14,"&lt;&gt;")=0,"",SUMPRODUCT(((Recommendations[ImplStatus]="Implemented")+(Recommendations[ImplStatus]="Compensated"))*ISNUMBER(MATCH(Recommendations[Id],H14:AU14,0)))/COUNTIF(H14:AU14,"&lt;&gt;"))</f>
        <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78"/>
    </row>
    <row r="15" spans="1:47" ht="60" customHeight="1" x14ac:dyDescent="0.35">
      <c r="A15" s="174" t="s">
        <v>3640</v>
      </c>
      <c r="B15" s="148" t="s">
        <v>3676</v>
      </c>
      <c r="C15" s="149" t="s">
        <v>3682</v>
      </c>
      <c r="D15" s="152" t="s">
        <v>3683</v>
      </c>
      <c r="E15" s="155" t="s">
        <v>3684</v>
      </c>
      <c r="F15" s="158" t="s">
        <v>3649</v>
      </c>
      <c r="G15" s="161" t="str">
        <f>IF(COUNTIF(H15:AU15,"&lt;&gt;")=0,"",SUMPRODUCT(((Recommendations[ImplStatus]="Implemented")+(Recommendations[ImplStatus]="Compensated"))*ISNUMBER(MATCH(Recommendations[Id],H15:AU15,0)))/COUNTIF(H15:AU15,"&lt;&gt;"))</f>
        <v/>
      </c>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78"/>
    </row>
    <row r="16" spans="1:47" ht="60" customHeight="1" outlineLevel="1" x14ac:dyDescent="0.35">
      <c r="A16" s="173" t="s">
        <v>3640</v>
      </c>
      <c r="B16" s="147" t="s">
        <v>3685</v>
      </c>
      <c r="C16" s="145" t="s">
        <v>3686</v>
      </c>
      <c r="D16" s="151" t="s">
        <v>3687</v>
      </c>
      <c r="E16" s="154" t="s">
        <v>20</v>
      </c>
      <c r="F16" s="157" t="s">
        <v>20</v>
      </c>
      <c r="G16" s="160" t="str">
        <f>IF(COUNTIF(H16:AU16,"&lt;&gt;")=0,"",SUMPRODUCT(((Recommendations[ImplStatus]="Implemented")+(Recommendations[ImplStatus]="Compensated"))*ISNUMBER(MATCH(Recommendations[Id],H16:AU16,0)))/COUNTIF(H16:AU16,"&lt;&gt;"))</f>
        <v/>
      </c>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77"/>
    </row>
    <row r="17" spans="1:47" ht="60" customHeight="1" x14ac:dyDescent="0.35">
      <c r="A17" s="174" t="s">
        <v>3640</v>
      </c>
      <c r="B17" s="148" t="s">
        <v>3685</v>
      </c>
      <c r="C17" s="149" t="s">
        <v>3688</v>
      </c>
      <c r="D17" s="152" t="s">
        <v>3689</v>
      </c>
      <c r="E17" s="155" t="s">
        <v>3690</v>
      </c>
      <c r="F17" s="158" t="s">
        <v>3649</v>
      </c>
      <c r="G17" s="161" t="str">
        <f>IF(COUNTIF(H17:AU17,"&lt;&gt;")=0,"",SUMPRODUCT(((Recommendations[ImplStatus]="Implemented")+(Recommendations[ImplStatus]="Compensated"))*ISNUMBER(MATCH(Recommendations[Id],H17:AU17,0)))/COUNTIF(H17:AU17,"&lt;&gt;"))</f>
        <v/>
      </c>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78"/>
    </row>
    <row r="18" spans="1:47" ht="60" customHeight="1" x14ac:dyDescent="0.35">
      <c r="A18" s="174" t="s">
        <v>3640</v>
      </c>
      <c r="B18" s="148" t="s">
        <v>3685</v>
      </c>
      <c r="C18" s="149" t="s">
        <v>3691</v>
      </c>
      <c r="D18" s="152" t="s">
        <v>3692</v>
      </c>
      <c r="E18" s="155" t="s">
        <v>3693</v>
      </c>
      <c r="F18" s="158" t="s">
        <v>3653</v>
      </c>
      <c r="G18" s="161" t="str">
        <f>IF(COUNTIF(H18:AU18,"&lt;&gt;")=0,"",SUMPRODUCT(((Recommendations[ImplStatus]="Implemented")+(Recommendations[ImplStatus]="Compensated"))*ISNUMBER(MATCH(Recommendations[Id],H18:AU18,0)))/COUNTIF(H18:AU18,"&lt;&gt;"))</f>
        <v/>
      </c>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78"/>
    </row>
    <row r="19" spans="1:47" ht="60" customHeight="1" x14ac:dyDescent="0.35">
      <c r="A19" s="174" t="s">
        <v>3640</v>
      </c>
      <c r="B19" s="148" t="s">
        <v>3685</v>
      </c>
      <c r="C19" s="149" t="s">
        <v>3694</v>
      </c>
      <c r="D19" s="152" t="s">
        <v>3695</v>
      </c>
      <c r="E19" s="155" t="s">
        <v>3696</v>
      </c>
      <c r="F19" s="158" t="s">
        <v>3649</v>
      </c>
      <c r="G19" s="161" t="str">
        <f>IF(COUNTIF(H19:AU19,"&lt;&gt;")=0,"",SUMPRODUCT(((Recommendations[ImplStatus]="Implemented")+(Recommendations[ImplStatus]="Compensated"))*ISNUMBER(MATCH(Recommendations[Id],H19:AU19,0)))/COUNTIF(H19:AU19,"&lt;&gt;"))</f>
        <v/>
      </c>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78"/>
    </row>
    <row r="20" spans="1:47" ht="60" customHeight="1" x14ac:dyDescent="0.35">
      <c r="A20" s="174" t="s">
        <v>3640</v>
      </c>
      <c r="B20" s="148" t="s">
        <v>3685</v>
      </c>
      <c r="C20" s="149" t="s">
        <v>3697</v>
      </c>
      <c r="D20" s="152" t="s">
        <v>3698</v>
      </c>
      <c r="E20" s="155" t="s">
        <v>3699</v>
      </c>
      <c r="F20" s="158" t="s">
        <v>3649</v>
      </c>
      <c r="G20" s="161" t="str">
        <f>IF(COUNTIF(H20:AU20,"&lt;&gt;")=0,"",SUMPRODUCT(((Recommendations[ImplStatus]="Implemented")+(Recommendations[ImplStatus]="Compensated"))*ISNUMBER(MATCH(Recommendations[Id],H20:AU20,0)))/COUNTIF(H20:AU20,"&lt;&gt;"))</f>
        <v/>
      </c>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78"/>
    </row>
    <row r="21" spans="1:47" ht="60" customHeight="1" x14ac:dyDescent="0.35">
      <c r="A21" s="174" t="s">
        <v>3640</v>
      </c>
      <c r="B21" s="148" t="s">
        <v>3685</v>
      </c>
      <c r="C21" s="149" t="s">
        <v>3700</v>
      </c>
      <c r="D21" s="152" t="s">
        <v>3701</v>
      </c>
      <c r="E21" s="155" t="s">
        <v>3702</v>
      </c>
      <c r="F21" s="158" t="s">
        <v>3653</v>
      </c>
      <c r="G21" s="161" t="str">
        <f>IF(COUNTIF(H21:AU21,"&lt;&gt;")=0,"",SUMPRODUCT(((Recommendations[ImplStatus]="Implemented")+(Recommendations[ImplStatus]="Compensated"))*ISNUMBER(MATCH(Recommendations[Id],H21:AU21,0)))/COUNTIF(H21:AU21,"&lt;&gt;"))</f>
        <v/>
      </c>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78"/>
    </row>
    <row r="22" spans="1:47" ht="60" customHeight="1" x14ac:dyDescent="0.35">
      <c r="A22" s="174" t="s">
        <v>3640</v>
      </c>
      <c r="B22" s="148" t="s">
        <v>3685</v>
      </c>
      <c r="C22" s="149" t="s">
        <v>3703</v>
      </c>
      <c r="D22" s="152" t="s">
        <v>3704</v>
      </c>
      <c r="E22" s="155" t="s">
        <v>3705</v>
      </c>
      <c r="F22" s="158" t="s">
        <v>3649</v>
      </c>
      <c r="G22" s="161" t="str">
        <f>IF(COUNTIF(H22:AU22,"&lt;&gt;")=0,"",SUMPRODUCT(((Recommendations[ImplStatus]="Implemented")+(Recommendations[ImplStatus]="Compensated"))*ISNUMBER(MATCH(Recommendations[Id],H22:AU22,0)))/COUNTIF(H22:AU22,"&lt;&gt;"))</f>
        <v/>
      </c>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78"/>
    </row>
    <row r="23" spans="1:47" ht="60" customHeight="1" x14ac:dyDescent="0.35">
      <c r="A23" s="174" t="s">
        <v>3640</v>
      </c>
      <c r="B23" s="148" t="s">
        <v>3685</v>
      </c>
      <c r="C23" s="149" t="s">
        <v>3706</v>
      </c>
      <c r="D23" s="152" t="s">
        <v>3707</v>
      </c>
      <c r="E23" s="155" t="s">
        <v>3708</v>
      </c>
      <c r="F23" s="158" t="s">
        <v>3649</v>
      </c>
      <c r="G23" s="161" t="str">
        <f>IF(COUNTIF(H23:AU23,"&lt;&gt;")=0,"",SUMPRODUCT(((Recommendations[ImplStatus]="Implemented")+(Recommendations[ImplStatus]="Compensated"))*ISNUMBER(MATCH(Recommendations[Id],H23:AU23,0)))/COUNTIF(H23:AU23,"&lt;&gt;"))</f>
        <v/>
      </c>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78"/>
    </row>
    <row r="24" spans="1:47" ht="60" customHeight="1" outlineLevel="1" x14ac:dyDescent="0.35">
      <c r="A24" s="173" t="s">
        <v>3640</v>
      </c>
      <c r="B24" s="147" t="s">
        <v>3709</v>
      </c>
      <c r="C24" s="145" t="s">
        <v>3710</v>
      </c>
      <c r="D24" s="151" t="s">
        <v>3711</v>
      </c>
      <c r="E24" s="154" t="s">
        <v>20</v>
      </c>
      <c r="F24" s="157" t="s">
        <v>20</v>
      </c>
      <c r="G24" s="160" t="str">
        <f>IF(COUNTIF(H24:AU24,"&lt;&gt;")=0,"",SUMPRODUCT(((Recommendations[ImplStatus]="Implemented")+(Recommendations[ImplStatus]="Compensated"))*ISNUMBER(MATCH(Recommendations[Id],H24:AU24,0)))/COUNTIF(H24:AU24,"&lt;&gt;"))</f>
        <v/>
      </c>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77"/>
    </row>
    <row r="25" spans="1:47" ht="60" customHeight="1" x14ac:dyDescent="0.35">
      <c r="A25" s="174" t="s">
        <v>3640</v>
      </c>
      <c r="B25" s="148" t="s">
        <v>3709</v>
      </c>
      <c r="C25" s="149" t="s">
        <v>3712</v>
      </c>
      <c r="D25" s="152" t="s">
        <v>3713</v>
      </c>
      <c r="E25" s="155" t="s">
        <v>3714</v>
      </c>
      <c r="F25" s="158" t="s">
        <v>3649</v>
      </c>
      <c r="G25" s="161" t="str">
        <f>IF(COUNTIF(H25:AU25,"&lt;&gt;")=0,"",SUMPRODUCT(((Recommendations[ImplStatus]="Implemented")+(Recommendations[ImplStatus]="Compensated"))*ISNUMBER(MATCH(Recommendations[Id],H25:AU25,0)))/COUNTIF(H25:AU25,"&lt;&gt;"))</f>
        <v/>
      </c>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78"/>
    </row>
    <row r="26" spans="1:47" ht="60" customHeight="1" x14ac:dyDescent="0.35">
      <c r="A26" s="174" t="s">
        <v>3640</v>
      </c>
      <c r="B26" s="148" t="s">
        <v>3709</v>
      </c>
      <c r="C26" s="149" t="s">
        <v>3715</v>
      </c>
      <c r="D26" s="152" t="s">
        <v>3716</v>
      </c>
      <c r="E26" s="155" t="s">
        <v>3717</v>
      </c>
      <c r="F26" s="158" t="s">
        <v>3649</v>
      </c>
      <c r="G26" s="161" t="str">
        <f>IF(COUNTIF(H26:AU26,"&lt;&gt;")=0,"",SUMPRODUCT(((Recommendations[ImplStatus]="Implemented")+(Recommendations[ImplStatus]="Compensated"))*ISNUMBER(MATCH(Recommendations[Id],H26:AU26,0)))/COUNTIF(H26:AU26,"&lt;&gt;"))</f>
        <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78"/>
    </row>
    <row r="27" spans="1:47" ht="60" customHeight="1" x14ac:dyDescent="0.35">
      <c r="A27" s="174" t="s">
        <v>3640</v>
      </c>
      <c r="B27" s="148" t="s">
        <v>3709</v>
      </c>
      <c r="C27" s="149" t="s">
        <v>3718</v>
      </c>
      <c r="D27" s="152" t="s">
        <v>3719</v>
      </c>
      <c r="E27" s="155" t="s">
        <v>3720</v>
      </c>
      <c r="F27" s="158" t="s">
        <v>3653</v>
      </c>
      <c r="G27" s="161" t="str">
        <f>IF(COUNTIF(H27:AU27,"&lt;&gt;")=0,"",SUMPRODUCT(((Recommendations[ImplStatus]="Implemented")+(Recommendations[ImplStatus]="Compensated"))*ISNUMBER(MATCH(Recommendations[Id],H27:AU27,0)))/COUNTIF(H27:AU27,"&lt;&gt;"))</f>
        <v/>
      </c>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78"/>
    </row>
    <row r="28" spans="1:47" ht="60" customHeight="1" x14ac:dyDescent="0.35">
      <c r="A28" s="174" t="s">
        <v>3640</v>
      </c>
      <c r="B28" s="148" t="s">
        <v>3709</v>
      </c>
      <c r="C28" s="149" t="s">
        <v>3721</v>
      </c>
      <c r="D28" s="152" t="s">
        <v>3722</v>
      </c>
      <c r="E28" s="155" t="s">
        <v>3723</v>
      </c>
      <c r="F28" s="158" t="s">
        <v>3649</v>
      </c>
      <c r="G28" s="161" t="str">
        <f>IF(COUNTIF(H28:AU28,"&lt;&gt;")=0,"",SUMPRODUCT(((Recommendations[ImplStatus]="Implemented")+(Recommendations[ImplStatus]="Compensated"))*ISNUMBER(MATCH(Recommendations[Id],H28:AU28,0)))/COUNTIF(H28:AU28,"&lt;&gt;"))</f>
        <v/>
      </c>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78"/>
    </row>
    <row r="29" spans="1:47" ht="60" customHeight="1" outlineLevel="1" x14ac:dyDescent="0.35">
      <c r="A29" s="173" t="s">
        <v>3640</v>
      </c>
      <c r="B29" s="147" t="s">
        <v>3724</v>
      </c>
      <c r="C29" s="145" t="s">
        <v>3725</v>
      </c>
      <c r="D29" s="151" t="s">
        <v>3726</v>
      </c>
      <c r="E29" s="154" t="s">
        <v>20</v>
      </c>
      <c r="F29" s="157" t="s">
        <v>20</v>
      </c>
      <c r="G29" s="160" t="str">
        <f>IF(COUNTIF(H29:AU29,"&lt;&gt;")=0,"",SUMPRODUCT(((Recommendations[ImplStatus]="Implemented")+(Recommendations[ImplStatus]="Compensated"))*ISNUMBER(MATCH(Recommendations[Id],H29:AU29,0)))/COUNTIF(H29:AU29,"&lt;&gt;"))</f>
        <v/>
      </c>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77"/>
    </row>
    <row r="30" spans="1:47" ht="60" customHeight="1" x14ac:dyDescent="0.35">
      <c r="A30" s="174" t="s">
        <v>3640</v>
      </c>
      <c r="B30" s="148" t="s">
        <v>3724</v>
      </c>
      <c r="C30" s="149" t="s">
        <v>3727</v>
      </c>
      <c r="D30" s="152" t="s">
        <v>3728</v>
      </c>
      <c r="E30" s="155" t="s">
        <v>3729</v>
      </c>
      <c r="F30" s="158" t="s">
        <v>3663</v>
      </c>
      <c r="G30" s="161" t="str">
        <f>IF(COUNTIF(H30:AU30,"&lt;&gt;")=0,"",SUMPRODUCT(((Recommendations[ImplStatus]="Implemented")+(Recommendations[ImplStatus]="Compensated"))*ISNUMBER(MATCH(Recommendations[Id],H30:AU30,0)))/COUNTIF(H30:AU30,"&lt;&gt;"))</f>
        <v/>
      </c>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78"/>
    </row>
    <row r="31" spans="1:47" ht="60" customHeight="1" x14ac:dyDescent="0.35">
      <c r="A31" s="174" t="s">
        <v>3640</v>
      </c>
      <c r="B31" s="148" t="s">
        <v>3724</v>
      </c>
      <c r="C31" s="149" t="s">
        <v>3730</v>
      </c>
      <c r="D31" s="152" t="s">
        <v>3731</v>
      </c>
      <c r="E31" s="155" t="s">
        <v>3732</v>
      </c>
      <c r="F31" s="158" t="s">
        <v>3663</v>
      </c>
      <c r="G31" s="161" t="str">
        <f>IF(COUNTIF(H31:AU31,"&lt;&gt;")=0,"",SUMPRODUCT(((Recommendations[ImplStatus]="Implemented")+(Recommendations[ImplStatus]="Compensated"))*ISNUMBER(MATCH(Recommendations[Id],H31:AU31,0)))/COUNTIF(H31:AU31,"&lt;&gt;"))</f>
        <v/>
      </c>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78"/>
    </row>
    <row r="32" spans="1:47" ht="60" customHeight="1" x14ac:dyDescent="0.35">
      <c r="A32" s="174" t="s">
        <v>3640</v>
      </c>
      <c r="B32" s="148" t="s">
        <v>3724</v>
      </c>
      <c r="C32" s="149" t="s">
        <v>3733</v>
      </c>
      <c r="D32" s="152" t="s">
        <v>3734</v>
      </c>
      <c r="E32" s="155" t="s">
        <v>3735</v>
      </c>
      <c r="F32" s="158" t="s">
        <v>3663</v>
      </c>
      <c r="G32" s="161" t="str">
        <f>IF(COUNTIF(H32:AU32,"&lt;&gt;")=0,"",SUMPRODUCT(((Recommendations[ImplStatus]="Implemented")+(Recommendations[ImplStatus]="Compensated"))*ISNUMBER(MATCH(Recommendations[Id],H32:AU32,0)))/COUNTIF(H32:AU32,"&lt;&gt;"))</f>
        <v/>
      </c>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78"/>
    </row>
    <row r="33" spans="1:47" ht="60" customHeight="1" x14ac:dyDescent="0.35">
      <c r="A33" s="174" t="s">
        <v>3640</v>
      </c>
      <c r="B33" s="148" t="s">
        <v>3724</v>
      </c>
      <c r="C33" s="149" t="s">
        <v>3736</v>
      </c>
      <c r="D33" s="152" t="s">
        <v>3737</v>
      </c>
      <c r="E33" s="155" t="s">
        <v>3738</v>
      </c>
      <c r="F33" s="158" t="s">
        <v>3663</v>
      </c>
      <c r="G33" s="161" t="str">
        <f>IF(COUNTIF(H33:AU33,"&lt;&gt;")=0,"",SUMPRODUCT(((Recommendations[ImplStatus]="Implemented")+(Recommendations[ImplStatus]="Compensated"))*ISNUMBER(MATCH(Recommendations[Id],H33:AU33,0)))/COUNTIF(H33:AU33,"&lt;&gt;"))</f>
        <v/>
      </c>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78"/>
    </row>
    <row r="34" spans="1:47" ht="60" customHeight="1" x14ac:dyDescent="0.35">
      <c r="A34" s="174" t="s">
        <v>3640</v>
      </c>
      <c r="B34" s="148" t="s">
        <v>3724</v>
      </c>
      <c r="C34" s="149" t="s">
        <v>3739</v>
      </c>
      <c r="D34" s="152" t="s">
        <v>3740</v>
      </c>
      <c r="E34" s="155" t="s">
        <v>3741</v>
      </c>
      <c r="F34" s="158" t="s">
        <v>3663</v>
      </c>
      <c r="G34" s="161" t="str">
        <f>IF(COUNTIF(H34:AU34,"&lt;&gt;")=0,"",SUMPRODUCT(((Recommendations[ImplStatus]="Implemented")+(Recommendations[ImplStatus]="Compensated"))*ISNUMBER(MATCH(Recommendations[Id],H34:AU34,0)))/COUNTIF(H34:AU34,"&lt;&gt;"))</f>
        <v/>
      </c>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78"/>
    </row>
    <row r="35" spans="1:47" ht="60" customHeight="1" x14ac:dyDescent="0.35">
      <c r="A35" s="174" t="s">
        <v>3640</v>
      </c>
      <c r="B35" s="148" t="s">
        <v>3724</v>
      </c>
      <c r="C35" s="149" t="s">
        <v>3742</v>
      </c>
      <c r="D35" s="152" t="s">
        <v>3743</v>
      </c>
      <c r="E35" s="155" t="s">
        <v>3744</v>
      </c>
      <c r="F35" s="158" t="s">
        <v>3663</v>
      </c>
      <c r="G35" s="161" t="str">
        <f>IF(COUNTIF(H35:AU35,"&lt;&gt;")=0,"",SUMPRODUCT(((Recommendations[ImplStatus]="Implemented")+(Recommendations[ImplStatus]="Compensated"))*ISNUMBER(MATCH(Recommendations[Id],H35:AU35,0)))/COUNTIF(H35:AU35,"&lt;&gt;"))</f>
        <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78"/>
    </row>
    <row r="36" spans="1:47" ht="60" customHeight="1" x14ac:dyDescent="0.35">
      <c r="A36" s="174" t="s">
        <v>3640</v>
      </c>
      <c r="B36" s="148" t="s">
        <v>3724</v>
      </c>
      <c r="C36" s="149" t="s">
        <v>3745</v>
      </c>
      <c r="D36" s="152" t="s">
        <v>3746</v>
      </c>
      <c r="E36" s="155" t="s">
        <v>3747</v>
      </c>
      <c r="F36" s="158" t="s">
        <v>3663</v>
      </c>
      <c r="G36" s="161" t="str">
        <f>IF(COUNTIF(H36:AU36,"&lt;&gt;")=0,"",SUMPRODUCT(((Recommendations[ImplStatus]="Implemented")+(Recommendations[ImplStatus]="Compensated"))*ISNUMBER(MATCH(Recommendations[Id],H36:AU36,0)))/COUNTIF(H36:AU36,"&lt;&gt;"))</f>
        <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78"/>
    </row>
    <row r="37" spans="1:47" ht="60" customHeight="1" x14ac:dyDescent="0.35">
      <c r="A37" s="174" t="s">
        <v>3640</v>
      </c>
      <c r="B37" s="148" t="s">
        <v>3724</v>
      </c>
      <c r="C37" s="149" t="s">
        <v>3748</v>
      </c>
      <c r="D37" s="152" t="s">
        <v>3749</v>
      </c>
      <c r="E37" s="155" t="s">
        <v>3750</v>
      </c>
      <c r="F37" s="158" t="s">
        <v>3663</v>
      </c>
      <c r="G37" s="161" t="str">
        <f>IF(COUNTIF(H37:AU37,"&lt;&gt;")=0,"",SUMPRODUCT(((Recommendations[ImplStatus]="Implemented")+(Recommendations[ImplStatus]="Compensated"))*ISNUMBER(MATCH(Recommendations[Id],H37:AU37,0)))/COUNTIF(H37:AU37,"&lt;&gt;"))</f>
        <v/>
      </c>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78"/>
    </row>
    <row r="38" spans="1:47" ht="60" customHeight="1" x14ac:dyDescent="0.35">
      <c r="A38" s="174" t="s">
        <v>3640</v>
      </c>
      <c r="B38" s="148" t="s">
        <v>3724</v>
      </c>
      <c r="C38" s="149" t="s">
        <v>3751</v>
      </c>
      <c r="D38" s="152" t="s">
        <v>3752</v>
      </c>
      <c r="E38" s="155" t="s">
        <v>3753</v>
      </c>
      <c r="F38" s="158" t="s">
        <v>3663</v>
      </c>
      <c r="G38" s="161" t="str">
        <f>IF(COUNTIF(H38:AU38,"&lt;&gt;")=0,"",SUMPRODUCT(((Recommendations[ImplStatus]="Implemented")+(Recommendations[ImplStatus]="Compensated"))*ISNUMBER(MATCH(Recommendations[Id],H38:AU38,0)))/COUNTIF(H38:AU38,"&lt;&gt;"))</f>
        <v/>
      </c>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78"/>
    </row>
    <row r="39" spans="1:47" ht="60" customHeight="1" x14ac:dyDescent="0.35">
      <c r="A39" s="174" t="s">
        <v>3640</v>
      </c>
      <c r="B39" s="148" t="s">
        <v>3724</v>
      </c>
      <c r="C39" s="149" t="s">
        <v>3754</v>
      </c>
      <c r="D39" s="152" t="s">
        <v>3755</v>
      </c>
      <c r="E39" s="155" t="s">
        <v>3756</v>
      </c>
      <c r="F39" s="158" t="s">
        <v>3663</v>
      </c>
      <c r="G39" s="161" t="str">
        <f>IF(COUNTIF(H39:AU39,"&lt;&gt;")=0,"",SUMPRODUCT(((Recommendations[ImplStatus]="Implemented")+(Recommendations[ImplStatus]="Compensated"))*ISNUMBER(MATCH(Recommendations[Id],H39:AU39,0)))/COUNTIF(H39:AU39,"&lt;&gt;"))</f>
        <v/>
      </c>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78"/>
    </row>
    <row r="40" spans="1:47" ht="60" customHeight="1" outlineLevel="1" x14ac:dyDescent="0.35">
      <c r="A40" s="172" t="s">
        <v>3757</v>
      </c>
      <c r="B40" s="146" t="s">
        <v>20</v>
      </c>
      <c r="C40" s="144" t="s">
        <v>3758</v>
      </c>
      <c r="D40" s="150" t="s">
        <v>3759</v>
      </c>
      <c r="E40" s="153" t="s">
        <v>20</v>
      </c>
      <c r="F40" s="156" t="s">
        <v>20</v>
      </c>
      <c r="G40" s="159" t="str">
        <f>IF(COUNTIF(H40:AU40,"&lt;&gt;")=0,"",SUMPRODUCT(((Recommendations[ImplStatus]="Implemented")+(Recommendations[ImplStatus]="Compensated"))*ISNUMBER(MATCH(Recommendations[Id],H40:AU40,0)))/COUNTIF(H40:AU40,"&lt;&gt;"))</f>
        <v/>
      </c>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76"/>
    </row>
    <row r="41" spans="1:47" ht="60" customHeight="1" outlineLevel="1" x14ac:dyDescent="0.35">
      <c r="A41" s="173" t="s">
        <v>3757</v>
      </c>
      <c r="B41" s="147" t="s">
        <v>3760</v>
      </c>
      <c r="C41" s="145" t="s">
        <v>3761</v>
      </c>
      <c r="D41" s="151" t="s">
        <v>3762</v>
      </c>
      <c r="E41" s="154" t="s">
        <v>20</v>
      </c>
      <c r="F41" s="157" t="s">
        <v>20</v>
      </c>
      <c r="G41" s="160" t="str">
        <f>IF(COUNTIF(H41:AU41,"&lt;&gt;")=0,"",SUMPRODUCT(((Recommendations[ImplStatus]="Implemented")+(Recommendations[ImplStatus]="Compensated"))*ISNUMBER(MATCH(Recommendations[Id],H41:AU41,0)))/COUNTIF(H41:AU41,"&lt;&gt;"))</f>
        <v/>
      </c>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77"/>
    </row>
    <row r="42" spans="1:47" ht="60" customHeight="1" x14ac:dyDescent="0.35">
      <c r="A42" s="174" t="s">
        <v>3757</v>
      </c>
      <c r="B42" s="148" t="s">
        <v>3760</v>
      </c>
      <c r="C42" s="149" t="s">
        <v>3763</v>
      </c>
      <c r="D42" s="152" t="s">
        <v>3764</v>
      </c>
      <c r="E42" s="155" t="s">
        <v>3765</v>
      </c>
      <c r="F42" s="158" t="s">
        <v>3649</v>
      </c>
      <c r="G42" s="161" t="str">
        <f>IF(COUNTIF(H42:AU42,"&lt;&gt;")=0,"",SUMPRODUCT(((Recommendations[ImplStatus]="Implemented")+(Recommendations[ImplStatus]="Compensated"))*ISNUMBER(MATCH(Recommendations[Id],H42:AU42,0)))/COUNTIF(H42:AU42,"&lt;&gt;"))</f>
        <v/>
      </c>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78"/>
    </row>
    <row r="43" spans="1:47" ht="60" customHeight="1" x14ac:dyDescent="0.35">
      <c r="A43" s="174" t="s">
        <v>3757</v>
      </c>
      <c r="B43" s="148" t="s">
        <v>3760</v>
      </c>
      <c r="C43" s="149" t="s">
        <v>3766</v>
      </c>
      <c r="D43" s="152" t="s">
        <v>3767</v>
      </c>
      <c r="E43" s="155" t="s">
        <v>3768</v>
      </c>
      <c r="F43" s="158" t="s">
        <v>3649</v>
      </c>
      <c r="G43" s="161" t="str">
        <f>IF(COUNTIF(H43:AU43,"&lt;&gt;")=0,"",SUMPRODUCT(((Recommendations[ImplStatus]="Implemented")+(Recommendations[ImplStatus]="Compensated"))*ISNUMBER(MATCH(Recommendations[Id],H43:AU43,0)))/COUNTIF(H43:AU43,"&lt;&gt;"))</f>
        <v/>
      </c>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78"/>
    </row>
    <row r="44" spans="1:47" ht="60" customHeight="1" x14ac:dyDescent="0.35">
      <c r="A44" s="174" t="s">
        <v>3757</v>
      </c>
      <c r="B44" s="148" t="s">
        <v>3760</v>
      </c>
      <c r="C44" s="149" t="s">
        <v>3769</v>
      </c>
      <c r="D44" s="152" t="s">
        <v>3770</v>
      </c>
      <c r="E44" s="155" t="s">
        <v>3771</v>
      </c>
      <c r="F44" s="158" t="s">
        <v>3653</v>
      </c>
      <c r="G44" s="161" t="str">
        <f>IF(COUNTIF(H44:AU44,"&lt;&gt;")=0,"",SUMPRODUCT(((Recommendations[ImplStatus]="Implemented")+(Recommendations[ImplStatus]="Compensated"))*ISNUMBER(MATCH(Recommendations[Id],H44:AU44,0)))/COUNTIF(H44:AU44,"&lt;&gt;"))</f>
        <v/>
      </c>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78"/>
    </row>
    <row r="45" spans="1:47" ht="60" customHeight="1" x14ac:dyDescent="0.35">
      <c r="A45" s="174" t="s">
        <v>3757</v>
      </c>
      <c r="B45" s="148" t="s">
        <v>3760</v>
      </c>
      <c r="C45" s="149" t="s">
        <v>3772</v>
      </c>
      <c r="D45" s="152" t="s">
        <v>3773</v>
      </c>
      <c r="E45" s="155" t="s">
        <v>3774</v>
      </c>
      <c r="F45" s="158" t="s">
        <v>3663</v>
      </c>
      <c r="G45" s="161" t="str">
        <f>IF(COUNTIF(H45:AU45,"&lt;&gt;")=0,"",SUMPRODUCT(((Recommendations[ImplStatus]="Implemented")+(Recommendations[ImplStatus]="Compensated"))*ISNUMBER(MATCH(Recommendations[Id],H45:AU45,0)))/COUNTIF(H45:AU45,"&lt;&gt;"))</f>
        <v/>
      </c>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78"/>
    </row>
    <row r="46" spans="1:47" ht="60" customHeight="1" x14ac:dyDescent="0.35">
      <c r="A46" s="174" t="s">
        <v>3757</v>
      </c>
      <c r="B46" s="148" t="s">
        <v>3760</v>
      </c>
      <c r="C46" s="149" t="s">
        <v>3775</v>
      </c>
      <c r="D46" s="152" t="s">
        <v>3776</v>
      </c>
      <c r="E46" s="155" t="s">
        <v>3777</v>
      </c>
      <c r="F46" s="158" t="s">
        <v>3649</v>
      </c>
      <c r="G46" s="161" t="str">
        <f>IF(COUNTIF(H46:AU46,"&lt;&gt;")=0,"",SUMPRODUCT(((Recommendations[ImplStatus]="Implemented")+(Recommendations[ImplStatus]="Compensated"))*ISNUMBER(MATCH(Recommendations[Id],H46:AU46,0)))/COUNTIF(H46:AU46,"&lt;&gt;"))</f>
        <v/>
      </c>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78"/>
    </row>
    <row r="47" spans="1:47" ht="60" customHeight="1" x14ac:dyDescent="0.35">
      <c r="A47" s="174" t="s">
        <v>3757</v>
      </c>
      <c r="B47" s="148" t="s">
        <v>3760</v>
      </c>
      <c r="C47" s="149" t="s">
        <v>3778</v>
      </c>
      <c r="D47" s="152" t="s">
        <v>3779</v>
      </c>
      <c r="E47" s="155"/>
      <c r="F47" s="158" t="s">
        <v>20</v>
      </c>
      <c r="G47" s="161" t="str">
        <f>IF(COUNTIF(H47:AU47,"&lt;&gt;")=0,"",SUMPRODUCT(((Recommendations[ImplStatus]="Implemented")+(Recommendations[ImplStatus]="Compensated"))*ISNUMBER(MATCH(Recommendations[Id],H47:AU47,0)))/COUNTIF(H47:AU47,"&lt;&gt;"))</f>
        <v/>
      </c>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78"/>
    </row>
    <row r="48" spans="1:47" ht="60" customHeight="1" x14ac:dyDescent="0.35">
      <c r="A48" s="174" t="s">
        <v>3757</v>
      </c>
      <c r="B48" s="148" t="s">
        <v>3760</v>
      </c>
      <c r="C48" s="149" t="s">
        <v>3780</v>
      </c>
      <c r="D48" s="152" t="s">
        <v>3781</v>
      </c>
      <c r="E48" s="155" t="s">
        <v>3782</v>
      </c>
      <c r="F48" s="158" t="s">
        <v>3649</v>
      </c>
      <c r="G48" s="161" t="str">
        <f>IF(COUNTIF(H48:AU48,"&lt;&gt;")=0,"",SUMPRODUCT(((Recommendations[ImplStatus]="Implemented")+(Recommendations[ImplStatus]="Compensated"))*ISNUMBER(MATCH(Recommendations[Id],H48:AU48,0)))/COUNTIF(H48:AU48,"&lt;&gt;"))</f>
        <v/>
      </c>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78"/>
    </row>
    <row r="49" spans="1:47" ht="60" customHeight="1" x14ac:dyDescent="0.35">
      <c r="A49" s="174" t="s">
        <v>3757</v>
      </c>
      <c r="B49" s="148" t="s">
        <v>3760</v>
      </c>
      <c r="C49" s="149" t="s">
        <v>3783</v>
      </c>
      <c r="D49" s="152" t="s">
        <v>3784</v>
      </c>
      <c r="E49" s="155" t="s">
        <v>3785</v>
      </c>
      <c r="F49" s="158" t="s">
        <v>3653</v>
      </c>
      <c r="G49" s="161" t="str">
        <f>IF(COUNTIF(H49:AU49,"&lt;&gt;")=0,"",SUMPRODUCT(((Recommendations[ImplStatus]="Implemented")+(Recommendations[ImplStatus]="Compensated"))*ISNUMBER(MATCH(Recommendations[Id],H49:AU49,0)))/COUNTIF(H49:AU49,"&lt;&gt;"))</f>
        <v/>
      </c>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78"/>
    </row>
    <row r="50" spans="1:47" ht="60" customHeight="1" outlineLevel="1" x14ac:dyDescent="0.35">
      <c r="A50" s="173" t="s">
        <v>3757</v>
      </c>
      <c r="B50" s="147" t="s">
        <v>3786</v>
      </c>
      <c r="C50" s="145" t="s">
        <v>3787</v>
      </c>
      <c r="D50" s="151"/>
      <c r="E50" s="154" t="s">
        <v>20</v>
      </c>
      <c r="F50" s="157" t="s">
        <v>20</v>
      </c>
      <c r="G50" s="160" t="str">
        <f>IF(COUNTIF(H50:AU50,"&lt;&gt;")=0,"",SUMPRODUCT(((Recommendations[ImplStatus]="Implemented")+(Recommendations[ImplStatus]="Compensated"))*ISNUMBER(MATCH(Recommendations[Id],H50:AU50,0)))/COUNTIF(H50:AU50,"&lt;&gt;"))</f>
        <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77"/>
    </row>
    <row r="51" spans="1:47" ht="60" customHeight="1" x14ac:dyDescent="0.35">
      <c r="A51" s="174" t="s">
        <v>3757</v>
      </c>
      <c r="B51" s="148" t="s">
        <v>3786</v>
      </c>
      <c r="C51" s="149" t="s">
        <v>3788</v>
      </c>
      <c r="D51" s="152" t="s">
        <v>3789</v>
      </c>
      <c r="E51" s="155"/>
      <c r="F51" s="158" t="s">
        <v>20</v>
      </c>
      <c r="G51" s="161" t="str">
        <f>IF(COUNTIF(H51:AU51,"&lt;&gt;")=0,"",SUMPRODUCT(((Recommendations[ImplStatus]="Implemented")+(Recommendations[ImplStatus]="Compensated"))*ISNUMBER(MATCH(Recommendations[Id],H51:AU51,0)))/COUNTIF(H51:AU51,"&lt;&gt;"))</f>
        <v/>
      </c>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78"/>
    </row>
    <row r="52" spans="1:47" ht="60" customHeight="1" x14ac:dyDescent="0.35">
      <c r="A52" s="174" t="s">
        <v>3757</v>
      </c>
      <c r="B52" s="148" t="s">
        <v>3786</v>
      </c>
      <c r="C52" s="149" t="s">
        <v>3790</v>
      </c>
      <c r="D52" s="152" t="s">
        <v>3791</v>
      </c>
      <c r="E52" s="155"/>
      <c r="F52" s="158" t="s">
        <v>20</v>
      </c>
      <c r="G52" s="161" t="str">
        <f>IF(COUNTIF(H52:AU52,"&lt;&gt;")=0,"",SUMPRODUCT(((Recommendations[ImplStatus]="Implemented")+(Recommendations[ImplStatus]="Compensated"))*ISNUMBER(MATCH(Recommendations[Id],H52:AU52,0)))/COUNTIF(H52:AU52,"&lt;&gt;"))</f>
        <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78"/>
    </row>
    <row r="53" spans="1:47" ht="60" customHeight="1" x14ac:dyDescent="0.35">
      <c r="A53" s="174" t="s">
        <v>3757</v>
      </c>
      <c r="B53" s="148" t="s">
        <v>3786</v>
      </c>
      <c r="C53" s="149" t="s">
        <v>3792</v>
      </c>
      <c r="D53" s="152" t="s">
        <v>3793</v>
      </c>
      <c r="E53" s="155"/>
      <c r="F53" s="158" t="s">
        <v>20</v>
      </c>
      <c r="G53" s="161" t="str">
        <f>IF(COUNTIF(H53:AU53,"&lt;&gt;")=0,"",SUMPRODUCT(((Recommendations[ImplStatus]="Implemented")+(Recommendations[ImplStatus]="Compensated"))*ISNUMBER(MATCH(Recommendations[Id],H53:AU53,0)))/COUNTIF(H53:AU53,"&lt;&gt;"))</f>
        <v/>
      </c>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78"/>
    </row>
    <row r="54" spans="1:47" ht="60" customHeight="1" x14ac:dyDescent="0.35">
      <c r="A54" s="174" t="s">
        <v>3757</v>
      </c>
      <c r="B54" s="148" t="s">
        <v>3786</v>
      </c>
      <c r="C54" s="149" t="s">
        <v>3794</v>
      </c>
      <c r="D54" s="152" t="s">
        <v>3795</v>
      </c>
      <c r="E54" s="155"/>
      <c r="F54" s="158" t="s">
        <v>20</v>
      </c>
      <c r="G54" s="161" t="str">
        <f>IF(COUNTIF(H54:AU54,"&lt;&gt;")=0,"",SUMPRODUCT(((Recommendations[ImplStatus]="Implemented")+(Recommendations[ImplStatus]="Compensated"))*ISNUMBER(MATCH(Recommendations[Id],H54:AU54,0)))/COUNTIF(H54:AU54,"&lt;&gt;"))</f>
        <v/>
      </c>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78"/>
    </row>
    <row r="55" spans="1:47" ht="60" customHeight="1" x14ac:dyDescent="0.35">
      <c r="A55" s="174" t="s">
        <v>3757</v>
      </c>
      <c r="B55" s="148" t="s">
        <v>3786</v>
      </c>
      <c r="C55" s="149" t="s">
        <v>3796</v>
      </c>
      <c r="D55" s="152" t="s">
        <v>3797</v>
      </c>
      <c r="E55" s="155"/>
      <c r="F55" s="158" t="s">
        <v>20</v>
      </c>
      <c r="G55" s="161" t="str">
        <f>IF(COUNTIF(H55:AU55,"&lt;&gt;")=0,"",SUMPRODUCT(((Recommendations[ImplStatus]="Implemented")+(Recommendations[ImplStatus]="Compensated"))*ISNUMBER(MATCH(Recommendations[Id],H55:AU55,0)))/COUNTIF(H55:AU55,"&lt;&gt;"))</f>
        <v/>
      </c>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78"/>
    </row>
    <row r="56" spans="1:47" ht="60" customHeight="1" outlineLevel="1" x14ac:dyDescent="0.35">
      <c r="A56" s="173" t="s">
        <v>3757</v>
      </c>
      <c r="B56" s="147" t="s">
        <v>1911</v>
      </c>
      <c r="C56" s="145" t="s">
        <v>3798</v>
      </c>
      <c r="D56" s="151"/>
      <c r="E56" s="154" t="s">
        <v>20</v>
      </c>
      <c r="F56" s="157" t="s">
        <v>20</v>
      </c>
      <c r="G56" s="160" t="str">
        <f>IF(COUNTIF(H56:AU56,"&lt;&gt;")=0,"",SUMPRODUCT(((Recommendations[ImplStatus]="Implemented")+(Recommendations[ImplStatus]="Compensated"))*ISNUMBER(MATCH(Recommendations[Id],H56:AU56,0)))/COUNTIF(H56:AU56,"&lt;&gt;"))</f>
        <v/>
      </c>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77"/>
    </row>
    <row r="57" spans="1:47" ht="60" customHeight="1" x14ac:dyDescent="0.35">
      <c r="A57" s="174" t="s">
        <v>3757</v>
      </c>
      <c r="B57" s="148" t="s">
        <v>1911</v>
      </c>
      <c r="C57" s="149" t="s">
        <v>3799</v>
      </c>
      <c r="D57" s="152" t="s">
        <v>3800</v>
      </c>
      <c r="E57" s="155"/>
      <c r="F57" s="158" t="s">
        <v>20</v>
      </c>
      <c r="G57" s="161" t="str">
        <f>IF(COUNTIF(H57:AU57,"&lt;&gt;")=0,"",SUMPRODUCT(((Recommendations[ImplStatus]="Implemented")+(Recommendations[ImplStatus]="Compensated"))*ISNUMBER(MATCH(Recommendations[Id],H57:AU57,0)))/COUNTIF(H57:AU57,"&lt;&gt;"))</f>
        <v/>
      </c>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78"/>
    </row>
    <row r="58" spans="1:47" ht="60" customHeight="1" x14ac:dyDescent="0.35">
      <c r="A58" s="174" t="s">
        <v>3757</v>
      </c>
      <c r="B58" s="148" t="s">
        <v>1911</v>
      </c>
      <c r="C58" s="149" t="s">
        <v>3801</v>
      </c>
      <c r="D58" s="152" t="s">
        <v>3802</v>
      </c>
      <c r="E58" s="155"/>
      <c r="F58" s="158" t="s">
        <v>20</v>
      </c>
      <c r="G58" s="161" t="str">
        <f>IF(COUNTIF(H58:AU58,"&lt;&gt;")=0,"",SUMPRODUCT(((Recommendations[ImplStatus]="Implemented")+(Recommendations[ImplStatus]="Compensated"))*ISNUMBER(MATCH(Recommendations[Id],H58:AU58,0)))/COUNTIF(H58:AU58,"&lt;&gt;"))</f>
        <v/>
      </c>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78"/>
    </row>
    <row r="59" spans="1:47" ht="60" customHeight="1" x14ac:dyDescent="0.35">
      <c r="A59" s="174" t="s">
        <v>3757</v>
      </c>
      <c r="B59" s="148" t="s">
        <v>1911</v>
      </c>
      <c r="C59" s="149" t="s">
        <v>3803</v>
      </c>
      <c r="D59" s="152" t="s">
        <v>3804</v>
      </c>
      <c r="E59" s="155"/>
      <c r="F59" s="158" t="s">
        <v>20</v>
      </c>
      <c r="G59" s="161" t="str">
        <f>IF(COUNTIF(H59:AU59,"&lt;&gt;")=0,"",SUMPRODUCT(((Recommendations[ImplStatus]="Implemented")+(Recommendations[ImplStatus]="Compensated"))*ISNUMBER(MATCH(Recommendations[Id],H59:AU59,0)))/COUNTIF(H59:AU59,"&lt;&gt;"))</f>
        <v/>
      </c>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78"/>
    </row>
    <row r="60" spans="1:47" ht="60" customHeight="1" x14ac:dyDescent="0.35">
      <c r="A60" s="174" t="s">
        <v>3757</v>
      </c>
      <c r="B60" s="148" t="s">
        <v>1911</v>
      </c>
      <c r="C60" s="149" t="s">
        <v>3805</v>
      </c>
      <c r="D60" s="152" t="s">
        <v>3806</v>
      </c>
      <c r="E60" s="155"/>
      <c r="F60" s="158" t="s">
        <v>20</v>
      </c>
      <c r="G60" s="161" t="str">
        <f>IF(COUNTIF(H60:AU60,"&lt;&gt;")=0,"",SUMPRODUCT(((Recommendations[ImplStatus]="Implemented")+(Recommendations[ImplStatus]="Compensated"))*ISNUMBER(MATCH(Recommendations[Id],H60:AU60,0)))/COUNTIF(H60:AU60,"&lt;&gt;"))</f>
        <v/>
      </c>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78"/>
    </row>
    <row r="61" spans="1:47" ht="60" customHeight="1" outlineLevel="1" x14ac:dyDescent="0.35">
      <c r="A61" s="173" t="s">
        <v>3757</v>
      </c>
      <c r="B61" s="147" t="s">
        <v>3807</v>
      </c>
      <c r="C61" s="145" t="s">
        <v>3808</v>
      </c>
      <c r="D61" s="151" t="s">
        <v>3809</v>
      </c>
      <c r="E61" s="154" t="s">
        <v>20</v>
      </c>
      <c r="F61" s="157" t="s">
        <v>20</v>
      </c>
      <c r="G61" s="160" t="str">
        <f>IF(COUNTIF(H61:AU61,"&lt;&gt;")=0,"",SUMPRODUCT(((Recommendations[ImplStatus]="Implemented")+(Recommendations[ImplStatus]="Compensated"))*ISNUMBER(MATCH(Recommendations[Id],H61:AU61,0)))/COUNTIF(H61:AU61,"&lt;&gt;"))</f>
        <v/>
      </c>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77"/>
    </row>
    <row r="62" spans="1:47" ht="60" customHeight="1" x14ac:dyDescent="0.35">
      <c r="A62" s="174" t="s">
        <v>3757</v>
      </c>
      <c r="B62" s="148" t="s">
        <v>3807</v>
      </c>
      <c r="C62" s="149" t="s">
        <v>3810</v>
      </c>
      <c r="D62" s="152" t="s">
        <v>3811</v>
      </c>
      <c r="E62" s="155" t="s">
        <v>3812</v>
      </c>
      <c r="F62" s="158" t="s">
        <v>3649</v>
      </c>
      <c r="G62" s="161" t="str">
        <f>IF(COUNTIF(H62:AU62,"&lt;&gt;")=0,"",SUMPRODUCT(((Recommendations[ImplStatus]="Implemented")+(Recommendations[ImplStatus]="Compensated"))*ISNUMBER(MATCH(Recommendations[Id],H62:AU62,0)))/COUNTIF(H62:AU62,"&lt;&gt;"))</f>
        <v/>
      </c>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78"/>
    </row>
    <row r="63" spans="1:47" ht="60" customHeight="1" x14ac:dyDescent="0.35">
      <c r="A63" s="174" t="s">
        <v>3757</v>
      </c>
      <c r="B63" s="148" t="s">
        <v>3807</v>
      </c>
      <c r="C63" s="149" t="s">
        <v>3813</v>
      </c>
      <c r="D63" s="152" t="s">
        <v>3814</v>
      </c>
      <c r="E63" s="155" t="s">
        <v>3815</v>
      </c>
      <c r="F63" s="158" t="s">
        <v>3653</v>
      </c>
      <c r="G63" s="161" t="str">
        <f>IF(COUNTIF(H63:AU63,"&lt;&gt;")=0,"",SUMPRODUCT(((Recommendations[ImplStatus]="Implemented")+(Recommendations[ImplStatus]="Compensated"))*ISNUMBER(MATCH(Recommendations[Id],H63:AU63,0)))/COUNTIF(H63:AU63,"&lt;&gt;"))</f>
        <v/>
      </c>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78"/>
    </row>
    <row r="64" spans="1:47" ht="60" customHeight="1" x14ac:dyDescent="0.35">
      <c r="A64" s="174" t="s">
        <v>3757</v>
      </c>
      <c r="B64" s="148" t="s">
        <v>3807</v>
      </c>
      <c r="C64" s="149" t="s">
        <v>3816</v>
      </c>
      <c r="D64" s="152" t="s">
        <v>3817</v>
      </c>
      <c r="E64" s="155" t="s">
        <v>3818</v>
      </c>
      <c r="F64" s="158" t="s">
        <v>3649</v>
      </c>
      <c r="G64" s="161" t="str">
        <f>IF(COUNTIF(H64:AU64,"&lt;&gt;")=0,"",SUMPRODUCT(((Recommendations[ImplStatus]="Implemented")+(Recommendations[ImplStatus]="Compensated"))*ISNUMBER(MATCH(Recommendations[Id],H64:AU64,0)))/COUNTIF(H64:AU64,"&lt;&gt;"))</f>
        <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78"/>
    </row>
    <row r="65" spans="1:47" ht="60" customHeight="1" x14ac:dyDescent="0.35">
      <c r="A65" s="174" t="s">
        <v>3757</v>
      </c>
      <c r="B65" s="148" t="s">
        <v>3807</v>
      </c>
      <c r="C65" s="149" t="s">
        <v>3819</v>
      </c>
      <c r="D65" s="152" t="s">
        <v>3820</v>
      </c>
      <c r="E65" s="155" t="s">
        <v>3821</v>
      </c>
      <c r="F65" s="158" t="s">
        <v>3649</v>
      </c>
      <c r="G65" s="161" t="str">
        <f>IF(COUNTIF(H65:AU65,"&lt;&gt;")=0,"",SUMPRODUCT(((Recommendations[ImplStatus]="Implemented")+(Recommendations[ImplStatus]="Compensated"))*ISNUMBER(MATCH(Recommendations[Id],H65:AU65,0)))/COUNTIF(H65:AU65,"&lt;&gt;"))</f>
        <v/>
      </c>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78"/>
    </row>
    <row r="66" spans="1:47" ht="60" customHeight="1" outlineLevel="1" x14ac:dyDescent="0.35">
      <c r="A66" s="173" t="s">
        <v>3757</v>
      </c>
      <c r="B66" s="147" t="s">
        <v>3415</v>
      </c>
      <c r="C66" s="145" t="s">
        <v>3822</v>
      </c>
      <c r="D66" s="151" t="s">
        <v>3823</v>
      </c>
      <c r="E66" s="154" t="s">
        <v>20</v>
      </c>
      <c r="F66" s="157" t="s">
        <v>20</v>
      </c>
      <c r="G66" s="160" t="str">
        <f>IF(COUNTIF(H66:AU66,"&lt;&gt;")=0,"",SUMPRODUCT(((Recommendations[ImplStatus]="Implemented")+(Recommendations[ImplStatus]="Compensated"))*ISNUMBER(MATCH(Recommendations[Id],H66:AU66,0)))/COUNTIF(H66:AU66,"&lt;&gt;"))</f>
        <v/>
      </c>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77"/>
    </row>
    <row r="67" spans="1:47" ht="60" customHeight="1" x14ac:dyDescent="0.35">
      <c r="A67" s="174" t="s">
        <v>3757</v>
      </c>
      <c r="B67" s="148" t="s">
        <v>3415</v>
      </c>
      <c r="C67" s="149" t="s">
        <v>3824</v>
      </c>
      <c r="D67" s="152" t="s">
        <v>3825</v>
      </c>
      <c r="E67" s="155" t="s">
        <v>3826</v>
      </c>
      <c r="F67" s="158" t="s">
        <v>3649</v>
      </c>
      <c r="G67" s="161" t="str">
        <f>IF(COUNTIF(H67:AU67,"&lt;&gt;")=0,"",SUMPRODUCT(((Recommendations[ImplStatus]="Implemented")+(Recommendations[ImplStatus]="Compensated"))*ISNUMBER(MATCH(Recommendations[Id],H67:AU67,0)))/COUNTIF(H67:AU67,"&lt;&gt;"))</f>
        <v/>
      </c>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78"/>
    </row>
    <row r="68" spans="1:47" ht="60" customHeight="1" x14ac:dyDescent="0.35">
      <c r="A68" s="174" t="s">
        <v>3757</v>
      </c>
      <c r="B68" s="148" t="s">
        <v>3415</v>
      </c>
      <c r="C68" s="149" t="s">
        <v>3827</v>
      </c>
      <c r="D68" s="152" t="s">
        <v>3828</v>
      </c>
      <c r="E68" s="155" t="s">
        <v>3829</v>
      </c>
      <c r="F68" s="158" t="s">
        <v>3649</v>
      </c>
      <c r="G68" s="161" t="str">
        <f>IF(COUNTIF(H68:AU68,"&lt;&gt;")=0,"",SUMPRODUCT(((Recommendations[ImplStatus]="Implemented")+(Recommendations[ImplStatus]="Compensated"))*ISNUMBER(MATCH(Recommendations[Id],H68:AU68,0)))/COUNTIF(H68:AU68,"&lt;&gt;"))</f>
        <v/>
      </c>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78"/>
    </row>
    <row r="69" spans="1:47" ht="60" customHeight="1" x14ac:dyDescent="0.35">
      <c r="A69" s="174" t="s">
        <v>3757</v>
      </c>
      <c r="B69" s="148" t="s">
        <v>3415</v>
      </c>
      <c r="C69" s="149" t="s">
        <v>3830</v>
      </c>
      <c r="D69" s="152" t="s">
        <v>3831</v>
      </c>
      <c r="E69" s="155" t="s">
        <v>3832</v>
      </c>
      <c r="F69" s="158" t="s">
        <v>3653</v>
      </c>
      <c r="G69" s="161" t="str">
        <f>IF(COUNTIF(H69:AU69,"&lt;&gt;")=0,"",SUMPRODUCT(((Recommendations[ImplStatus]="Implemented")+(Recommendations[ImplStatus]="Compensated"))*ISNUMBER(MATCH(Recommendations[Id],H69:AU69,0)))/COUNTIF(H69:AU69,"&lt;&gt;"))</f>
        <v/>
      </c>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78"/>
    </row>
    <row r="70" spans="1:47" ht="60" customHeight="1" x14ac:dyDescent="0.35">
      <c r="A70" s="174" t="s">
        <v>3757</v>
      </c>
      <c r="B70" s="148" t="s">
        <v>3415</v>
      </c>
      <c r="C70" s="149" t="s">
        <v>3833</v>
      </c>
      <c r="D70" s="152" t="s">
        <v>3834</v>
      </c>
      <c r="E70" s="155" t="s">
        <v>3835</v>
      </c>
      <c r="F70" s="158" t="s">
        <v>3649</v>
      </c>
      <c r="G70" s="161" t="str">
        <f>IF(COUNTIF(H70:AU70,"&lt;&gt;")=0,"",SUMPRODUCT(((Recommendations[ImplStatus]="Implemented")+(Recommendations[ImplStatus]="Compensated"))*ISNUMBER(MATCH(Recommendations[Id],H70:AU70,0)))/COUNTIF(H70:AU70,"&lt;&gt;"))</f>
        <v/>
      </c>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78"/>
    </row>
    <row r="71" spans="1:47" ht="60" customHeight="1" x14ac:dyDescent="0.35">
      <c r="A71" s="174" t="s">
        <v>3757</v>
      </c>
      <c r="B71" s="148" t="s">
        <v>3415</v>
      </c>
      <c r="C71" s="149" t="s">
        <v>3836</v>
      </c>
      <c r="D71" s="152" t="s">
        <v>3837</v>
      </c>
      <c r="E71" s="155" t="s">
        <v>3838</v>
      </c>
      <c r="F71" s="158" t="s">
        <v>3649</v>
      </c>
      <c r="G71" s="161" t="str">
        <f>IF(COUNTIF(H71:AU71,"&lt;&gt;")=0,"",SUMPRODUCT(((Recommendations[ImplStatus]="Implemented")+(Recommendations[ImplStatus]="Compensated"))*ISNUMBER(MATCH(Recommendations[Id],H71:AU71,0)))/COUNTIF(H71:AU71,"&lt;&gt;"))</f>
        <v/>
      </c>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78"/>
    </row>
    <row r="72" spans="1:47" ht="60" customHeight="1" x14ac:dyDescent="0.35">
      <c r="A72" s="174" t="s">
        <v>3757</v>
      </c>
      <c r="B72" s="148" t="s">
        <v>3415</v>
      </c>
      <c r="C72" s="149" t="s">
        <v>3839</v>
      </c>
      <c r="D72" s="152" t="s">
        <v>3840</v>
      </c>
      <c r="E72" s="155" t="s">
        <v>3841</v>
      </c>
      <c r="F72" s="158" t="s">
        <v>3649</v>
      </c>
      <c r="G72" s="161" t="str">
        <f>IF(COUNTIF(H72:AU72,"&lt;&gt;")=0,"",SUMPRODUCT(((Recommendations[ImplStatus]="Implemented")+(Recommendations[ImplStatus]="Compensated"))*ISNUMBER(MATCH(Recommendations[Id],H72:AU72,0)))/COUNTIF(H72:AU72,"&lt;&gt;"))</f>
        <v/>
      </c>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78"/>
    </row>
    <row r="73" spans="1:47" ht="60" customHeight="1" x14ac:dyDescent="0.35">
      <c r="A73" s="174" t="s">
        <v>3757</v>
      </c>
      <c r="B73" s="148" t="s">
        <v>3415</v>
      </c>
      <c r="C73" s="149" t="s">
        <v>3842</v>
      </c>
      <c r="D73" s="152" t="s">
        <v>3843</v>
      </c>
      <c r="E73" s="155" t="s">
        <v>3844</v>
      </c>
      <c r="F73" s="158" t="s">
        <v>20</v>
      </c>
      <c r="G73" s="161" t="str">
        <f>IF(COUNTIF(H73:AU73,"&lt;&gt;")=0,"",SUMPRODUCT(((Recommendations[ImplStatus]="Implemented")+(Recommendations[ImplStatus]="Compensated"))*ISNUMBER(MATCH(Recommendations[Id],H73:AU73,0)))/COUNTIF(H73:AU73,"&lt;&gt;"))</f>
        <v/>
      </c>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78"/>
    </row>
    <row r="74" spans="1:47" ht="60" customHeight="1" x14ac:dyDescent="0.35">
      <c r="A74" s="174" t="s">
        <v>3757</v>
      </c>
      <c r="B74" s="148" t="s">
        <v>3415</v>
      </c>
      <c r="C74" s="149" t="s">
        <v>3845</v>
      </c>
      <c r="D74" s="152" t="s">
        <v>3846</v>
      </c>
      <c r="E74" s="155" t="s">
        <v>3847</v>
      </c>
      <c r="F74" s="158" t="s">
        <v>3653</v>
      </c>
      <c r="G74" s="161" t="str">
        <f>IF(COUNTIF(H74:AU74,"&lt;&gt;")=0,"",SUMPRODUCT(((Recommendations[ImplStatus]="Implemented")+(Recommendations[ImplStatus]="Compensated"))*ISNUMBER(MATCH(Recommendations[Id],H74:AU74,0)))/COUNTIF(H74:AU74,"&lt;&gt;"))</f>
        <v/>
      </c>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78"/>
    </row>
    <row r="75" spans="1:47" ht="60" customHeight="1" x14ac:dyDescent="0.35">
      <c r="A75" s="174" t="s">
        <v>3757</v>
      </c>
      <c r="B75" s="148" t="s">
        <v>3415</v>
      </c>
      <c r="C75" s="149" t="s">
        <v>3848</v>
      </c>
      <c r="D75" s="152" t="s">
        <v>3849</v>
      </c>
      <c r="E75" s="155" t="s">
        <v>3850</v>
      </c>
      <c r="F75" s="158" t="s">
        <v>3663</v>
      </c>
      <c r="G75" s="161" t="str">
        <f>IF(COUNTIF(H75:AU75,"&lt;&gt;")=0,"",SUMPRODUCT(((Recommendations[ImplStatus]="Implemented")+(Recommendations[ImplStatus]="Compensated"))*ISNUMBER(MATCH(Recommendations[Id],H75:AU75,0)))/COUNTIF(H75:AU75,"&lt;&gt;"))</f>
        <v/>
      </c>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78"/>
    </row>
    <row r="76" spans="1:47" ht="60" customHeight="1" x14ac:dyDescent="0.35">
      <c r="A76" s="174" t="s">
        <v>3757</v>
      </c>
      <c r="B76" s="148" t="s">
        <v>3415</v>
      </c>
      <c r="C76" s="149" t="s">
        <v>3851</v>
      </c>
      <c r="D76" s="152" t="s">
        <v>3852</v>
      </c>
      <c r="E76" s="155" t="s">
        <v>3853</v>
      </c>
      <c r="F76" s="158" t="s">
        <v>20</v>
      </c>
      <c r="G76" s="161" t="str">
        <f>IF(COUNTIF(H76:AU76,"&lt;&gt;")=0,"",SUMPRODUCT(((Recommendations[ImplStatus]="Implemented")+(Recommendations[ImplStatus]="Compensated"))*ISNUMBER(MATCH(Recommendations[Id],H76:AU76,0)))/COUNTIF(H76:AU76,"&lt;&gt;"))</f>
        <v/>
      </c>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78"/>
    </row>
    <row r="77" spans="1:47" ht="60" customHeight="1" outlineLevel="1" x14ac:dyDescent="0.35">
      <c r="A77" s="173" t="s">
        <v>3757</v>
      </c>
      <c r="B77" s="147" t="s">
        <v>3685</v>
      </c>
      <c r="C77" s="145" t="s">
        <v>3854</v>
      </c>
      <c r="D77" s="151"/>
      <c r="E77" s="154" t="s">
        <v>20</v>
      </c>
      <c r="F77" s="157" t="s">
        <v>20</v>
      </c>
      <c r="G77" s="160" t="str">
        <f>IF(COUNTIF(H77:AU77,"&lt;&gt;")=0,"",SUMPRODUCT(((Recommendations[ImplStatus]="Implemented")+(Recommendations[ImplStatus]="Compensated"))*ISNUMBER(MATCH(Recommendations[Id],H77:AU77,0)))/COUNTIF(H77:AU77,"&lt;&gt;"))</f>
        <v/>
      </c>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77"/>
    </row>
    <row r="78" spans="1:47" ht="60" customHeight="1" x14ac:dyDescent="0.35">
      <c r="A78" s="174" t="s">
        <v>3757</v>
      </c>
      <c r="B78" s="148" t="s">
        <v>3685</v>
      </c>
      <c r="C78" s="149" t="s">
        <v>3855</v>
      </c>
      <c r="D78" s="152" t="s">
        <v>3856</v>
      </c>
      <c r="E78" s="155"/>
      <c r="F78" s="158" t="s">
        <v>20</v>
      </c>
      <c r="G78" s="161" t="str">
        <f>IF(COUNTIF(H78:AU78,"&lt;&gt;")=0,"",SUMPRODUCT(((Recommendations[ImplStatus]="Implemented")+(Recommendations[ImplStatus]="Compensated"))*ISNUMBER(MATCH(Recommendations[Id],H78:AU78,0)))/COUNTIF(H78:AU78,"&lt;&gt;"))</f>
        <v/>
      </c>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78"/>
    </row>
    <row r="79" spans="1:47" ht="60" customHeight="1" x14ac:dyDescent="0.35">
      <c r="A79" s="174" t="s">
        <v>3757</v>
      </c>
      <c r="B79" s="148" t="s">
        <v>3685</v>
      </c>
      <c r="C79" s="149" t="s">
        <v>3857</v>
      </c>
      <c r="D79" s="152" t="s">
        <v>3858</v>
      </c>
      <c r="E79" s="155"/>
      <c r="F79" s="158" t="s">
        <v>20</v>
      </c>
      <c r="G79" s="161" t="str">
        <f>IF(COUNTIF(H79:AU79,"&lt;&gt;")=0,"",SUMPRODUCT(((Recommendations[ImplStatus]="Implemented")+(Recommendations[ImplStatus]="Compensated"))*ISNUMBER(MATCH(Recommendations[Id],H79:AU79,0)))/COUNTIF(H79:AU79,"&lt;&gt;"))</f>
        <v/>
      </c>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78"/>
    </row>
    <row r="80" spans="1:47" ht="60" customHeight="1" x14ac:dyDescent="0.35">
      <c r="A80" s="174" t="s">
        <v>3757</v>
      </c>
      <c r="B80" s="148" t="s">
        <v>3685</v>
      </c>
      <c r="C80" s="149" t="s">
        <v>3859</v>
      </c>
      <c r="D80" s="152" t="s">
        <v>3860</v>
      </c>
      <c r="E80" s="155"/>
      <c r="F80" s="158" t="s">
        <v>20</v>
      </c>
      <c r="G80" s="161" t="str">
        <f>IF(COUNTIF(H80:AU80,"&lt;&gt;")=0,"",SUMPRODUCT(((Recommendations[ImplStatus]="Implemented")+(Recommendations[ImplStatus]="Compensated"))*ISNUMBER(MATCH(Recommendations[Id],H80:AU80,0)))/COUNTIF(H80:AU80,"&lt;&gt;"))</f>
        <v/>
      </c>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78"/>
    </row>
    <row r="81" spans="1:47" ht="60" customHeight="1" outlineLevel="1" x14ac:dyDescent="0.35">
      <c r="A81" s="173" t="s">
        <v>3757</v>
      </c>
      <c r="B81" s="147" t="s">
        <v>3613</v>
      </c>
      <c r="C81" s="145" t="s">
        <v>3861</v>
      </c>
      <c r="D81" s="151"/>
      <c r="E81" s="154" t="s">
        <v>20</v>
      </c>
      <c r="F81" s="157" t="s">
        <v>20</v>
      </c>
      <c r="G81" s="160" t="str">
        <f>IF(COUNTIF(H81:AU81,"&lt;&gt;")=0,"",SUMPRODUCT(((Recommendations[ImplStatus]="Implemented")+(Recommendations[ImplStatus]="Compensated"))*ISNUMBER(MATCH(Recommendations[Id],H81:AU81,0)))/COUNTIF(H81:AU81,"&lt;&gt;"))</f>
        <v/>
      </c>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77"/>
    </row>
    <row r="82" spans="1:47" ht="60" customHeight="1" x14ac:dyDescent="0.35">
      <c r="A82" s="174" t="s">
        <v>3757</v>
      </c>
      <c r="B82" s="148" t="s">
        <v>3613</v>
      </c>
      <c r="C82" s="149" t="s">
        <v>3862</v>
      </c>
      <c r="D82" s="152" t="s">
        <v>3863</v>
      </c>
      <c r="E82" s="155"/>
      <c r="F82" s="158" t="s">
        <v>20</v>
      </c>
      <c r="G82" s="161" t="str">
        <f>IF(COUNTIF(H82:AU82,"&lt;&gt;")=0,"",SUMPRODUCT(((Recommendations[ImplStatus]="Implemented")+(Recommendations[ImplStatus]="Compensated"))*ISNUMBER(MATCH(Recommendations[Id],H82:AU82,0)))/COUNTIF(H82:AU82,"&lt;&gt;"))</f>
        <v/>
      </c>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78"/>
    </row>
    <row r="83" spans="1:47" ht="60" customHeight="1" x14ac:dyDescent="0.35">
      <c r="A83" s="174" t="s">
        <v>3757</v>
      </c>
      <c r="B83" s="148" t="s">
        <v>3613</v>
      </c>
      <c r="C83" s="149" t="s">
        <v>3864</v>
      </c>
      <c r="D83" s="152" t="s">
        <v>3865</v>
      </c>
      <c r="E83" s="155"/>
      <c r="F83" s="158" t="s">
        <v>20</v>
      </c>
      <c r="G83" s="161" t="str">
        <f>IF(COUNTIF(H83:AU83,"&lt;&gt;")=0,"",SUMPRODUCT(((Recommendations[ImplStatus]="Implemented")+(Recommendations[ImplStatus]="Compensated"))*ISNUMBER(MATCH(Recommendations[Id],H83:AU83,0)))/COUNTIF(H83:AU83,"&lt;&gt;"))</f>
        <v/>
      </c>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78"/>
    </row>
    <row r="84" spans="1:47" ht="60" customHeight="1" x14ac:dyDescent="0.35">
      <c r="A84" s="174" t="s">
        <v>3757</v>
      </c>
      <c r="B84" s="148" t="s">
        <v>3613</v>
      </c>
      <c r="C84" s="149" t="s">
        <v>3866</v>
      </c>
      <c r="D84" s="152" t="s">
        <v>3867</v>
      </c>
      <c r="E84" s="155"/>
      <c r="F84" s="158" t="s">
        <v>20</v>
      </c>
      <c r="G84" s="161" t="str">
        <f>IF(COUNTIF(H84:AU84,"&lt;&gt;")=0,"",SUMPRODUCT(((Recommendations[ImplStatus]="Implemented")+(Recommendations[ImplStatus]="Compensated"))*ISNUMBER(MATCH(Recommendations[Id],H84:AU84,0)))/COUNTIF(H84:AU84,"&lt;&gt;"))</f>
        <v/>
      </c>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78"/>
    </row>
    <row r="85" spans="1:47" ht="60" customHeight="1" x14ac:dyDescent="0.35">
      <c r="A85" s="174" t="s">
        <v>3757</v>
      </c>
      <c r="B85" s="148" t="s">
        <v>3613</v>
      </c>
      <c r="C85" s="149" t="s">
        <v>3868</v>
      </c>
      <c r="D85" s="152" t="s">
        <v>3869</v>
      </c>
      <c r="E85" s="155"/>
      <c r="F85" s="158" t="s">
        <v>20</v>
      </c>
      <c r="G85" s="161" t="str">
        <f>IF(COUNTIF(H85:AU85,"&lt;&gt;")=0,"",SUMPRODUCT(((Recommendations[ImplStatus]="Implemented")+(Recommendations[ImplStatus]="Compensated"))*ISNUMBER(MATCH(Recommendations[Id],H85:AU85,0)))/COUNTIF(H85:AU85,"&lt;&gt;"))</f>
        <v/>
      </c>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78"/>
    </row>
    <row r="86" spans="1:47" ht="60" customHeight="1" x14ac:dyDescent="0.35">
      <c r="A86" s="174" t="s">
        <v>3757</v>
      </c>
      <c r="B86" s="148" t="s">
        <v>3613</v>
      </c>
      <c r="C86" s="149" t="s">
        <v>3870</v>
      </c>
      <c r="D86" s="152" t="s">
        <v>3871</v>
      </c>
      <c r="E86" s="155"/>
      <c r="F86" s="158" t="s">
        <v>20</v>
      </c>
      <c r="G86" s="161" t="str">
        <f>IF(COUNTIF(H86:AU86,"&lt;&gt;")=0,"",SUMPRODUCT(((Recommendations[ImplStatus]="Implemented")+(Recommendations[ImplStatus]="Compensated"))*ISNUMBER(MATCH(Recommendations[Id],H86:AU86,0)))/COUNTIF(H86:AU86,"&lt;&gt;"))</f>
        <v/>
      </c>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78"/>
    </row>
    <row r="87" spans="1:47" ht="60" customHeight="1" outlineLevel="1" x14ac:dyDescent="0.35">
      <c r="A87" s="172" t="s">
        <v>3872</v>
      </c>
      <c r="B87" s="146" t="s">
        <v>20</v>
      </c>
      <c r="C87" s="144" t="s">
        <v>3873</v>
      </c>
      <c r="D87" s="150" t="s">
        <v>3874</v>
      </c>
      <c r="E87" s="153" t="s">
        <v>20</v>
      </c>
      <c r="F87" s="156" t="s">
        <v>20</v>
      </c>
      <c r="G87" s="159" t="str">
        <f>IF(COUNTIF(H87:AU87,"&lt;&gt;")=0,"",SUMPRODUCT(((Recommendations[ImplStatus]="Implemented")+(Recommendations[ImplStatus]="Compensated"))*ISNUMBER(MATCH(Recommendations[Id],H87:AU87,0)))/COUNTIF(H87:AU87,"&lt;&gt;"))</f>
        <v/>
      </c>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76"/>
    </row>
    <row r="88" spans="1:47" ht="60" customHeight="1" outlineLevel="1" x14ac:dyDescent="0.35">
      <c r="A88" s="173" t="s">
        <v>3872</v>
      </c>
      <c r="B88" s="147" t="s">
        <v>3875</v>
      </c>
      <c r="C88" s="145" t="s">
        <v>3876</v>
      </c>
      <c r="D88" s="151" t="s">
        <v>3877</v>
      </c>
      <c r="E88" s="154" t="s">
        <v>20</v>
      </c>
      <c r="F88" s="157" t="s">
        <v>20</v>
      </c>
      <c r="G88" s="160" t="str">
        <f>IF(COUNTIF(H88:AU88,"&lt;&gt;")=0,"",SUMPRODUCT(((Recommendations[ImplStatus]="Implemented")+(Recommendations[ImplStatus]="Compensated"))*ISNUMBER(MATCH(Recommendations[Id],H88:AU88,0)))/COUNTIF(H88:AU88,"&lt;&gt;"))</f>
        <v/>
      </c>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77"/>
    </row>
    <row r="89" spans="1:47" ht="60" customHeight="1" x14ac:dyDescent="0.35">
      <c r="A89" s="174" t="s">
        <v>3872</v>
      </c>
      <c r="B89" s="148" t="s">
        <v>3875</v>
      </c>
      <c r="C89" s="149" t="s">
        <v>3878</v>
      </c>
      <c r="D89" s="152" t="s">
        <v>3879</v>
      </c>
      <c r="E89" s="155" t="s">
        <v>3880</v>
      </c>
      <c r="F89" s="158" t="s">
        <v>3649</v>
      </c>
      <c r="G89" s="161">
        <f>IF(COUNTIF(H89:AU89,"&lt;&gt;")=0,"",SUMPRODUCT(((Recommendations[ImplStatus]="Implemented")+(Recommendations[ImplStatus]="Compensated"))*ISNUMBER(MATCH(Recommendations[Id],H89:AU89,0)))/COUNTIF(H89:AU89,"&lt;&gt;"))</f>
        <v>0</v>
      </c>
      <c r="H89" s="164" t="s">
        <v>15</v>
      </c>
      <c r="I89" s="164" t="s">
        <v>24</v>
      </c>
      <c r="J89" s="164" t="s">
        <v>28</v>
      </c>
      <c r="K89" s="164" t="s">
        <v>32</v>
      </c>
      <c r="L89" s="164" t="s">
        <v>37</v>
      </c>
      <c r="M89" s="164" t="s">
        <v>42</v>
      </c>
      <c r="N89" s="164" t="s">
        <v>46</v>
      </c>
      <c r="O89" s="164" t="s">
        <v>50</v>
      </c>
      <c r="P89" s="164" t="s">
        <v>55</v>
      </c>
      <c r="Q89" s="164" t="s">
        <v>85</v>
      </c>
      <c r="R89" s="164" t="s">
        <v>90</v>
      </c>
      <c r="S89" s="164" t="s">
        <v>110</v>
      </c>
      <c r="T89" s="164" t="s">
        <v>115</v>
      </c>
      <c r="U89" s="164" t="s">
        <v>120</v>
      </c>
      <c r="V89" s="164" t="s">
        <v>125</v>
      </c>
      <c r="W89" s="164" t="s">
        <v>135</v>
      </c>
      <c r="X89" s="164" t="s">
        <v>459</v>
      </c>
      <c r="Y89" s="164" t="s">
        <v>465</v>
      </c>
      <c r="Z89" s="164" t="s">
        <v>509</v>
      </c>
      <c r="AA89" s="164" t="s">
        <v>558</v>
      </c>
      <c r="AB89" s="164" t="s">
        <v>563</v>
      </c>
      <c r="AC89" s="164" t="s">
        <v>584</v>
      </c>
      <c r="AD89" s="164" t="s">
        <v>591</v>
      </c>
      <c r="AE89" s="164" t="s">
        <v>605</v>
      </c>
      <c r="AF89" s="164" t="s">
        <v>698</v>
      </c>
      <c r="AG89" s="164" t="s">
        <v>754</v>
      </c>
      <c r="AH89" s="164" t="s">
        <v>760</v>
      </c>
      <c r="AI89" s="164" t="s">
        <v>765</v>
      </c>
      <c r="AJ89" s="164" t="s">
        <v>788</v>
      </c>
      <c r="AK89" s="164" t="s">
        <v>794</v>
      </c>
      <c r="AL89" s="164" t="s">
        <v>799</v>
      </c>
      <c r="AM89" s="164" t="s">
        <v>803</v>
      </c>
      <c r="AN89" s="164" t="s">
        <v>808</v>
      </c>
      <c r="AO89" s="164" t="s">
        <v>819</v>
      </c>
      <c r="AP89" s="164" t="s">
        <v>826</v>
      </c>
      <c r="AQ89" s="164" t="s">
        <v>832</v>
      </c>
      <c r="AR89" s="164" t="s">
        <v>855</v>
      </c>
      <c r="AS89" s="164" t="s">
        <v>868</v>
      </c>
      <c r="AT89" s="164" t="s">
        <v>1669</v>
      </c>
      <c r="AU89" s="178" t="s">
        <v>1687</v>
      </c>
    </row>
    <row r="90" spans="1:47" ht="60" customHeight="1" x14ac:dyDescent="0.35">
      <c r="A90" s="174" t="s">
        <v>3872</v>
      </c>
      <c r="B90" s="148" t="s">
        <v>3875</v>
      </c>
      <c r="C90" s="149" t="s">
        <v>3881</v>
      </c>
      <c r="D90" s="152" t="s">
        <v>3882</v>
      </c>
      <c r="E90" s="155" t="s">
        <v>3883</v>
      </c>
      <c r="F90" s="158" t="s">
        <v>3653</v>
      </c>
      <c r="G90" s="161">
        <f>IF(COUNTIF(H90:AU90,"&lt;&gt;")=0,"",SUMPRODUCT(((Recommendations[ImplStatus]="Implemented")+(Recommendations[ImplStatus]="Compensated"))*ISNUMBER(MATCH(Recommendations[Id],H90:AU90,0)))/COUNTIF(H90:AU90,"&lt;&gt;"))</f>
        <v>0</v>
      </c>
      <c r="H90" s="164" t="s">
        <v>145</v>
      </c>
      <c r="I90" s="164" t="s">
        <v>1715</v>
      </c>
      <c r="J90" s="164"/>
      <c r="K90" s="164"/>
      <c r="L90" s="164"/>
      <c r="M90" s="164"/>
      <c r="N90" s="164"/>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78"/>
    </row>
    <row r="91" spans="1:47" ht="60" customHeight="1" x14ac:dyDescent="0.35">
      <c r="A91" s="174" t="s">
        <v>3872</v>
      </c>
      <c r="B91" s="148" t="s">
        <v>3875</v>
      </c>
      <c r="C91" s="149" t="s">
        <v>3884</v>
      </c>
      <c r="D91" s="152" t="s">
        <v>3885</v>
      </c>
      <c r="E91" s="155" t="s">
        <v>3886</v>
      </c>
      <c r="F91" s="158" t="s">
        <v>3649</v>
      </c>
      <c r="G91" s="161" t="str">
        <f>IF(COUNTIF(H91:AU91,"&lt;&gt;")=0,"",SUMPRODUCT(((Recommendations[ImplStatus]="Implemented")+(Recommendations[ImplStatus]="Compensated"))*ISNUMBER(MATCH(Recommendations[Id],H91:AU91,0)))/COUNTIF(H91:AU91,"&lt;&gt;"))</f>
        <v/>
      </c>
      <c r="H91" s="164"/>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78"/>
    </row>
    <row r="92" spans="1:47" ht="60" customHeight="1" x14ac:dyDescent="0.35">
      <c r="A92" s="174" t="s">
        <v>3872</v>
      </c>
      <c r="B92" s="148" t="s">
        <v>3875</v>
      </c>
      <c r="C92" s="149" t="s">
        <v>3887</v>
      </c>
      <c r="D92" s="152" t="s">
        <v>3888</v>
      </c>
      <c r="E92" s="155" t="s">
        <v>3889</v>
      </c>
      <c r="F92" s="158" t="s">
        <v>3649</v>
      </c>
      <c r="G92" s="161" t="str">
        <f>IF(COUNTIF(H92:AU92,"&lt;&gt;")=0,"",SUMPRODUCT(((Recommendations[ImplStatus]="Implemented")+(Recommendations[ImplStatus]="Compensated"))*ISNUMBER(MATCH(Recommendations[Id],H92:AU92,0)))/COUNTIF(H92:AU92,"&lt;&gt;"))</f>
        <v/>
      </c>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78"/>
    </row>
    <row r="93" spans="1:47" ht="60" customHeight="1" x14ac:dyDescent="0.35">
      <c r="A93" s="174" t="s">
        <v>3872</v>
      </c>
      <c r="B93" s="148" t="s">
        <v>3875</v>
      </c>
      <c r="C93" s="149" t="s">
        <v>3890</v>
      </c>
      <c r="D93" s="152" t="s">
        <v>3891</v>
      </c>
      <c r="E93" s="155" t="s">
        <v>3892</v>
      </c>
      <c r="F93" s="158" t="s">
        <v>3649</v>
      </c>
      <c r="G93" s="161">
        <f>IF(COUNTIF(H93:AU93,"&lt;&gt;")=0,"",SUMPRODUCT(((Recommendations[ImplStatus]="Implemented")+(Recommendations[ImplStatus]="Compensated"))*ISNUMBER(MATCH(Recommendations[Id],H93:AU93,0)))/COUNTIF(H93:AU93,"&lt;&gt;"))</f>
        <v>0</v>
      </c>
      <c r="H93" s="164" t="s">
        <v>130</v>
      </c>
      <c r="I93" s="164" t="s">
        <v>165</v>
      </c>
      <c r="J93" s="164" t="s">
        <v>170</v>
      </c>
      <c r="K93" s="164" t="s">
        <v>175</v>
      </c>
      <c r="L93" s="164" t="s">
        <v>180</v>
      </c>
      <c r="M93" s="164" t="s">
        <v>185</v>
      </c>
      <c r="N93" s="164" t="s">
        <v>190</v>
      </c>
      <c r="O93" s="164" t="s">
        <v>195</v>
      </c>
      <c r="P93" s="164" t="s">
        <v>200</v>
      </c>
      <c r="Q93" s="164" t="s">
        <v>205</v>
      </c>
      <c r="R93" s="164" t="s">
        <v>210</v>
      </c>
      <c r="S93" s="164" t="s">
        <v>216</v>
      </c>
      <c r="T93" s="164" t="s">
        <v>221</v>
      </c>
      <c r="U93" s="164" t="s">
        <v>225</v>
      </c>
      <c r="V93" s="164" t="s">
        <v>229</v>
      </c>
      <c r="W93" s="164" t="s">
        <v>233</v>
      </c>
      <c r="X93" s="164" t="s">
        <v>237</v>
      </c>
      <c r="Y93" s="164" t="s">
        <v>241</v>
      </c>
      <c r="Z93" s="164" t="s">
        <v>245</v>
      </c>
      <c r="AA93" s="164" t="s">
        <v>249</v>
      </c>
      <c r="AB93" s="164" t="s">
        <v>253</v>
      </c>
      <c r="AC93" s="164" t="s">
        <v>257</v>
      </c>
      <c r="AD93" s="164" t="s">
        <v>261</v>
      </c>
      <c r="AE93" s="164" t="s">
        <v>265</v>
      </c>
      <c r="AF93" s="164" t="s">
        <v>269</v>
      </c>
      <c r="AG93" s="164" t="s">
        <v>273</v>
      </c>
      <c r="AH93" s="164" t="s">
        <v>277</v>
      </c>
      <c r="AI93" s="164" t="s">
        <v>281</v>
      </c>
      <c r="AJ93" s="164" t="s">
        <v>285</v>
      </c>
      <c r="AK93" s="164" t="s">
        <v>289</v>
      </c>
      <c r="AL93" s="164" t="s">
        <v>293</v>
      </c>
      <c r="AM93" s="164" t="s">
        <v>297</v>
      </c>
      <c r="AN93" s="164" t="s">
        <v>301</v>
      </c>
      <c r="AO93" s="164" t="s">
        <v>305</v>
      </c>
      <c r="AP93" s="164" t="s">
        <v>471</v>
      </c>
      <c r="AQ93" s="164" t="s">
        <v>676</v>
      </c>
      <c r="AR93" s="164" t="s">
        <v>686</v>
      </c>
      <c r="AS93" s="164" t="s">
        <v>783</v>
      </c>
      <c r="AT93" s="164" t="s">
        <v>886</v>
      </c>
      <c r="AU93" s="178" t="s">
        <v>1676</v>
      </c>
    </row>
    <row r="94" spans="1:47" ht="60" customHeight="1" x14ac:dyDescent="0.35">
      <c r="A94" s="174" t="s">
        <v>3872</v>
      </c>
      <c r="B94" s="148" t="s">
        <v>3875</v>
      </c>
      <c r="C94" s="149" t="s">
        <v>3893</v>
      </c>
      <c r="D94" s="152" t="s">
        <v>3894</v>
      </c>
      <c r="E94" s="155" t="s">
        <v>3895</v>
      </c>
      <c r="F94" s="158" t="s">
        <v>3653</v>
      </c>
      <c r="G94" s="161" t="str">
        <f>IF(COUNTIF(H94:AU94,"&lt;&gt;")=0,"",SUMPRODUCT(((Recommendations[ImplStatus]="Implemented")+(Recommendations[ImplStatus]="Compensated"))*ISNUMBER(MATCH(Recommendations[Id],H94:AU94,0)))/COUNTIF(H94:AU94,"&lt;&gt;"))</f>
        <v/>
      </c>
      <c r="H94" s="164"/>
      <c r="I94" s="164"/>
      <c r="J94" s="164"/>
      <c r="K94" s="164"/>
      <c r="L94" s="164"/>
      <c r="M94" s="164"/>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78"/>
    </row>
    <row r="95" spans="1:47" ht="60" customHeight="1" outlineLevel="1" x14ac:dyDescent="0.35">
      <c r="A95" s="173" t="s">
        <v>3872</v>
      </c>
      <c r="B95" s="147" t="s">
        <v>3896</v>
      </c>
      <c r="C95" s="145" t="s">
        <v>3897</v>
      </c>
      <c r="D95" s="151"/>
      <c r="E95" s="154" t="s">
        <v>20</v>
      </c>
      <c r="F95" s="157" t="s">
        <v>20</v>
      </c>
      <c r="G95" s="160" t="str">
        <f>IF(COUNTIF(H95:AU95,"&lt;&gt;")=0,"",SUMPRODUCT(((Recommendations[ImplStatus]="Implemented")+(Recommendations[ImplStatus]="Compensated"))*ISNUMBER(MATCH(Recommendations[Id],H95:AU95,0)))/COUNTIF(H95:AU95,"&lt;&gt;"))</f>
        <v/>
      </c>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77"/>
    </row>
    <row r="96" spans="1:47" ht="60" customHeight="1" x14ac:dyDescent="0.35">
      <c r="A96" s="174" t="s">
        <v>3872</v>
      </c>
      <c r="B96" s="148" t="s">
        <v>3896</v>
      </c>
      <c r="C96" s="149" t="s">
        <v>3898</v>
      </c>
      <c r="D96" s="152" t="s">
        <v>3899</v>
      </c>
      <c r="E96" s="155"/>
      <c r="F96" s="158" t="s">
        <v>20</v>
      </c>
      <c r="G96" s="161" t="str">
        <f>IF(COUNTIF(H96:AU96,"&lt;&gt;")=0,"",SUMPRODUCT(((Recommendations[ImplStatus]="Implemented")+(Recommendations[ImplStatus]="Compensated"))*ISNUMBER(MATCH(Recommendations[Id],H96:AU96,0)))/COUNTIF(H96:AU96,"&lt;&gt;"))</f>
        <v/>
      </c>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78"/>
    </row>
    <row r="97" spans="1:47" ht="60" customHeight="1" x14ac:dyDescent="0.35">
      <c r="A97" s="174" t="s">
        <v>3872</v>
      </c>
      <c r="B97" s="148" t="s">
        <v>3896</v>
      </c>
      <c r="C97" s="149" t="s">
        <v>3900</v>
      </c>
      <c r="D97" s="152" t="s">
        <v>3901</v>
      </c>
      <c r="E97" s="155"/>
      <c r="F97" s="158" t="s">
        <v>20</v>
      </c>
      <c r="G97" s="161" t="str">
        <f>IF(COUNTIF(H97:AU97,"&lt;&gt;")=0,"",SUMPRODUCT(((Recommendations[ImplStatus]="Implemented")+(Recommendations[ImplStatus]="Compensated"))*ISNUMBER(MATCH(Recommendations[Id],H97:AU97,0)))/COUNTIF(H97:AU97,"&lt;&gt;"))</f>
        <v/>
      </c>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78"/>
    </row>
    <row r="98" spans="1:47" ht="60" customHeight="1" x14ac:dyDescent="0.35">
      <c r="A98" s="174" t="s">
        <v>3872</v>
      </c>
      <c r="B98" s="148" t="s">
        <v>3896</v>
      </c>
      <c r="C98" s="149" t="s">
        <v>3902</v>
      </c>
      <c r="D98" s="152" t="s">
        <v>3903</v>
      </c>
      <c r="E98" s="155"/>
      <c r="F98" s="158" t="s">
        <v>20</v>
      </c>
      <c r="G98" s="161" t="str">
        <f>IF(COUNTIF(H98:AU98,"&lt;&gt;")=0,"",SUMPRODUCT(((Recommendations[ImplStatus]="Implemented")+(Recommendations[ImplStatus]="Compensated"))*ISNUMBER(MATCH(Recommendations[Id],H98:AU98,0)))/COUNTIF(H98:AU98,"&lt;&gt;"))</f>
        <v/>
      </c>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78"/>
    </row>
    <row r="99" spans="1:47" ht="60" customHeight="1" x14ac:dyDescent="0.35">
      <c r="A99" s="174" t="s">
        <v>3872</v>
      </c>
      <c r="B99" s="148" t="s">
        <v>3896</v>
      </c>
      <c r="C99" s="149" t="s">
        <v>3904</v>
      </c>
      <c r="D99" s="152" t="s">
        <v>3905</v>
      </c>
      <c r="E99" s="155"/>
      <c r="F99" s="158" t="s">
        <v>20</v>
      </c>
      <c r="G99" s="161" t="str">
        <f>IF(COUNTIF(H99:AU99,"&lt;&gt;")=0,"",SUMPRODUCT(((Recommendations[ImplStatus]="Implemented")+(Recommendations[ImplStatus]="Compensated"))*ISNUMBER(MATCH(Recommendations[Id],H99:AU99,0)))/COUNTIF(H99:AU99,"&lt;&gt;"))</f>
        <v/>
      </c>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78"/>
    </row>
    <row r="100" spans="1:47" ht="60" customHeight="1" x14ac:dyDescent="0.35">
      <c r="A100" s="174" t="s">
        <v>3872</v>
      </c>
      <c r="B100" s="148" t="s">
        <v>3896</v>
      </c>
      <c r="C100" s="149" t="s">
        <v>3906</v>
      </c>
      <c r="D100" s="152" t="s">
        <v>3907</v>
      </c>
      <c r="E100" s="155"/>
      <c r="F100" s="158" t="s">
        <v>20</v>
      </c>
      <c r="G100" s="161" t="str">
        <f>IF(COUNTIF(H100:AU100,"&lt;&gt;")=0,"",SUMPRODUCT(((Recommendations[ImplStatus]="Implemented")+(Recommendations[ImplStatus]="Compensated"))*ISNUMBER(MATCH(Recommendations[Id],H100:AU100,0)))/COUNTIF(H100:AU100,"&lt;&gt;"))</f>
        <v/>
      </c>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78"/>
    </row>
    <row r="101" spans="1:47" ht="60" customHeight="1" x14ac:dyDescent="0.35">
      <c r="A101" s="174" t="s">
        <v>3872</v>
      </c>
      <c r="B101" s="148" t="s">
        <v>3896</v>
      </c>
      <c r="C101" s="149" t="s">
        <v>3908</v>
      </c>
      <c r="D101" s="152" t="s">
        <v>3909</v>
      </c>
      <c r="E101" s="155"/>
      <c r="F101" s="158" t="s">
        <v>20</v>
      </c>
      <c r="G101" s="161" t="str">
        <f>IF(COUNTIF(H101:AU101,"&lt;&gt;")=0,"",SUMPRODUCT(((Recommendations[ImplStatus]="Implemented")+(Recommendations[ImplStatus]="Compensated"))*ISNUMBER(MATCH(Recommendations[Id],H101:AU101,0)))/COUNTIF(H101:AU101,"&lt;&gt;"))</f>
        <v/>
      </c>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78"/>
    </row>
    <row r="102" spans="1:47" ht="60" customHeight="1" x14ac:dyDescent="0.35">
      <c r="A102" s="174" t="s">
        <v>3872</v>
      </c>
      <c r="B102" s="148" t="s">
        <v>3896</v>
      </c>
      <c r="C102" s="149" t="s">
        <v>3910</v>
      </c>
      <c r="D102" s="152" t="s">
        <v>3911</v>
      </c>
      <c r="E102" s="155"/>
      <c r="F102" s="158" t="s">
        <v>20</v>
      </c>
      <c r="G102" s="161" t="str">
        <f>IF(COUNTIF(H102:AU102,"&lt;&gt;")=0,"",SUMPRODUCT(((Recommendations[ImplStatus]="Implemented")+(Recommendations[ImplStatus]="Compensated"))*ISNUMBER(MATCH(Recommendations[Id],H102:AU102,0)))/COUNTIF(H102:AU102,"&lt;&gt;"))</f>
        <v/>
      </c>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78"/>
    </row>
    <row r="103" spans="1:47" ht="60" customHeight="1" outlineLevel="1" x14ac:dyDescent="0.35">
      <c r="A103" s="173" t="s">
        <v>3872</v>
      </c>
      <c r="B103" s="147" t="s">
        <v>3056</v>
      </c>
      <c r="C103" s="145" t="s">
        <v>3912</v>
      </c>
      <c r="D103" s="151" t="s">
        <v>3913</v>
      </c>
      <c r="E103" s="154" t="s">
        <v>20</v>
      </c>
      <c r="F103" s="157" t="s">
        <v>20</v>
      </c>
      <c r="G103" s="160" t="str">
        <f>IF(COUNTIF(H103:AU103,"&lt;&gt;")=0,"",SUMPRODUCT(((Recommendations[ImplStatus]="Implemented")+(Recommendations[ImplStatus]="Compensated"))*ISNUMBER(MATCH(Recommendations[Id],H103:AU103,0)))/COUNTIF(H103:AU103,"&lt;&gt;"))</f>
        <v/>
      </c>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77"/>
    </row>
    <row r="104" spans="1:47" ht="60" customHeight="1" x14ac:dyDescent="0.35">
      <c r="A104" s="174" t="s">
        <v>3872</v>
      </c>
      <c r="B104" s="148" t="s">
        <v>3056</v>
      </c>
      <c r="C104" s="149" t="s">
        <v>3914</v>
      </c>
      <c r="D104" s="152" t="s">
        <v>3915</v>
      </c>
      <c r="E104" s="155" t="s">
        <v>3916</v>
      </c>
      <c r="F104" s="158" t="s">
        <v>3649</v>
      </c>
      <c r="G104" s="161" t="str">
        <f>IF(COUNTIF(H104:AU104,"&lt;&gt;")=0,"",SUMPRODUCT(((Recommendations[ImplStatus]="Implemented")+(Recommendations[ImplStatus]="Compensated"))*ISNUMBER(MATCH(Recommendations[Id],H104:AU104,0)))/COUNTIF(H104:AU104,"&lt;&gt;"))</f>
        <v/>
      </c>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78"/>
    </row>
    <row r="105" spans="1:47" ht="60" customHeight="1" x14ac:dyDescent="0.35">
      <c r="A105" s="174" t="s">
        <v>3872</v>
      </c>
      <c r="B105" s="148" t="s">
        <v>3056</v>
      </c>
      <c r="C105" s="149" t="s">
        <v>3917</v>
      </c>
      <c r="D105" s="152" t="s">
        <v>3918</v>
      </c>
      <c r="E105" s="155" t="s">
        <v>3919</v>
      </c>
      <c r="F105" s="158" t="s">
        <v>3653</v>
      </c>
      <c r="G105" s="161" t="str">
        <f>IF(COUNTIF(H105:AU105,"&lt;&gt;")=0,"",SUMPRODUCT(((Recommendations[ImplStatus]="Implemented")+(Recommendations[ImplStatus]="Compensated"))*ISNUMBER(MATCH(Recommendations[Id],H105:AU105,0)))/COUNTIF(H105:AU105,"&lt;&gt;"))</f>
        <v/>
      </c>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78"/>
    </row>
    <row r="106" spans="1:47" ht="60" customHeight="1" x14ac:dyDescent="0.35">
      <c r="A106" s="174" t="s">
        <v>3872</v>
      </c>
      <c r="B106" s="148" t="s">
        <v>3056</v>
      </c>
      <c r="C106" s="149" t="s">
        <v>3920</v>
      </c>
      <c r="D106" s="152" t="s">
        <v>3921</v>
      </c>
      <c r="E106" s="155"/>
      <c r="F106" s="158" t="s">
        <v>20</v>
      </c>
      <c r="G106" s="161" t="str">
        <f>IF(COUNTIF(H106:AU106,"&lt;&gt;")=0,"",SUMPRODUCT(((Recommendations[ImplStatus]="Implemented")+(Recommendations[ImplStatus]="Compensated"))*ISNUMBER(MATCH(Recommendations[Id],H106:AU106,0)))/COUNTIF(H106:AU106,"&lt;&gt;"))</f>
        <v/>
      </c>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78"/>
    </row>
    <row r="107" spans="1:47" ht="60" customHeight="1" x14ac:dyDescent="0.35">
      <c r="A107" s="174" t="s">
        <v>3872</v>
      </c>
      <c r="B107" s="148" t="s">
        <v>3056</v>
      </c>
      <c r="C107" s="149" t="s">
        <v>3922</v>
      </c>
      <c r="D107" s="152" t="s">
        <v>3923</v>
      </c>
      <c r="E107" s="155"/>
      <c r="F107" s="158" t="s">
        <v>20</v>
      </c>
      <c r="G107" s="161" t="str">
        <f>IF(COUNTIF(H107:AU107,"&lt;&gt;")=0,"",SUMPRODUCT(((Recommendations[ImplStatus]="Implemented")+(Recommendations[ImplStatus]="Compensated"))*ISNUMBER(MATCH(Recommendations[Id],H107:AU107,0)))/COUNTIF(H107:AU107,"&lt;&gt;"))</f>
        <v/>
      </c>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78"/>
    </row>
    <row r="108" spans="1:47" ht="60" customHeight="1" x14ac:dyDescent="0.35">
      <c r="A108" s="174" t="s">
        <v>3872</v>
      </c>
      <c r="B108" s="148" t="s">
        <v>3056</v>
      </c>
      <c r="C108" s="149" t="s">
        <v>3924</v>
      </c>
      <c r="D108" s="152" t="s">
        <v>3925</v>
      </c>
      <c r="E108" s="155"/>
      <c r="F108" s="158" t="s">
        <v>20</v>
      </c>
      <c r="G108" s="161" t="str">
        <f>IF(COUNTIF(H108:AU108,"&lt;&gt;")=0,"",SUMPRODUCT(((Recommendations[ImplStatus]="Implemented")+(Recommendations[ImplStatus]="Compensated"))*ISNUMBER(MATCH(Recommendations[Id],H108:AU108,0)))/COUNTIF(H108:AU108,"&lt;&gt;"))</f>
        <v/>
      </c>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78"/>
    </row>
    <row r="109" spans="1:47" ht="60" customHeight="1" outlineLevel="1" x14ac:dyDescent="0.35">
      <c r="A109" s="173" t="s">
        <v>3872</v>
      </c>
      <c r="B109" s="147" t="s">
        <v>3926</v>
      </c>
      <c r="C109" s="145" t="s">
        <v>3927</v>
      </c>
      <c r="D109" s="151" t="s">
        <v>3928</v>
      </c>
      <c r="E109" s="154" t="s">
        <v>20</v>
      </c>
      <c r="F109" s="157" t="s">
        <v>20</v>
      </c>
      <c r="G109" s="160" t="str">
        <f>IF(COUNTIF(H109:AU109,"&lt;&gt;")=0,"",SUMPRODUCT(((Recommendations[ImplStatus]="Implemented")+(Recommendations[ImplStatus]="Compensated"))*ISNUMBER(MATCH(Recommendations[Id],H109:AU109,0)))/COUNTIF(H109:AU109,"&lt;&gt;"))</f>
        <v/>
      </c>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77"/>
    </row>
    <row r="110" spans="1:47" ht="60" customHeight="1" x14ac:dyDescent="0.35">
      <c r="A110" s="174" t="s">
        <v>3872</v>
      </c>
      <c r="B110" s="148" t="s">
        <v>3926</v>
      </c>
      <c r="C110" s="149" t="s">
        <v>3929</v>
      </c>
      <c r="D110" s="152" t="s">
        <v>3930</v>
      </c>
      <c r="E110" s="155" t="s">
        <v>3931</v>
      </c>
      <c r="F110" s="158" t="s">
        <v>3649</v>
      </c>
      <c r="G110" s="161">
        <f>IF(COUNTIF(H110:AU110,"&lt;&gt;")=0,"",SUMPRODUCT(((Recommendations[ImplStatus]="Implemented")+(Recommendations[ImplStatus]="Compensated"))*ISNUMBER(MATCH(Recommendations[Id],H110:AU110,0)))/COUNTIF(H110:AU110,"&lt;&gt;"))</f>
        <v>0</v>
      </c>
      <c r="H110" s="164" t="s">
        <v>868</v>
      </c>
      <c r="I110" s="164" t="s">
        <v>874</v>
      </c>
      <c r="J110" s="164" t="s">
        <v>1632</v>
      </c>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78"/>
    </row>
    <row r="111" spans="1:47" ht="60" customHeight="1" x14ac:dyDescent="0.35">
      <c r="A111" s="174" t="s">
        <v>3872</v>
      </c>
      <c r="B111" s="148" t="s">
        <v>3926</v>
      </c>
      <c r="C111" s="149" t="s">
        <v>3932</v>
      </c>
      <c r="D111" s="152" t="s">
        <v>3933</v>
      </c>
      <c r="E111" s="155" t="s">
        <v>3934</v>
      </c>
      <c r="F111" s="158" t="s">
        <v>3649</v>
      </c>
      <c r="G111" s="161">
        <f>IF(COUNTIF(H111:AU111,"&lt;&gt;")=0,"",SUMPRODUCT(((Recommendations[ImplStatus]="Implemented")+(Recommendations[ImplStatus]="Compensated"))*ISNUMBER(MATCH(Recommendations[Id],H111:AU111,0)))/COUNTIF(H111:AU111,"&lt;&gt;"))</f>
        <v>0</v>
      </c>
      <c r="H111" s="164" t="s">
        <v>65</v>
      </c>
      <c r="I111" s="164" t="s">
        <v>70</v>
      </c>
      <c r="J111" s="164" t="s">
        <v>75</v>
      </c>
      <c r="K111" s="164" t="s">
        <v>80</v>
      </c>
      <c r="L111" s="164" t="s">
        <v>95</v>
      </c>
      <c r="M111" s="164" t="s">
        <v>100</v>
      </c>
      <c r="N111" s="164" t="s">
        <v>105</v>
      </c>
      <c r="O111" s="164" t="s">
        <v>140</v>
      </c>
      <c r="P111" s="164" t="s">
        <v>150</v>
      </c>
      <c r="Q111" s="164" t="s">
        <v>155</v>
      </c>
      <c r="R111" s="164" t="s">
        <v>160</v>
      </c>
      <c r="S111" s="164" t="s">
        <v>477</v>
      </c>
      <c r="T111" s="164" t="s">
        <v>573</v>
      </c>
      <c r="U111" s="164" t="s">
        <v>579</v>
      </c>
      <c r="V111" s="164" t="s">
        <v>614</v>
      </c>
      <c r="W111" s="164" t="s">
        <v>617</v>
      </c>
      <c r="X111" s="164" t="s">
        <v>620</v>
      </c>
      <c r="Y111" s="164" t="s">
        <v>633</v>
      </c>
      <c r="Z111" s="164" t="s">
        <v>673</v>
      </c>
      <c r="AA111" s="164" t="s">
        <v>693</v>
      </c>
      <c r="AB111" s="164" t="s">
        <v>736</v>
      </c>
      <c r="AC111" s="164" t="s">
        <v>743</v>
      </c>
      <c r="AD111" s="164" t="s">
        <v>1003</v>
      </c>
      <c r="AE111" s="164" t="s">
        <v>1397</v>
      </c>
      <c r="AF111" s="164" t="s">
        <v>1603</v>
      </c>
      <c r="AG111" s="164" t="s">
        <v>1609</v>
      </c>
      <c r="AH111" s="164" t="s">
        <v>1614</v>
      </c>
      <c r="AI111" s="164" t="s">
        <v>1620</v>
      </c>
      <c r="AJ111" s="164" t="s">
        <v>1705</v>
      </c>
      <c r="AK111" s="164" t="s">
        <v>1710</v>
      </c>
      <c r="AL111" s="164" t="s">
        <v>1721</v>
      </c>
      <c r="AM111" s="164" t="s">
        <v>1725</v>
      </c>
      <c r="AN111" s="164" t="s">
        <v>1729</v>
      </c>
      <c r="AO111" s="164"/>
      <c r="AP111" s="164"/>
      <c r="AQ111" s="164"/>
      <c r="AR111" s="164"/>
      <c r="AS111" s="164"/>
      <c r="AT111" s="164"/>
      <c r="AU111" s="178"/>
    </row>
    <row r="112" spans="1:47" ht="60" customHeight="1" x14ac:dyDescent="0.35">
      <c r="A112" s="174" t="s">
        <v>3872</v>
      </c>
      <c r="B112" s="148" t="s">
        <v>3926</v>
      </c>
      <c r="C112" s="149" t="s">
        <v>3935</v>
      </c>
      <c r="D112" s="152" t="s">
        <v>3936</v>
      </c>
      <c r="E112" s="155"/>
      <c r="F112" s="158" t="s">
        <v>20</v>
      </c>
      <c r="G112" s="161" t="str">
        <f>IF(COUNTIF(H112:AU112,"&lt;&gt;")=0,"",SUMPRODUCT(((Recommendations[ImplStatus]="Implemented")+(Recommendations[ImplStatus]="Compensated"))*ISNUMBER(MATCH(Recommendations[Id],H112:AU112,0)))/COUNTIF(H112:AU112,"&lt;&gt;"))</f>
        <v/>
      </c>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78"/>
    </row>
    <row r="113" spans="1:47" ht="60" customHeight="1" x14ac:dyDescent="0.35">
      <c r="A113" s="174" t="s">
        <v>3872</v>
      </c>
      <c r="B113" s="148" t="s">
        <v>3926</v>
      </c>
      <c r="C113" s="149" t="s">
        <v>3937</v>
      </c>
      <c r="D113" s="152" t="s">
        <v>3938</v>
      </c>
      <c r="E113" s="155"/>
      <c r="F113" s="158" t="s">
        <v>20</v>
      </c>
      <c r="G113" s="161" t="str">
        <f>IF(COUNTIF(H113:AU113,"&lt;&gt;")=0,"",SUMPRODUCT(((Recommendations[ImplStatus]="Implemented")+(Recommendations[ImplStatus]="Compensated"))*ISNUMBER(MATCH(Recommendations[Id],H113:AU113,0)))/COUNTIF(H113:AU113,"&lt;&gt;"))</f>
        <v/>
      </c>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78"/>
    </row>
    <row r="114" spans="1:47" ht="60" customHeight="1" x14ac:dyDescent="0.35">
      <c r="A114" s="174" t="s">
        <v>3872</v>
      </c>
      <c r="B114" s="148" t="s">
        <v>3926</v>
      </c>
      <c r="C114" s="149" t="s">
        <v>3939</v>
      </c>
      <c r="D114" s="152" t="s">
        <v>3940</v>
      </c>
      <c r="E114" s="155"/>
      <c r="F114" s="158" t="s">
        <v>20</v>
      </c>
      <c r="G114" s="161" t="str">
        <f>IF(COUNTIF(H114:AU114,"&lt;&gt;")=0,"",SUMPRODUCT(((Recommendations[ImplStatus]="Implemented")+(Recommendations[ImplStatus]="Compensated"))*ISNUMBER(MATCH(Recommendations[Id],H114:AU114,0)))/COUNTIF(H114:AU114,"&lt;&gt;"))</f>
        <v/>
      </c>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78"/>
    </row>
    <row r="115" spans="1:47" ht="60" customHeight="1" x14ac:dyDescent="0.35">
      <c r="A115" s="174" t="s">
        <v>3872</v>
      </c>
      <c r="B115" s="148" t="s">
        <v>3926</v>
      </c>
      <c r="C115" s="149" t="s">
        <v>3941</v>
      </c>
      <c r="D115" s="152" t="s">
        <v>3942</v>
      </c>
      <c r="E115" s="155"/>
      <c r="F115" s="158" t="s">
        <v>20</v>
      </c>
      <c r="G115" s="161" t="str">
        <f>IF(COUNTIF(H115:AU115,"&lt;&gt;")=0,"",SUMPRODUCT(((Recommendations[ImplStatus]="Implemented")+(Recommendations[ImplStatus]="Compensated"))*ISNUMBER(MATCH(Recommendations[Id],H115:AU115,0)))/COUNTIF(H115:AU115,"&lt;&gt;"))</f>
        <v/>
      </c>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78"/>
    </row>
    <row r="116" spans="1:47" ht="60" customHeight="1" x14ac:dyDescent="0.35">
      <c r="A116" s="174" t="s">
        <v>3872</v>
      </c>
      <c r="B116" s="148" t="s">
        <v>3926</v>
      </c>
      <c r="C116" s="149" t="s">
        <v>3943</v>
      </c>
      <c r="D116" s="152" t="s">
        <v>3944</v>
      </c>
      <c r="E116" s="155"/>
      <c r="F116" s="158" t="s">
        <v>20</v>
      </c>
      <c r="G116" s="161" t="str">
        <f>IF(COUNTIF(H116:AU116,"&lt;&gt;")=0,"",SUMPRODUCT(((Recommendations[ImplStatus]="Implemented")+(Recommendations[ImplStatus]="Compensated"))*ISNUMBER(MATCH(Recommendations[Id],H116:AU116,0)))/COUNTIF(H116:AU116,"&lt;&gt;"))</f>
        <v/>
      </c>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78"/>
    </row>
    <row r="117" spans="1:47" ht="60" customHeight="1" x14ac:dyDescent="0.35">
      <c r="A117" s="174" t="s">
        <v>3872</v>
      </c>
      <c r="B117" s="148" t="s">
        <v>3926</v>
      </c>
      <c r="C117" s="149" t="s">
        <v>3945</v>
      </c>
      <c r="D117" s="152" t="s">
        <v>3946</v>
      </c>
      <c r="E117" s="155"/>
      <c r="F117" s="158" t="s">
        <v>20</v>
      </c>
      <c r="G117" s="161" t="str">
        <f>IF(COUNTIF(H117:AU117,"&lt;&gt;")=0,"",SUMPRODUCT(((Recommendations[ImplStatus]="Implemented")+(Recommendations[ImplStatus]="Compensated"))*ISNUMBER(MATCH(Recommendations[Id],H117:AU117,0)))/COUNTIF(H117:AU117,"&lt;&gt;"))</f>
        <v/>
      </c>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78"/>
    </row>
    <row r="118" spans="1:47" ht="60" customHeight="1" x14ac:dyDescent="0.35">
      <c r="A118" s="174" t="s">
        <v>3872</v>
      </c>
      <c r="B118" s="148" t="s">
        <v>3926</v>
      </c>
      <c r="C118" s="149" t="s">
        <v>3947</v>
      </c>
      <c r="D118" s="152" t="s">
        <v>3948</v>
      </c>
      <c r="E118" s="155" t="s">
        <v>3949</v>
      </c>
      <c r="F118" s="158" t="s">
        <v>3649</v>
      </c>
      <c r="G118" s="161" t="str">
        <f>IF(COUNTIF(H118:AU118,"&lt;&gt;")=0,"",SUMPRODUCT(((Recommendations[ImplStatus]="Implemented")+(Recommendations[ImplStatus]="Compensated"))*ISNUMBER(MATCH(Recommendations[Id],H118:AU118,0)))/COUNTIF(H118:AU118,"&lt;&gt;"))</f>
        <v/>
      </c>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78"/>
    </row>
    <row r="119" spans="1:47" ht="60" customHeight="1" x14ac:dyDescent="0.35">
      <c r="A119" s="174" t="s">
        <v>3872</v>
      </c>
      <c r="B119" s="148" t="s">
        <v>3926</v>
      </c>
      <c r="C119" s="149" t="s">
        <v>3950</v>
      </c>
      <c r="D119" s="152" t="s">
        <v>3951</v>
      </c>
      <c r="E119" s="155" t="s">
        <v>3952</v>
      </c>
      <c r="F119" s="158" t="s">
        <v>3649</v>
      </c>
      <c r="G119" s="161" t="str">
        <f>IF(COUNTIF(H119:AU119,"&lt;&gt;")=0,"",SUMPRODUCT(((Recommendations[ImplStatus]="Implemented")+(Recommendations[ImplStatus]="Compensated"))*ISNUMBER(MATCH(Recommendations[Id],H119:AU119,0)))/COUNTIF(H119:AU119,"&lt;&gt;"))</f>
        <v/>
      </c>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78"/>
    </row>
    <row r="120" spans="1:47" ht="60" customHeight="1" outlineLevel="1" x14ac:dyDescent="0.35">
      <c r="A120" s="173" t="s">
        <v>3872</v>
      </c>
      <c r="B120" s="147" t="s">
        <v>3953</v>
      </c>
      <c r="C120" s="145" t="s">
        <v>3954</v>
      </c>
      <c r="D120" s="151"/>
      <c r="E120" s="154" t="s">
        <v>20</v>
      </c>
      <c r="F120" s="157" t="s">
        <v>20</v>
      </c>
      <c r="G120" s="160" t="str">
        <f>IF(COUNTIF(H120:AU120,"&lt;&gt;")=0,"",SUMPRODUCT(((Recommendations[ImplStatus]="Implemented")+(Recommendations[ImplStatus]="Compensated"))*ISNUMBER(MATCH(Recommendations[Id],H120:AU120,0)))/COUNTIF(H120:AU120,"&lt;&gt;"))</f>
        <v/>
      </c>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77"/>
    </row>
    <row r="121" spans="1:47" ht="60" customHeight="1" x14ac:dyDescent="0.35">
      <c r="A121" s="174" t="s">
        <v>3872</v>
      </c>
      <c r="B121" s="148" t="s">
        <v>3953</v>
      </c>
      <c r="C121" s="149" t="s">
        <v>3955</v>
      </c>
      <c r="D121" s="152" t="s">
        <v>3956</v>
      </c>
      <c r="E121" s="155"/>
      <c r="F121" s="158" t="s">
        <v>20</v>
      </c>
      <c r="G121" s="161" t="str">
        <f>IF(COUNTIF(H121:AU121,"&lt;&gt;")=0,"",SUMPRODUCT(((Recommendations[ImplStatus]="Implemented")+(Recommendations[ImplStatus]="Compensated"))*ISNUMBER(MATCH(Recommendations[Id],H121:AU121,0)))/COUNTIF(H121:AU121,"&lt;&gt;"))</f>
        <v/>
      </c>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78"/>
    </row>
    <row r="122" spans="1:47" ht="60" customHeight="1" x14ac:dyDescent="0.35">
      <c r="A122" s="174" t="s">
        <v>3872</v>
      </c>
      <c r="B122" s="148" t="s">
        <v>3953</v>
      </c>
      <c r="C122" s="149" t="s">
        <v>3957</v>
      </c>
      <c r="D122" s="152" t="s">
        <v>3958</v>
      </c>
      <c r="E122" s="155"/>
      <c r="F122" s="158" t="s">
        <v>20</v>
      </c>
      <c r="G122" s="161" t="str">
        <f>IF(COUNTIF(H122:AU122,"&lt;&gt;")=0,"",SUMPRODUCT(((Recommendations[ImplStatus]="Implemented")+(Recommendations[ImplStatus]="Compensated"))*ISNUMBER(MATCH(Recommendations[Id],H122:AU122,0)))/COUNTIF(H122:AU122,"&lt;&gt;"))</f>
        <v/>
      </c>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78"/>
    </row>
    <row r="123" spans="1:47" ht="60" customHeight="1" x14ac:dyDescent="0.35">
      <c r="A123" s="174" t="s">
        <v>3872</v>
      </c>
      <c r="B123" s="148" t="s">
        <v>3953</v>
      </c>
      <c r="C123" s="149" t="s">
        <v>3959</v>
      </c>
      <c r="D123" s="152" t="s">
        <v>3960</v>
      </c>
      <c r="E123" s="155"/>
      <c r="F123" s="158" t="s">
        <v>20</v>
      </c>
      <c r="G123" s="161" t="str">
        <f>IF(COUNTIF(H123:AU123,"&lt;&gt;")=0,"",SUMPRODUCT(((Recommendations[ImplStatus]="Implemented")+(Recommendations[ImplStatus]="Compensated"))*ISNUMBER(MATCH(Recommendations[Id],H123:AU123,0)))/COUNTIF(H123:AU123,"&lt;&gt;"))</f>
        <v/>
      </c>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78"/>
    </row>
    <row r="124" spans="1:47" ht="60" customHeight="1" x14ac:dyDescent="0.35">
      <c r="A124" s="174" t="s">
        <v>3872</v>
      </c>
      <c r="B124" s="148" t="s">
        <v>3953</v>
      </c>
      <c r="C124" s="149" t="s">
        <v>3961</v>
      </c>
      <c r="D124" s="152" t="s">
        <v>3962</v>
      </c>
      <c r="E124" s="155"/>
      <c r="F124" s="158" t="s">
        <v>20</v>
      </c>
      <c r="G124" s="161" t="str">
        <f>IF(COUNTIF(H124:AU124,"&lt;&gt;")=0,"",SUMPRODUCT(((Recommendations[ImplStatus]="Implemented")+(Recommendations[ImplStatus]="Compensated"))*ISNUMBER(MATCH(Recommendations[Id],H124:AU124,0)))/COUNTIF(H124:AU124,"&lt;&gt;"))</f>
        <v/>
      </c>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78"/>
    </row>
    <row r="125" spans="1:47" ht="60" customHeight="1" x14ac:dyDescent="0.35">
      <c r="A125" s="174" t="s">
        <v>3872</v>
      </c>
      <c r="B125" s="148" t="s">
        <v>3953</v>
      </c>
      <c r="C125" s="149" t="s">
        <v>3963</v>
      </c>
      <c r="D125" s="152" t="s">
        <v>3964</v>
      </c>
      <c r="E125" s="155"/>
      <c r="F125" s="158" t="s">
        <v>20</v>
      </c>
      <c r="G125" s="161" t="str">
        <f>IF(COUNTIF(H125:AU125,"&lt;&gt;")=0,"",SUMPRODUCT(((Recommendations[ImplStatus]="Implemented")+(Recommendations[ImplStatus]="Compensated"))*ISNUMBER(MATCH(Recommendations[Id],H125:AU125,0)))/COUNTIF(H125:AU125,"&lt;&gt;"))</f>
        <v/>
      </c>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78"/>
    </row>
    <row r="126" spans="1:47" ht="60" customHeight="1" x14ac:dyDescent="0.35">
      <c r="A126" s="174" t="s">
        <v>3872</v>
      </c>
      <c r="B126" s="148" t="s">
        <v>3953</v>
      </c>
      <c r="C126" s="149" t="s">
        <v>3965</v>
      </c>
      <c r="D126" s="152" t="s">
        <v>3966</v>
      </c>
      <c r="E126" s="155"/>
      <c r="F126" s="158" t="s">
        <v>20</v>
      </c>
      <c r="G126" s="161" t="str">
        <f>IF(COUNTIF(H126:AU126,"&lt;&gt;")=0,"",SUMPRODUCT(((Recommendations[ImplStatus]="Implemented")+(Recommendations[ImplStatus]="Compensated"))*ISNUMBER(MATCH(Recommendations[Id],H126:AU126,0)))/COUNTIF(H126:AU126,"&lt;&gt;"))</f>
        <v/>
      </c>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78"/>
    </row>
    <row r="127" spans="1:47" ht="60" customHeight="1" x14ac:dyDescent="0.35">
      <c r="A127" s="174" t="s">
        <v>3872</v>
      </c>
      <c r="B127" s="148" t="s">
        <v>3953</v>
      </c>
      <c r="C127" s="149" t="s">
        <v>3967</v>
      </c>
      <c r="D127" s="152" t="s">
        <v>3968</v>
      </c>
      <c r="E127" s="155"/>
      <c r="F127" s="158" t="s">
        <v>20</v>
      </c>
      <c r="G127" s="161" t="str">
        <f>IF(COUNTIF(H127:AU127,"&lt;&gt;")=0,"",SUMPRODUCT(((Recommendations[ImplStatus]="Implemented")+(Recommendations[ImplStatus]="Compensated"))*ISNUMBER(MATCH(Recommendations[Id],H127:AU127,0)))/COUNTIF(H127:AU127,"&lt;&gt;"))</f>
        <v/>
      </c>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78"/>
    </row>
    <row r="128" spans="1:47" ht="60" customHeight="1" x14ac:dyDescent="0.35">
      <c r="A128" s="174" t="s">
        <v>3872</v>
      </c>
      <c r="B128" s="148" t="s">
        <v>3953</v>
      </c>
      <c r="C128" s="149" t="s">
        <v>3969</v>
      </c>
      <c r="D128" s="152" t="s">
        <v>3970</v>
      </c>
      <c r="E128" s="155"/>
      <c r="F128" s="158" t="s">
        <v>20</v>
      </c>
      <c r="G128" s="161" t="str">
        <f>IF(COUNTIF(H128:AU128,"&lt;&gt;")=0,"",SUMPRODUCT(((Recommendations[ImplStatus]="Implemented")+(Recommendations[ImplStatus]="Compensated"))*ISNUMBER(MATCH(Recommendations[Id],H128:AU128,0)))/COUNTIF(H128:AU128,"&lt;&gt;"))</f>
        <v/>
      </c>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78"/>
    </row>
    <row r="129" spans="1:47" ht="60" customHeight="1" x14ac:dyDescent="0.35">
      <c r="A129" s="174" t="s">
        <v>3872</v>
      </c>
      <c r="B129" s="148" t="s">
        <v>3953</v>
      </c>
      <c r="C129" s="149" t="s">
        <v>3971</v>
      </c>
      <c r="D129" s="152" t="s">
        <v>3972</v>
      </c>
      <c r="E129" s="155"/>
      <c r="F129" s="158" t="s">
        <v>20</v>
      </c>
      <c r="G129" s="161" t="str">
        <f>IF(COUNTIF(H129:AU129,"&lt;&gt;")=0,"",SUMPRODUCT(((Recommendations[ImplStatus]="Implemented")+(Recommendations[ImplStatus]="Compensated"))*ISNUMBER(MATCH(Recommendations[Id],H129:AU129,0)))/COUNTIF(H129:AU129,"&lt;&gt;"))</f>
        <v/>
      </c>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78"/>
    </row>
    <row r="130" spans="1:47" ht="60" customHeight="1" x14ac:dyDescent="0.35">
      <c r="A130" s="174" t="s">
        <v>3872</v>
      </c>
      <c r="B130" s="148" t="s">
        <v>3953</v>
      </c>
      <c r="C130" s="149" t="s">
        <v>3973</v>
      </c>
      <c r="D130" s="152" t="s">
        <v>3974</v>
      </c>
      <c r="E130" s="155"/>
      <c r="F130" s="158" t="s">
        <v>20</v>
      </c>
      <c r="G130" s="161" t="str">
        <f>IF(COUNTIF(H130:AU130,"&lt;&gt;")=0,"",SUMPRODUCT(((Recommendations[ImplStatus]="Implemented")+(Recommendations[ImplStatus]="Compensated"))*ISNUMBER(MATCH(Recommendations[Id],H130:AU130,0)))/COUNTIF(H130:AU130,"&lt;&gt;"))</f>
        <v/>
      </c>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78"/>
    </row>
    <row r="131" spans="1:47" ht="60" customHeight="1" x14ac:dyDescent="0.35">
      <c r="A131" s="174" t="s">
        <v>3872</v>
      </c>
      <c r="B131" s="148" t="s">
        <v>3953</v>
      </c>
      <c r="C131" s="149" t="s">
        <v>3975</v>
      </c>
      <c r="D131" s="152" t="s">
        <v>3976</v>
      </c>
      <c r="E131" s="155"/>
      <c r="F131" s="158" t="s">
        <v>20</v>
      </c>
      <c r="G131" s="161" t="str">
        <f>IF(COUNTIF(H131:AU131,"&lt;&gt;")=0,"",SUMPRODUCT(((Recommendations[ImplStatus]="Implemented")+(Recommendations[ImplStatus]="Compensated"))*ISNUMBER(MATCH(Recommendations[Id],H131:AU131,0)))/COUNTIF(H131:AU131,"&lt;&gt;"))</f>
        <v/>
      </c>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78"/>
    </row>
    <row r="132" spans="1:47" ht="60" customHeight="1" x14ac:dyDescent="0.35">
      <c r="A132" s="174" t="s">
        <v>3872</v>
      </c>
      <c r="B132" s="148" t="s">
        <v>3953</v>
      </c>
      <c r="C132" s="149" t="s">
        <v>3977</v>
      </c>
      <c r="D132" s="152" t="s">
        <v>3978</v>
      </c>
      <c r="E132" s="155"/>
      <c r="F132" s="158" t="s">
        <v>20</v>
      </c>
      <c r="G132" s="161" t="str">
        <f>IF(COUNTIF(H132:AU132,"&lt;&gt;")=0,"",SUMPRODUCT(((Recommendations[ImplStatus]="Implemented")+(Recommendations[ImplStatus]="Compensated"))*ISNUMBER(MATCH(Recommendations[Id],H132:AU132,0)))/COUNTIF(H132:AU132,"&lt;&gt;"))</f>
        <v/>
      </c>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78"/>
    </row>
    <row r="133" spans="1:47" ht="60" customHeight="1" outlineLevel="1" x14ac:dyDescent="0.35">
      <c r="A133" s="173" t="s">
        <v>3872</v>
      </c>
      <c r="B133" s="147" t="s">
        <v>3979</v>
      </c>
      <c r="C133" s="145" t="s">
        <v>3980</v>
      </c>
      <c r="D133" s="151" t="s">
        <v>3981</v>
      </c>
      <c r="E133" s="154" t="s">
        <v>20</v>
      </c>
      <c r="F133" s="157" t="s">
        <v>20</v>
      </c>
      <c r="G133" s="160" t="str">
        <f>IF(COUNTIF(H133:AU133,"&lt;&gt;")=0,"",SUMPRODUCT(((Recommendations[ImplStatus]="Implemented")+(Recommendations[ImplStatus]="Compensated"))*ISNUMBER(MATCH(Recommendations[Id],H133:AU133,0)))/COUNTIF(H133:AU133,"&lt;&gt;"))</f>
        <v/>
      </c>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77"/>
    </row>
    <row r="134" spans="1:47" ht="60" customHeight="1" x14ac:dyDescent="0.35">
      <c r="A134" s="174" t="s">
        <v>3872</v>
      </c>
      <c r="B134" s="148" t="s">
        <v>3979</v>
      </c>
      <c r="C134" s="149" t="s">
        <v>3982</v>
      </c>
      <c r="D134" s="152" t="s">
        <v>3983</v>
      </c>
      <c r="E134" s="155" t="s">
        <v>3984</v>
      </c>
      <c r="F134" s="158" t="s">
        <v>3653</v>
      </c>
      <c r="G134" s="161">
        <f>IF(COUNTIF(H134:AU134,"&lt;&gt;")=0,"",SUMPRODUCT(((Recommendations[ImplStatus]="Implemented")+(Recommendations[ImplStatus]="Compensated"))*ISNUMBER(MATCH(Recommendations[Id],H134:AU134,0)))/COUNTIF(H134:AU134,"&lt;&gt;"))</f>
        <v>0</v>
      </c>
      <c r="H134" s="164" t="s">
        <v>387</v>
      </c>
      <c r="I134" s="164" t="s">
        <v>390</v>
      </c>
      <c r="J134" s="164" t="s">
        <v>393</v>
      </c>
      <c r="K134" s="164" t="s">
        <v>409</v>
      </c>
      <c r="L134" s="164" t="s">
        <v>412</v>
      </c>
      <c r="M134" s="164" t="s">
        <v>415</v>
      </c>
      <c r="N134" s="164" t="s">
        <v>431</v>
      </c>
      <c r="O134" s="164" t="s">
        <v>434</v>
      </c>
      <c r="P134" s="164" t="s">
        <v>437</v>
      </c>
      <c r="Q134" s="164" t="s">
        <v>515</v>
      </c>
      <c r="R134" s="164" t="s">
        <v>520</v>
      </c>
      <c r="S134" s="164" t="s">
        <v>525</v>
      </c>
      <c r="T134" s="164" t="s">
        <v>530</v>
      </c>
      <c r="U134" s="164" t="s">
        <v>626</v>
      </c>
      <c r="V134" s="164" t="s">
        <v>639</v>
      </c>
      <c r="W134" s="164" t="s">
        <v>646</v>
      </c>
      <c r="X134" s="164" t="s">
        <v>658</v>
      </c>
      <c r="Y134" s="164" t="s">
        <v>663</v>
      </c>
      <c r="Z134" s="164" t="s">
        <v>668</v>
      </c>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78"/>
    </row>
    <row r="135" spans="1:47" ht="60" customHeight="1" x14ac:dyDescent="0.35">
      <c r="A135" s="174" t="s">
        <v>3872</v>
      </c>
      <c r="B135" s="148" t="s">
        <v>3979</v>
      </c>
      <c r="C135" s="149" t="s">
        <v>3985</v>
      </c>
      <c r="D135" s="152" t="s">
        <v>3986</v>
      </c>
      <c r="E135" s="155" t="s">
        <v>3987</v>
      </c>
      <c r="F135" s="158" t="s">
        <v>3653</v>
      </c>
      <c r="G135" s="161" t="str">
        <f>IF(COUNTIF(H135:AU135,"&lt;&gt;")=0,"",SUMPRODUCT(((Recommendations[ImplStatus]="Implemented")+(Recommendations[ImplStatus]="Compensated"))*ISNUMBER(MATCH(Recommendations[Id],H135:AU135,0)))/COUNTIF(H135:AU135,"&lt;&gt;"))</f>
        <v/>
      </c>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78"/>
    </row>
    <row r="136" spans="1:47" ht="60" customHeight="1" x14ac:dyDescent="0.35">
      <c r="A136" s="174" t="s">
        <v>3872</v>
      </c>
      <c r="B136" s="148" t="s">
        <v>3979</v>
      </c>
      <c r="C136" s="149" t="s">
        <v>3988</v>
      </c>
      <c r="D136" s="152" t="s">
        <v>3989</v>
      </c>
      <c r="E136" s="155" t="s">
        <v>3990</v>
      </c>
      <c r="F136" s="158" t="s">
        <v>3649</v>
      </c>
      <c r="G136" s="161" t="str">
        <f>IF(COUNTIF(H136:AU136,"&lt;&gt;")=0,"",SUMPRODUCT(((Recommendations[ImplStatus]="Implemented")+(Recommendations[ImplStatus]="Compensated"))*ISNUMBER(MATCH(Recommendations[Id],H136:AU136,0)))/COUNTIF(H136:AU136,"&lt;&gt;"))</f>
        <v/>
      </c>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78"/>
    </row>
    <row r="137" spans="1:47" ht="60" customHeight="1" x14ac:dyDescent="0.35">
      <c r="A137" s="174" t="s">
        <v>3872</v>
      </c>
      <c r="B137" s="148" t="s">
        <v>3979</v>
      </c>
      <c r="C137" s="149" t="s">
        <v>3991</v>
      </c>
      <c r="D137" s="152" t="s">
        <v>3992</v>
      </c>
      <c r="E137" s="155" t="s">
        <v>3993</v>
      </c>
      <c r="F137" s="158" t="s">
        <v>20</v>
      </c>
      <c r="G137" s="161" t="str">
        <f>IF(COUNTIF(H137:AU137,"&lt;&gt;")=0,"",SUMPRODUCT(((Recommendations[ImplStatus]="Implemented")+(Recommendations[ImplStatus]="Compensated"))*ISNUMBER(MATCH(Recommendations[Id],H137:AU137,0)))/COUNTIF(H137:AU137,"&lt;&gt;"))</f>
        <v/>
      </c>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78"/>
    </row>
    <row r="138" spans="1:47" ht="60" customHeight="1" outlineLevel="1" x14ac:dyDescent="0.35">
      <c r="A138" s="173" t="s">
        <v>3872</v>
      </c>
      <c r="B138" s="147" t="s">
        <v>3289</v>
      </c>
      <c r="C138" s="145" t="s">
        <v>3994</v>
      </c>
      <c r="D138" s="151"/>
      <c r="E138" s="154" t="s">
        <v>20</v>
      </c>
      <c r="F138" s="157" t="s">
        <v>20</v>
      </c>
      <c r="G138" s="160" t="str">
        <f>IF(COUNTIF(H138:AU138,"&lt;&gt;")=0,"",SUMPRODUCT(((Recommendations[ImplStatus]="Implemented")+(Recommendations[ImplStatus]="Compensated"))*ISNUMBER(MATCH(Recommendations[Id],H138:AU138,0)))/COUNTIF(H138:AU138,"&lt;&gt;"))</f>
        <v/>
      </c>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77"/>
    </row>
    <row r="139" spans="1:47" ht="60" customHeight="1" x14ac:dyDescent="0.35">
      <c r="A139" s="174" t="s">
        <v>3872</v>
      </c>
      <c r="B139" s="148" t="s">
        <v>3289</v>
      </c>
      <c r="C139" s="149" t="s">
        <v>3995</v>
      </c>
      <c r="D139" s="152" t="s">
        <v>3996</v>
      </c>
      <c r="E139" s="155"/>
      <c r="F139" s="158" t="s">
        <v>20</v>
      </c>
      <c r="G139" s="161" t="str">
        <f>IF(COUNTIF(H139:AU139,"&lt;&gt;")=0,"",SUMPRODUCT(((Recommendations[ImplStatus]="Implemented")+(Recommendations[ImplStatus]="Compensated"))*ISNUMBER(MATCH(Recommendations[Id],H139:AU139,0)))/COUNTIF(H139:AU139,"&lt;&gt;"))</f>
        <v/>
      </c>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78"/>
    </row>
    <row r="140" spans="1:47" ht="60" customHeight="1" x14ac:dyDescent="0.35">
      <c r="A140" s="174" t="s">
        <v>3872</v>
      </c>
      <c r="B140" s="148" t="s">
        <v>3289</v>
      </c>
      <c r="C140" s="149" t="s">
        <v>3997</v>
      </c>
      <c r="D140" s="152" t="s">
        <v>3998</v>
      </c>
      <c r="E140" s="155"/>
      <c r="F140" s="158" t="s">
        <v>20</v>
      </c>
      <c r="G140" s="161" t="str">
        <f>IF(COUNTIF(H140:AU140,"&lt;&gt;")=0,"",SUMPRODUCT(((Recommendations[ImplStatus]="Implemented")+(Recommendations[ImplStatus]="Compensated"))*ISNUMBER(MATCH(Recommendations[Id],H140:AU140,0)))/COUNTIF(H140:AU140,"&lt;&gt;"))</f>
        <v/>
      </c>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78"/>
    </row>
    <row r="141" spans="1:47" ht="60" customHeight="1" outlineLevel="1" x14ac:dyDescent="0.35">
      <c r="A141" s="173" t="s">
        <v>3872</v>
      </c>
      <c r="B141" s="147" t="s">
        <v>3999</v>
      </c>
      <c r="C141" s="145" t="s">
        <v>4000</v>
      </c>
      <c r="D141" s="151" t="s">
        <v>4001</v>
      </c>
      <c r="E141" s="154" t="s">
        <v>20</v>
      </c>
      <c r="F141" s="157" t="s">
        <v>20</v>
      </c>
      <c r="G141" s="160" t="str">
        <f>IF(COUNTIF(H141:AU141,"&lt;&gt;")=0,"",SUMPRODUCT(((Recommendations[ImplStatus]="Implemented")+(Recommendations[ImplStatus]="Compensated"))*ISNUMBER(MATCH(Recommendations[Id],H141:AU141,0)))/COUNTIF(H141:AU141,"&lt;&gt;"))</f>
        <v/>
      </c>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77"/>
    </row>
    <row r="142" spans="1:47" ht="60" customHeight="1" x14ac:dyDescent="0.35">
      <c r="A142" s="174" t="s">
        <v>3872</v>
      </c>
      <c r="B142" s="148" t="s">
        <v>3999</v>
      </c>
      <c r="C142" s="149" t="s">
        <v>4002</v>
      </c>
      <c r="D142" s="152" t="s">
        <v>4003</v>
      </c>
      <c r="E142" s="155" t="s">
        <v>4004</v>
      </c>
      <c r="F142" s="158" t="s">
        <v>3649</v>
      </c>
      <c r="G142" s="161">
        <f>IF(COUNTIF(H142:AU142,"&lt;&gt;")=0,"",SUMPRODUCT(((Recommendations[ImplStatus]="Implemented")+(Recommendations[ImplStatus]="Compensated"))*ISNUMBER(MATCH(Recommendations[Id],H142:AU142,0)))/COUNTIF(H142:AU142,"&lt;&gt;"))</f>
        <v>0</v>
      </c>
      <c r="H142" s="164" t="s">
        <v>483</v>
      </c>
      <c r="I142" s="164" t="s">
        <v>489</v>
      </c>
      <c r="J142" s="164" t="s">
        <v>494</v>
      </c>
      <c r="K142" s="164" t="s">
        <v>499</v>
      </c>
      <c r="L142" s="164" t="s">
        <v>504</v>
      </c>
      <c r="M142" s="164" t="s">
        <v>536</v>
      </c>
      <c r="N142" s="164" t="s">
        <v>541</v>
      </c>
      <c r="O142" s="164" t="s">
        <v>568</v>
      </c>
      <c r="P142" s="164" t="s">
        <v>610</v>
      </c>
      <c r="Q142" s="164" t="s">
        <v>653</v>
      </c>
      <c r="R142" s="164" t="s">
        <v>681</v>
      </c>
      <c r="S142" s="164" t="s">
        <v>705</v>
      </c>
      <c r="T142" s="164" t="s">
        <v>711</v>
      </c>
      <c r="U142" s="164" t="s">
        <v>723</v>
      </c>
      <c r="V142" s="164" t="s">
        <v>729</v>
      </c>
      <c r="W142" s="164" t="s">
        <v>748</v>
      </c>
      <c r="X142" s="164" t="s">
        <v>771</v>
      </c>
      <c r="Y142" s="164" t="s">
        <v>777</v>
      </c>
      <c r="Z142" s="164" t="s">
        <v>813</v>
      </c>
      <c r="AA142" s="164" t="s">
        <v>838</v>
      </c>
      <c r="AB142" s="164" t="s">
        <v>843</v>
      </c>
      <c r="AC142" s="164" t="s">
        <v>848</v>
      </c>
      <c r="AD142" s="164" t="s">
        <v>862</v>
      </c>
      <c r="AE142" s="164" t="s">
        <v>880</v>
      </c>
      <c r="AF142" s="164" t="s">
        <v>908</v>
      </c>
      <c r="AG142" s="164" t="s">
        <v>913</v>
      </c>
      <c r="AH142" s="164" t="s">
        <v>919</v>
      </c>
      <c r="AI142" s="164" t="s">
        <v>925</v>
      </c>
      <c r="AJ142" s="164" t="s">
        <v>931</v>
      </c>
      <c r="AK142" s="164" t="s">
        <v>936</v>
      </c>
      <c r="AL142" s="164" t="s">
        <v>941</v>
      </c>
      <c r="AM142" s="164" t="s">
        <v>947</v>
      </c>
      <c r="AN142" s="164" t="s">
        <v>952</v>
      </c>
      <c r="AO142" s="164" t="s">
        <v>957</v>
      </c>
      <c r="AP142" s="164" t="s">
        <v>962</v>
      </c>
      <c r="AQ142" s="164" t="s">
        <v>968</v>
      </c>
      <c r="AR142" s="164" t="s">
        <v>975</v>
      </c>
      <c r="AS142" s="164" t="s">
        <v>981</v>
      </c>
      <c r="AT142" s="164" t="s">
        <v>986</v>
      </c>
      <c r="AU142" s="178" t="s">
        <v>992</v>
      </c>
    </row>
    <row r="143" spans="1:47" ht="60" customHeight="1" x14ac:dyDescent="0.35">
      <c r="A143" s="174" t="s">
        <v>3872</v>
      </c>
      <c r="B143" s="148" t="s">
        <v>3999</v>
      </c>
      <c r="C143" s="149" t="s">
        <v>4005</v>
      </c>
      <c r="D143" s="152" t="s">
        <v>4006</v>
      </c>
      <c r="E143" s="155" t="s">
        <v>4007</v>
      </c>
      <c r="F143" s="158" t="s">
        <v>3649</v>
      </c>
      <c r="G143" s="161" t="str">
        <f>IF(COUNTIF(H143:AU143,"&lt;&gt;")=0,"",SUMPRODUCT(((Recommendations[ImplStatus]="Implemented")+(Recommendations[ImplStatus]="Compensated"))*ISNUMBER(MATCH(Recommendations[Id],H143:AU143,0)))/COUNTIF(H143:AU143,"&lt;&gt;"))</f>
        <v/>
      </c>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78"/>
    </row>
    <row r="144" spans="1:47" ht="60" customHeight="1" x14ac:dyDescent="0.35">
      <c r="A144" s="174" t="s">
        <v>3872</v>
      </c>
      <c r="B144" s="148" t="s">
        <v>3999</v>
      </c>
      <c r="C144" s="149" t="s">
        <v>4008</v>
      </c>
      <c r="D144" s="152" t="s">
        <v>4009</v>
      </c>
      <c r="E144" s="155" t="s">
        <v>4010</v>
      </c>
      <c r="F144" s="158" t="s">
        <v>3653</v>
      </c>
      <c r="G144" s="161" t="str">
        <f>IF(COUNTIF(H144:AU144,"&lt;&gt;")=0,"",SUMPRODUCT(((Recommendations[ImplStatus]="Implemented")+(Recommendations[ImplStatus]="Compensated"))*ISNUMBER(MATCH(Recommendations[Id],H144:AU144,0)))/COUNTIF(H144:AU144,"&lt;&gt;"))</f>
        <v/>
      </c>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78"/>
    </row>
    <row r="145" spans="1:47" ht="60" customHeight="1" x14ac:dyDescent="0.35">
      <c r="A145" s="174" t="s">
        <v>3872</v>
      </c>
      <c r="B145" s="148" t="s">
        <v>3999</v>
      </c>
      <c r="C145" s="149" t="s">
        <v>4011</v>
      </c>
      <c r="D145" s="152" t="s">
        <v>4012</v>
      </c>
      <c r="E145" s="155" t="s">
        <v>4013</v>
      </c>
      <c r="F145" s="158" t="s">
        <v>3649</v>
      </c>
      <c r="G145" s="161" t="str">
        <f>IF(COUNTIF(H145:AU145,"&lt;&gt;")=0,"",SUMPRODUCT(((Recommendations[ImplStatus]="Implemented")+(Recommendations[ImplStatus]="Compensated"))*ISNUMBER(MATCH(Recommendations[Id],H145:AU145,0)))/COUNTIF(H145:AU145,"&lt;&gt;"))</f>
        <v/>
      </c>
      <c r="H145" s="164"/>
      <c r="I145" s="164"/>
      <c r="J145" s="164"/>
      <c r="K145" s="164"/>
      <c r="L145" s="164"/>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78"/>
    </row>
    <row r="146" spans="1:47" ht="60" customHeight="1" x14ac:dyDescent="0.35">
      <c r="A146" s="174" t="s">
        <v>3872</v>
      </c>
      <c r="B146" s="148" t="s">
        <v>3999</v>
      </c>
      <c r="C146" s="149" t="s">
        <v>4014</v>
      </c>
      <c r="D146" s="152" t="s">
        <v>4015</v>
      </c>
      <c r="E146" s="155" t="s">
        <v>4016</v>
      </c>
      <c r="F146" s="158" t="s">
        <v>3649</v>
      </c>
      <c r="G146" s="161" t="str">
        <f>IF(COUNTIF(H146:AU146,"&lt;&gt;")=0,"",SUMPRODUCT(((Recommendations[ImplStatus]="Implemented")+(Recommendations[ImplStatus]="Compensated"))*ISNUMBER(MATCH(Recommendations[Id],H146:AU146,0)))/COUNTIF(H146:AU146,"&lt;&gt;"))</f>
        <v/>
      </c>
      <c r="H146" s="164"/>
      <c r="I146" s="164"/>
      <c r="J146" s="164"/>
      <c r="K146" s="164"/>
      <c r="L146" s="164"/>
      <c r="M146" s="164"/>
      <c r="N146" s="164"/>
      <c r="O146" s="164"/>
      <c r="P146" s="164"/>
      <c r="Q146" s="164"/>
      <c r="R146" s="164"/>
      <c r="S146" s="164"/>
      <c r="T146" s="164"/>
      <c r="U146" s="164"/>
      <c r="V146" s="164"/>
      <c r="W146" s="164"/>
      <c r="X146" s="164"/>
      <c r="Y146" s="164"/>
      <c r="Z146" s="164"/>
      <c r="AA146" s="164"/>
      <c r="AB146" s="164"/>
      <c r="AC146" s="164"/>
      <c r="AD146" s="164"/>
      <c r="AE146" s="164"/>
      <c r="AF146" s="164"/>
      <c r="AG146" s="164"/>
      <c r="AH146" s="164"/>
      <c r="AI146" s="164"/>
      <c r="AJ146" s="164"/>
      <c r="AK146" s="164"/>
      <c r="AL146" s="164"/>
      <c r="AM146" s="164"/>
      <c r="AN146" s="164"/>
      <c r="AO146" s="164"/>
      <c r="AP146" s="164"/>
      <c r="AQ146" s="164"/>
      <c r="AR146" s="164"/>
      <c r="AS146" s="164"/>
      <c r="AT146" s="164"/>
      <c r="AU146" s="178"/>
    </row>
    <row r="147" spans="1:47" ht="60" customHeight="1" x14ac:dyDescent="0.35">
      <c r="A147" s="174" t="s">
        <v>3872</v>
      </c>
      <c r="B147" s="148" t="s">
        <v>3999</v>
      </c>
      <c r="C147" s="149" t="s">
        <v>4017</v>
      </c>
      <c r="D147" s="152" t="s">
        <v>4018</v>
      </c>
      <c r="E147" s="155" t="s">
        <v>4019</v>
      </c>
      <c r="F147" s="158" t="s">
        <v>3649</v>
      </c>
      <c r="G147" s="161" t="str">
        <f>IF(COUNTIF(H147:AU147,"&lt;&gt;")=0,"",SUMPRODUCT(((Recommendations[ImplStatus]="Implemented")+(Recommendations[ImplStatus]="Compensated"))*ISNUMBER(MATCH(Recommendations[Id],H147:AU147,0)))/COUNTIF(H147:AU147,"&lt;&gt;"))</f>
        <v/>
      </c>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78"/>
    </row>
    <row r="148" spans="1:47" ht="60" customHeight="1" outlineLevel="1" x14ac:dyDescent="0.35">
      <c r="A148" s="173" t="s">
        <v>3872</v>
      </c>
      <c r="B148" s="147" t="s">
        <v>4020</v>
      </c>
      <c r="C148" s="145" t="s">
        <v>4021</v>
      </c>
      <c r="D148" s="151"/>
      <c r="E148" s="154" t="s">
        <v>20</v>
      </c>
      <c r="F148" s="157" t="s">
        <v>20</v>
      </c>
      <c r="G148" s="160" t="str">
        <f>IF(COUNTIF(H148:AU148,"&lt;&gt;")=0,"",SUMPRODUCT(((Recommendations[ImplStatus]="Implemented")+(Recommendations[ImplStatus]="Compensated"))*ISNUMBER(MATCH(Recommendations[Id],H148:AU148,0)))/COUNTIF(H148:AU148,"&lt;&gt;"))</f>
        <v/>
      </c>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77"/>
    </row>
    <row r="149" spans="1:47" ht="60" customHeight="1" x14ac:dyDescent="0.35">
      <c r="A149" s="174" t="s">
        <v>3872</v>
      </c>
      <c r="B149" s="148" t="s">
        <v>4020</v>
      </c>
      <c r="C149" s="149" t="s">
        <v>4022</v>
      </c>
      <c r="D149" s="152" t="s">
        <v>4023</v>
      </c>
      <c r="E149" s="155"/>
      <c r="F149" s="158" t="s">
        <v>20</v>
      </c>
      <c r="G149" s="161" t="str">
        <f>IF(COUNTIF(H149:AU149,"&lt;&gt;")=0,"",SUMPRODUCT(((Recommendations[ImplStatus]="Implemented")+(Recommendations[ImplStatus]="Compensated"))*ISNUMBER(MATCH(Recommendations[Id],H149:AU149,0)))/COUNTIF(H149:AU149,"&lt;&gt;"))</f>
        <v/>
      </c>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78"/>
    </row>
    <row r="150" spans="1:47" ht="60" customHeight="1" x14ac:dyDescent="0.35">
      <c r="A150" s="174" t="s">
        <v>3872</v>
      </c>
      <c r="B150" s="148" t="s">
        <v>4020</v>
      </c>
      <c r="C150" s="149" t="s">
        <v>4024</v>
      </c>
      <c r="D150" s="152" t="s">
        <v>4025</v>
      </c>
      <c r="E150" s="155"/>
      <c r="F150" s="158" t="s">
        <v>20</v>
      </c>
      <c r="G150" s="161" t="str">
        <f>IF(COUNTIF(H150:AU150,"&lt;&gt;")=0,"",SUMPRODUCT(((Recommendations[ImplStatus]="Implemented")+(Recommendations[ImplStatus]="Compensated"))*ISNUMBER(MATCH(Recommendations[Id],H150:AU150,0)))/COUNTIF(H150:AU150,"&lt;&gt;"))</f>
        <v/>
      </c>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78"/>
    </row>
    <row r="151" spans="1:47" ht="60" customHeight="1" x14ac:dyDescent="0.35">
      <c r="A151" s="174" t="s">
        <v>3872</v>
      </c>
      <c r="B151" s="148" t="s">
        <v>4020</v>
      </c>
      <c r="C151" s="149" t="s">
        <v>4026</v>
      </c>
      <c r="D151" s="152" t="s">
        <v>4027</v>
      </c>
      <c r="E151" s="155"/>
      <c r="F151" s="158" t="s">
        <v>20</v>
      </c>
      <c r="G151" s="161" t="str">
        <f>IF(COUNTIF(H151:AU151,"&lt;&gt;")=0,"",SUMPRODUCT(((Recommendations[ImplStatus]="Implemented")+(Recommendations[ImplStatus]="Compensated"))*ISNUMBER(MATCH(Recommendations[Id],H151:AU151,0)))/COUNTIF(H151:AU151,"&lt;&gt;"))</f>
        <v/>
      </c>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78"/>
    </row>
    <row r="152" spans="1:47" ht="60" customHeight="1" x14ac:dyDescent="0.35">
      <c r="A152" s="174" t="s">
        <v>3872</v>
      </c>
      <c r="B152" s="148" t="s">
        <v>4020</v>
      </c>
      <c r="C152" s="149" t="s">
        <v>4028</v>
      </c>
      <c r="D152" s="152" t="s">
        <v>4029</v>
      </c>
      <c r="E152" s="155"/>
      <c r="F152" s="158" t="s">
        <v>20</v>
      </c>
      <c r="G152" s="161" t="str">
        <f>IF(COUNTIF(H152:AU152,"&lt;&gt;")=0,"",SUMPRODUCT(((Recommendations[ImplStatus]="Implemented")+(Recommendations[ImplStatus]="Compensated"))*ISNUMBER(MATCH(Recommendations[Id],H152:AU152,0)))/COUNTIF(H152:AU152,"&lt;&gt;"))</f>
        <v/>
      </c>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78"/>
    </row>
    <row r="153" spans="1:47" ht="60" customHeight="1" x14ac:dyDescent="0.35">
      <c r="A153" s="174" t="s">
        <v>3872</v>
      </c>
      <c r="B153" s="148" t="s">
        <v>4020</v>
      </c>
      <c r="C153" s="149" t="s">
        <v>4030</v>
      </c>
      <c r="D153" s="152" t="s">
        <v>4031</v>
      </c>
      <c r="E153" s="155"/>
      <c r="F153" s="158" t="s">
        <v>20</v>
      </c>
      <c r="G153" s="161" t="str">
        <f>IF(COUNTIF(H153:AU153,"&lt;&gt;")=0,"",SUMPRODUCT(((Recommendations[ImplStatus]="Implemented")+(Recommendations[ImplStatus]="Compensated"))*ISNUMBER(MATCH(Recommendations[Id],H153:AU153,0)))/COUNTIF(H153:AU153,"&lt;&gt;"))</f>
        <v/>
      </c>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78"/>
    </row>
    <row r="154" spans="1:47" ht="60" customHeight="1" outlineLevel="1" x14ac:dyDescent="0.35">
      <c r="A154" s="172" t="s">
        <v>4032</v>
      </c>
      <c r="B154" s="146" t="s">
        <v>20</v>
      </c>
      <c r="C154" s="144" t="s">
        <v>4033</v>
      </c>
      <c r="D154" s="150" t="s">
        <v>4034</v>
      </c>
      <c r="E154" s="153" t="s">
        <v>20</v>
      </c>
      <c r="F154" s="156" t="s">
        <v>20</v>
      </c>
      <c r="G154" s="159" t="str">
        <f>IF(COUNTIF(H154:AU154,"&lt;&gt;")=0,"",SUMPRODUCT(((Recommendations[ImplStatus]="Implemented")+(Recommendations[ImplStatus]="Compensated"))*ISNUMBER(MATCH(Recommendations[Id],H154:AU154,0)))/COUNTIF(H154:AU154,"&lt;&gt;"))</f>
        <v/>
      </c>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76"/>
    </row>
    <row r="155" spans="1:47" ht="60" customHeight="1" outlineLevel="1" x14ac:dyDescent="0.35">
      <c r="A155" s="173" t="s">
        <v>4032</v>
      </c>
      <c r="B155" s="147" t="s">
        <v>4035</v>
      </c>
      <c r="C155" s="145" t="s">
        <v>4036</v>
      </c>
      <c r="D155" s="151" t="s">
        <v>4037</v>
      </c>
      <c r="E155" s="154" t="s">
        <v>20</v>
      </c>
      <c r="F155" s="157" t="s">
        <v>20</v>
      </c>
      <c r="G155" s="160" t="str">
        <f>IF(COUNTIF(H155:AU155,"&lt;&gt;")=0,"",SUMPRODUCT(((Recommendations[ImplStatus]="Implemented")+(Recommendations[ImplStatus]="Compensated"))*ISNUMBER(MATCH(Recommendations[Id],H155:AU155,0)))/COUNTIF(H155:AU155,"&lt;&gt;"))</f>
        <v/>
      </c>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77"/>
    </row>
    <row r="156" spans="1:47" ht="60" customHeight="1" x14ac:dyDescent="0.35">
      <c r="A156" s="174" t="s">
        <v>4032</v>
      </c>
      <c r="B156" s="148" t="s">
        <v>4035</v>
      </c>
      <c r="C156" s="149" t="s">
        <v>4038</v>
      </c>
      <c r="D156" s="152" t="s">
        <v>4039</v>
      </c>
      <c r="E156" s="155"/>
      <c r="F156" s="158" t="s">
        <v>20</v>
      </c>
      <c r="G156" s="161" t="str">
        <f>IF(COUNTIF(H156:AU156,"&lt;&gt;")=0,"",SUMPRODUCT(((Recommendations[ImplStatus]="Implemented")+(Recommendations[ImplStatus]="Compensated"))*ISNUMBER(MATCH(Recommendations[Id],H156:AU156,0)))/COUNTIF(H156:AU156,"&lt;&gt;"))</f>
        <v/>
      </c>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78"/>
    </row>
    <row r="157" spans="1:47" ht="60" customHeight="1" x14ac:dyDescent="0.35">
      <c r="A157" s="174" t="s">
        <v>4032</v>
      </c>
      <c r="B157" s="148" t="s">
        <v>4035</v>
      </c>
      <c r="C157" s="149" t="s">
        <v>4040</v>
      </c>
      <c r="D157" s="152" t="s">
        <v>4041</v>
      </c>
      <c r="E157" s="155" t="s">
        <v>4042</v>
      </c>
      <c r="F157" s="158" t="s">
        <v>3649</v>
      </c>
      <c r="G157" s="161">
        <f>IF(COUNTIF(H157:AU157,"&lt;&gt;")=0,"",SUMPRODUCT(((Recommendations[ImplStatus]="Implemented")+(Recommendations[ImplStatus]="Compensated"))*ISNUMBER(MATCH(Recommendations[Id],H157:AU157,0)))/COUNTIF(H157:AU157,"&lt;&gt;"))</f>
        <v>0</v>
      </c>
      <c r="H157" s="164" t="s">
        <v>310</v>
      </c>
      <c r="I157" s="164" t="s">
        <v>324</v>
      </c>
      <c r="J157" s="164" t="s">
        <v>328</v>
      </c>
      <c r="K157" s="164" t="s">
        <v>334</v>
      </c>
      <c r="L157" s="164"/>
      <c r="M157" s="164"/>
      <c r="N157" s="164"/>
      <c r="O157" s="164"/>
      <c r="P157" s="164"/>
      <c r="Q157" s="164"/>
      <c r="R157" s="164"/>
      <c r="S157" s="164"/>
      <c r="T157" s="164"/>
      <c r="U157" s="164"/>
      <c r="V157" s="164"/>
      <c r="W157" s="164"/>
      <c r="X157" s="164"/>
      <c r="Y157" s="164"/>
      <c r="Z157" s="164"/>
      <c r="AA157" s="164"/>
      <c r="AB157" s="164"/>
      <c r="AC157" s="164"/>
      <c r="AD157" s="164"/>
      <c r="AE157" s="164"/>
      <c r="AF157" s="164"/>
      <c r="AG157" s="164"/>
      <c r="AH157" s="164"/>
      <c r="AI157" s="164"/>
      <c r="AJ157" s="164"/>
      <c r="AK157" s="164"/>
      <c r="AL157" s="164"/>
      <c r="AM157" s="164"/>
      <c r="AN157" s="164"/>
      <c r="AO157" s="164"/>
      <c r="AP157" s="164"/>
      <c r="AQ157" s="164"/>
      <c r="AR157" s="164"/>
      <c r="AS157" s="164"/>
      <c r="AT157" s="164"/>
      <c r="AU157" s="178"/>
    </row>
    <row r="158" spans="1:47" ht="60" customHeight="1" x14ac:dyDescent="0.35">
      <c r="A158" s="174" t="s">
        <v>4032</v>
      </c>
      <c r="B158" s="148" t="s">
        <v>4035</v>
      </c>
      <c r="C158" s="149" t="s">
        <v>4043</v>
      </c>
      <c r="D158" s="152" t="s">
        <v>4044</v>
      </c>
      <c r="E158" s="155" t="s">
        <v>4045</v>
      </c>
      <c r="F158" s="158" t="s">
        <v>3649</v>
      </c>
      <c r="G158" s="161" t="str">
        <f>IF(COUNTIF(H158:AU158,"&lt;&gt;")=0,"",SUMPRODUCT(((Recommendations[ImplStatus]="Implemented")+(Recommendations[ImplStatus]="Compensated"))*ISNUMBER(MATCH(Recommendations[Id],H158:AU158,0)))/COUNTIF(H158:AU158,"&lt;&gt;"))</f>
        <v/>
      </c>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78"/>
    </row>
    <row r="159" spans="1:47" ht="60" customHeight="1" x14ac:dyDescent="0.35">
      <c r="A159" s="174" t="s">
        <v>4032</v>
      </c>
      <c r="B159" s="148" t="s">
        <v>4035</v>
      </c>
      <c r="C159" s="149" t="s">
        <v>4046</v>
      </c>
      <c r="D159" s="152" t="s">
        <v>4047</v>
      </c>
      <c r="E159" s="155" t="s">
        <v>4048</v>
      </c>
      <c r="F159" s="158" t="s">
        <v>3649</v>
      </c>
      <c r="G159" s="161" t="str">
        <f>IF(COUNTIF(H159:AU159,"&lt;&gt;")=0,"",SUMPRODUCT(((Recommendations[ImplStatus]="Implemented")+(Recommendations[ImplStatus]="Compensated"))*ISNUMBER(MATCH(Recommendations[Id],H159:AU159,0)))/COUNTIF(H159:AU159,"&lt;&gt;"))</f>
        <v/>
      </c>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78"/>
    </row>
    <row r="160" spans="1:47" ht="60" customHeight="1" x14ac:dyDescent="0.35">
      <c r="A160" s="174" t="s">
        <v>4032</v>
      </c>
      <c r="B160" s="148" t="s">
        <v>4035</v>
      </c>
      <c r="C160" s="149" t="s">
        <v>4049</v>
      </c>
      <c r="D160" s="152" t="s">
        <v>4050</v>
      </c>
      <c r="E160" s="155"/>
      <c r="F160" s="158" t="s">
        <v>20</v>
      </c>
      <c r="G160" s="161" t="str">
        <f>IF(COUNTIF(H160:AU160,"&lt;&gt;")=0,"",SUMPRODUCT(((Recommendations[ImplStatus]="Implemented")+(Recommendations[ImplStatus]="Compensated"))*ISNUMBER(MATCH(Recommendations[Id],H160:AU160,0)))/COUNTIF(H160:AU160,"&lt;&gt;"))</f>
        <v/>
      </c>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78"/>
    </row>
    <row r="161" spans="1:47" ht="60" customHeight="1" x14ac:dyDescent="0.35">
      <c r="A161" s="174" t="s">
        <v>4032</v>
      </c>
      <c r="B161" s="148" t="s">
        <v>4035</v>
      </c>
      <c r="C161" s="149" t="s">
        <v>4051</v>
      </c>
      <c r="D161" s="152" t="s">
        <v>4052</v>
      </c>
      <c r="E161" s="155" t="s">
        <v>4053</v>
      </c>
      <c r="F161" s="158" t="s">
        <v>3649</v>
      </c>
      <c r="G161" s="161" t="str">
        <f>IF(COUNTIF(H161:AU161,"&lt;&gt;")=0,"",SUMPRODUCT(((Recommendations[ImplStatus]="Implemented")+(Recommendations[ImplStatus]="Compensated"))*ISNUMBER(MATCH(Recommendations[Id],H161:AU161,0)))/COUNTIF(H161:AU161,"&lt;&gt;"))</f>
        <v/>
      </c>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78"/>
    </row>
    <row r="162" spans="1:47" ht="60" customHeight="1" x14ac:dyDescent="0.35">
      <c r="A162" s="174" t="s">
        <v>4032</v>
      </c>
      <c r="B162" s="148" t="s">
        <v>4035</v>
      </c>
      <c r="C162" s="149" t="s">
        <v>4054</v>
      </c>
      <c r="D162" s="152" t="s">
        <v>4055</v>
      </c>
      <c r="E162" s="155" t="s">
        <v>4056</v>
      </c>
      <c r="F162" s="158" t="s">
        <v>3649</v>
      </c>
      <c r="G162" s="161" t="str">
        <f>IF(COUNTIF(H162:AU162,"&lt;&gt;")=0,"",SUMPRODUCT(((Recommendations[ImplStatus]="Implemented")+(Recommendations[ImplStatus]="Compensated"))*ISNUMBER(MATCH(Recommendations[Id],H162:AU162,0)))/COUNTIF(H162:AU162,"&lt;&gt;"))</f>
        <v/>
      </c>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78"/>
    </row>
    <row r="163" spans="1:47" ht="60" customHeight="1" x14ac:dyDescent="0.35">
      <c r="A163" s="174" t="s">
        <v>4032</v>
      </c>
      <c r="B163" s="148" t="s">
        <v>4035</v>
      </c>
      <c r="C163" s="149" t="s">
        <v>4057</v>
      </c>
      <c r="D163" s="152" t="s">
        <v>4058</v>
      </c>
      <c r="E163" s="155" t="s">
        <v>4059</v>
      </c>
      <c r="F163" s="158" t="s">
        <v>3649</v>
      </c>
      <c r="G163" s="161" t="str">
        <f>IF(COUNTIF(H163:AU163,"&lt;&gt;")=0,"",SUMPRODUCT(((Recommendations[ImplStatus]="Implemented")+(Recommendations[ImplStatus]="Compensated"))*ISNUMBER(MATCH(Recommendations[Id],H163:AU163,0)))/COUNTIF(H163:AU163,"&lt;&gt;"))</f>
        <v/>
      </c>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78"/>
    </row>
    <row r="164" spans="1:47" ht="60" customHeight="1" outlineLevel="1" x14ac:dyDescent="0.35">
      <c r="A164" s="173" t="s">
        <v>4032</v>
      </c>
      <c r="B164" s="147" t="s">
        <v>3453</v>
      </c>
      <c r="C164" s="145" t="s">
        <v>4060</v>
      </c>
      <c r="D164" s="151" t="s">
        <v>4061</v>
      </c>
      <c r="E164" s="154" t="s">
        <v>20</v>
      </c>
      <c r="F164" s="157" t="s">
        <v>20</v>
      </c>
      <c r="G164" s="160" t="str">
        <f>IF(COUNTIF(H164:AU164,"&lt;&gt;")=0,"",SUMPRODUCT(((Recommendations[ImplStatus]="Implemented")+(Recommendations[ImplStatus]="Compensated"))*ISNUMBER(MATCH(Recommendations[Id],H164:AU164,0)))/COUNTIF(H164:AU164,"&lt;&gt;"))</f>
        <v/>
      </c>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77"/>
    </row>
    <row r="165" spans="1:47" ht="60" customHeight="1" x14ac:dyDescent="0.35">
      <c r="A165" s="174" t="s">
        <v>4032</v>
      </c>
      <c r="B165" s="148" t="s">
        <v>3453</v>
      </c>
      <c r="C165" s="149" t="s">
        <v>4062</v>
      </c>
      <c r="D165" s="152" t="s">
        <v>4063</v>
      </c>
      <c r="E165" s="155" t="s">
        <v>4064</v>
      </c>
      <c r="F165" s="158" t="s">
        <v>3649</v>
      </c>
      <c r="G165" s="161">
        <f>IF(COUNTIF(H165:AU165,"&lt;&gt;")=0,"",SUMPRODUCT(((Recommendations[ImplStatus]="Implemented")+(Recommendations[ImplStatus]="Compensated"))*ISNUMBER(MATCH(Recommendations[Id],H165:AU165,0)))/COUNTIF(H165:AU165,"&lt;&gt;"))</f>
        <v>0</v>
      </c>
      <c r="H165" s="164" t="s">
        <v>60</v>
      </c>
      <c r="I165" s="164" t="s">
        <v>310</v>
      </c>
      <c r="J165" s="164" t="s">
        <v>314</v>
      </c>
      <c r="K165" s="164" t="s">
        <v>317</v>
      </c>
      <c r="L165" s="164" t="s">
        <v>321</v>
      </c>
      <c r="M165" s="164" t="s">
        <v>324</v>
      </c>
      <c r="N165" s="164" t="s">
        <v>328</v>
      </c>
      <c r="O165" s="164" t="s">
        <v>331</v>
      </c>
      <c r="P165" s="164" t="s">
        <v>334</v>
      </c>
      <c r="Q165" s="164" t="s">
        <v>337</v>
      </c>
      <c r="R165" s="164" t="s">
        <v>340</v>
      </c>
      <c r="S165" s="164" t="s">
        <v>344</v>
      </c>
      <c r="T165" s="164" t="s">
        <v>347</v>
      </c>
      <c r="U165" s="164" t="s">
        <v>350</v>
      </c>
      <c r="V165" s="164" t="s">
        <v>353</v>
      </c>
      <c r="W165" s="164" t="s">
        <v>357</v>
      </c>
      <c r="X165" s="164" t="s">
        <v>360</v>
      </c>
      <c r="Y165" s="164" t="s">
        <v>363</v>
      </c>
      <c r="Z165" s="164" t="s">
        <v>366</v>
      </c>
      <c r="AA165" s="164" t="s">
        <v>370</v>
      </c>
      <c r="AB165" s="164" t="s">
        <v>374</v>
      </c>
      <c r="AC165" s="164" t="s">
        <v>377</v>
      </c>
      <c r="AD165" s="164" t="s">
        <v>399</v>
      </c>
      <c r="AE165" s="164" t="s">
        <v>402</v>
      </c>
      <c r="AF165" s="164" t="s">
        <v>405</v>
      </c>
      <c r="AG165" s="164" t="s">
        <v>421</v>
      </c>
      <c r="AH165" s="164" t="s">
        <v>424</v>
      </c>
      <c r="AI165" s="164" t="s">
        <v>427</v>
      </c>
      <c r="AJ165" s="164" t="s">
        <v>449</v>
      </c>
      <c r="AK165" s="164" t="s">
        <v>452</v>
      </c>
      <c r="AL165" s="164" t="s">
        <v>455</v>
      </c>
      <c r="AM165" s="164" t="s">
        <v>547</v>
      </c>
      <c r="AN165" s="164" t="s">
        <v>553</v>
      </c>
      <c r="AO165" s="164" t="s">
        <v>595</v>
      </c>
      <c r="AP165" s="164" t="s">
        <v>600</v>
      </c>
      <c r="AQ165" s="164" t="s">
        <v>892</v>
      </c>
      <c r="AR165" s="164" t="s">
        <v>898</v>
      </c>
      <c r="AS165" s="164" t="s">
        <v>904</v>
      </c>
      <c r="AT165" s="164" t="s">
        <v>1511</v>
      </c>
      <c r="AU165" s="178" t="s">
        <v>1698</v>
      </c>
    </row>
    <row r="166" spans="1:47" ht="60" customHeight="1" x14ac:dyDescent="0.35">
      <c r="A166" s="174" t="s">
        <v>4032</v>
      </c>
      <c r="B166" s="148" t="s">
        <v>3453</v>
      </c>
      <c r="C166" s="149" t="s">
        <v>4065</v>
      </c>
      <c r="D166" s="152" t="s">
        <v>4066</v>
      </c>
      <c r="E166" s="155" t="s">
        <v>4067</v>
      </c>
      <c r="F166" s="158" t="s">
        <v>3649</v>
      </c>
      <c r="G166" s="161" t="str">
        <f>IF(COUNTIF(H166:AU166,"&lt;&gt;")=0,"",SUMPRODUCT(((Recommendations[ImplStatus]="Implemented")+(Recommendations[ImplStatus]="Compensated"))*ISNUMBER(MATCH(Recommendations[Id],H166:AU166,0)))/COUNTIF(H166:AU166,"&lt;&gt;"))</f>
        <v/>
      </c>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78"/>
    </row>
    <row r="167" spans="1:47" ht="60" customHeight="1" x14ac:dyDescent="0.35">
      <c r="A167" s="174" t="s">
        <v>4032</v>
      </c>
      <c r="B167" s="148" t="s">
        <v>3453</v>
      </c>
      <c r="C167" s="149" t="s">
        <v>4068</v>
      </c>
      <c r="D167" s="152" t="s">
        <v>4069</v>
      </c>
      <c r="E167" s="155" t="s">
        <v>4070</v>
      </c>
      <c r="F167" s="158" t="s">
        <v>3649</v>
      </c>
      <c r="G167" s="161" t="str">
        <f>IF(COUNTIF(H167:AU167,"&lt;&gt;")=0,"",SUMPRODUCT(((Recommendations[ImplStatus]="Implemented")+(Recommendations[ImplStatus]="Compensated"))*ISNUMBER(MATCH(Recommendations[Id],H167:AU167,0)))/COUNTIF(H167:AU167,"&lt;&gt;"))</f>
        <v/>
      </c>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78"/>
    </row>
    <row r="168" spans="1:47" ht="60" customHeight="1" x14ac:dyDescent="0.35">
      <c r="A168" s="174" t="s">
        <v>4032</v>
      </c>
      <c r="B168" s="148" t="s">
        <v>3453</v>
      </c>
      <c r="C168" s="149" t="s">
        <v>4071</v>
      </c>
      <c r="D168" s="152" t="s">
        <v>4072</v>
      </c>
      <c r="E168" s="155"/>
      <c r="F168" s="158" t="s">
        <v>20</v>
      </c>
      <c r="G168" s="161">
        <f>IF(COUNTIF(H168:AU168,"&lt;&gt;")=0,"",SUMPRODUCT(((Recommendations[ImplStatus]="Implemented")+(Recommendations[ImplStatus]="Compensated"))*ISNUMBER(MATCH(Recommendations[Id],H168:AU168,0)))/COUNTIF(H168:AU168,"&lt;&gt;"))</f>
        <v>0</v>
      </c>
      <c r="H168" s="164" t="s">
        <v>380</v>
      </c>
      <c r="I168" s="164" t="s">
        <v>383</v>
      </c>
      <c r="J168" s="164" t="s">
        <v>717</v>
      </c>
      <c r="K168" s="164" t="s">
        <v>1455</v>
      </c>
      <c r="L168" s="164" t="s">
        <v>1476</v>
      </c>
      <c r="M168" s="164" t="s">
        <v>1482</v>
      </c>
      <c r="N168" s="164" t="s">
        <v>1488</v>
      </c>
      <c r="O168" s="164" t="s">
        <v>1493</v>
      </c>
      <c r="P168" s="164" t="s">
        <v>1498</v>
      </c>
      <c r="Q168" s="164" t="s">
        <v>1517</v>
      </c>
      <c r="R168" s="164" t="s">
        <v>1522</v>
      </c>
      <c r="S168" s="164" t="s">
        <v>1528</v>
      </c>
      <c r="T168" s="164" t="s">
        <v>1534</v>
      </c>
      <c r="U168" s="164" t="s">
        <v>1539</v>
      </c>
      <c r="V168" s="164" t="s">
        <v>1544</v>
      </c>
      <c r="W168" s="164" t="s">
        <v>1549</v>
      </c>
      <c r="X168" s="164" t="s">
        <v>1554</v>
      </c>
      <c r="Y168" s="164" t="s">
        <v>1559</v>
      </c>
      <c r="Z168" s="164" t="s">
        <v>1564</v>
      </c>
      <c r="AA168" s="164" t="s">
        <v>1569</v>
      </c>
      <c r="AB168" s="164" t="s">
        <v>1575</v>
      </c>
      <c r="AC168" s="164" t="s">
        <v>1581</v>
      </c>
      <c r="AD168" s="164" t="s">
        <v>1586</v>
      </c>
      <c r="AE168" s="164" t="s">
        <v>1591</v>
      </c>
      <c r="AF168" s="164"/>
      <c r="AG168" s="164"/>
      <c r="AH168" s="164"/>
      <c r="AI168" s="164"/>
      <c r="AJ168" s="164"/>
      <c r="AK168" s="164"/>
      <c r="AL168" s="164"/>
      <c r="AM168" s="164"/>
      <c r="AN168" s="164"/>
      <c r="AO168" s="164"/>
      <c r="AP168" s="164"/>
      <c r="AQ168" s="164"/>
      <c r="AR168" s="164"/>
      <c r="AS168" s="164"/>
      <c r="AT168" s="164"/>
      <c r="AU168" s="178"/>
    </row>
    <row r="169" spans="1:47" ht="60" customHeight="1" x14ac:dyDescent="0.35">
      <c r="A169" s="174" t="s">
        <v>4032</v>
      </c>
      <c r="B169" s="148" t="s">
        <v>3453</v>
      </c>
      <c r="C169" s="149" t="s">
        <v>4073</v>
      </c>
      <c r="D169" s="152" t="s">
        <v>4074</v>
      </c>
      <c r="E169" s="155"/>
      <c r="F169" s="158" t="s">
        <v>20</v>
      </c>
      <c r="G169" s="161" t="str">
        <f>IF(COUNTIF(H169:AU169,"&lt;&gt;")=0,"",SUMPRODUCT(((Recommendations[ImplStatus]="Implemented")+(Recommendations[ImplStatus]="Compensated"))*ISNUMBER(MATCH(Recommendations[Id],H169:AU169,0)))/COUNTIF(H169:AU169,"&lt;&gt;"))</f>
        <v/>
      </c>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78"/>
    </row>
    <row r="170" spans="1:47" ht="60" customHeight="1" x14ac:dyDescent="0.35">
      <c r="A170" s="174" t="s">
        <v>4032</v>
      </c>
      <c r="B170" s="148" t="s">
        <v>3453</v>
      </c>
      <c r="C170" s="149" t="s">
        <v>4075</v>
      </c>
      <c r="D170" s="152" t="s">
        <v>4076</v>
      </c>
      <c r="E170" s="155" t="s">
        <v>4077</v>
      </c>
      <c r="F170" s="158" t="s">
        <v>3663</v>
      </c>
      <c r="G170" s="161" t="str">
        <f>IF(COUNTIF(H170:AU170,"&lt;&gt;")=0,"",SUMPRODUCT(((Recommendations[ImplStatus]="Implemented")+(Recommendations[ImplStatus]="Compensated"))*ISNUMBER(MATCH(Recommendations[Id],H170:AU170,0)))/COUNTIF(H170:AU170,"&lt;&gt;"))</f>
        <v/>
      </c>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78"/>
    </row>
    <row r="171" spans="1:47" ht="60" customHeight="1" x14ac:dyDescent="0.35">
      <c r="A171" s="174" t="s">
        <v>4032</v>
      </c>
      <c r="B171" s="148" t="s">
        <v>3453</v>
      </c>
      <c r="C171" s="149" t="s">
        <v>4078</v>
      </c>
      <c r="D171" s="152" t="s">
        <v>4079</v>
      </c>
      <c r="E171" s="155"/>
      <c r="F171" s="158" t="s">
        <v>20</v>
      </c>
      <c r="G171" s="161" t="str">
        <f>IF(COUNTIF(H171:AU171,"&lt;&gt;")=0,"",SUMPRODUCT(((Recommendations[ImplStatus]="Implemented")+(Recommendations[ImplStatus]="Compensated"))*ISNUMBER(MATCH(Recommendations[Id],H171:AU171,0)))/COUNTIF(H171:AU171,"&lt;&gt;"))</f>
        <v/>
      </c>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78"/>
    </row>
    <row r="172" spans="1:47" ht="60" customHeight="1" x14ac:dyDescent="0.35">
      <c r="A172" s="174" t="s">
        <v>4032</v>
      </c>
      <c r="B172" s="148" t="s">
        <v>3453</v>
      </c>
      <c r="C172" s="149" t="s">
        <v>4080</v>
      </c>
      <c r="D172" s="152" t="s">
        <v>4081</v>
      </c>
      <c r="E172" s="155"/>
      <c r="F172" s="158" t="s">
        <v>20</v>
      </c>
      <c r="G172" s="161" t="str">
        <f>IF(COUNTIF(H172:AU172,"&lt;&gt;")=0,"",SUMPRODUCT(((Recommendations[ImplStatus]="Implemented")+(Recommendations[ImplStatus]="Compensated"))*ISNUMBER(MATCH(Recommendations[Id],H172:AU172,0)))/COUNTIF(H172:AU172,"&lt;&gt;"))</f>
        <v/>
      </c>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78"/>
    </row>
    <row r="173" spans="1:47" ht="60" customHeight="1" x14ac:dyDescent="0.35">
      <c r="A173" s="174" t="s">
        <v>4032</v>
      </c>
      <c r="B173" s="148" t="s">
        <v>3453</v>
      </c>
      <c r="C173" s="149" t="s">
        <v>4082</v>
      </c>
      <c r="D173" s="152" t="s">
        <v>4083</v>
      </c>
      <c r="E173" s="155" t="s">
        <v>4084</v>
      </c>
      <c r="F173" s="158" t="s">
        <v>3649</v>
      </c>
      <c r="G173" s="161" t="str">
        <f>IF(COUNTIF(H173:AU173,"&lt;&gt;")=0,"",SUMPRODUCT(((Recommendations[ImplStatus]="Implemented")+(Recommendations[ImplStatus]="Compensated"))*ISNUMBER(MATCH(Recommendations[Id],H173:AU173,0)))/COUNTIF(H173:AU173,"&lt;&gt;"))</f>
        <v/>
      </c>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78"/>
    </row>
    <row r="174" spans="1:47" ht="60" customHeight="1" outlineLevel="1" x14ac:dyDescent="0.35">
      <c r="A174" s="173" t="s">
        <v>4032</v>
      </c>
      <c r="B174" s="147" t="s">
        <v>4085</v>
      </c>
      <c r="C174" s="145" t="s">
        <v>4086</v>
      </c>
      <c r="D174" s="151"/>
      <c r="E174" s="154" t="s">
        <v>20</v>
      </c>
      <c r="F174" s="157" t="s">
        <v>20</v>
      </c>
      <c r="G174" s="160" t="str">
        <f>IF(COUNTIF(H174:AU174,"&lt;&gt;")=0,"",SUMPRODUCT(((Recommendations[ImplStatus]="Implemented")+(Recommendations[ImplStatus]="Compensated"))*ISNUMBER(MATCH(Recommendations[Id],H174:AU174,0)))/COUNTIF(H174:AU174,"&lt;&gt;"))</f>
        <v/>
      </c>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77"/>
    </row>
    <row r="175" spans="1:47" ht="60" customHeight="1" x14ac:dyDescent="0.35">
      <c r="A175" s="174" t="s">
        <v>4032</v>
      </c>
      <c r="B175" s="148" t="s">
        <v>4085</v>
      </c>
      <c r="C175" s="149" t="s">
        <v>4087</v>
      </c>
      <c r="D175" s="152" t="s">
        <v>4088</v>
      </c>
      <c r="E175" s="155"/>
      <c r="F175" s="158" t="s">
        <v>20</v>
      </c>
      <c r="G175" s="161" t="str">
        <f>IF(COUNTIF(H175:AU175,"&lt;&gt;")=0,"",SUMPRODUCT(((Recommendations[ImplStatus]="Implemented")+(Recommendations[ImplStatus]="Compensated"))*ISNUMBER(MATCH(Recommendations[Id],H175:AU175,0)))/COUNTIF(H175:AU175,"&lt;&gt;"))</f>
        <v/>
      </c>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78"/>
    </row>
    <row r="176" spans="1:47" ht="60" customHeight="1" x14ac:dyDescent="0.35">
      <c r="A176" s="174" t="s">
        <v>4032</v>
      </c>
      <c r="B176" s="148" t="s">
        <v>4085</v>
      </c>
      <c r="C176" s="149" t="s">
        <v>4089</v>
      </c>
      <c r="D176" s="152" t="s">
        <v>4090</v>
      </c>
      <c r="E176" s="155"/>
      <c r="F176" s="158" t="s">
        <v>20</v>
      </c>
      <c r="G176" s="161" t="str">
        <f>IF(COUNTIF(H176:AU176,"&lt;&gt;")=0,"",SUMPRODUCT(((Recommendations[ImplStatus]="Implemented")+(Recommendations[ImplStatus]="Compensated"))*ISNUMBER(MATCH(Recommendations[Id],H176:AU176,0)))/COUNTIF(H176:AU176,"&lt;&gt;"))</f>
        <v/>
      </c>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78"/>
    </row>
    <row r="177" spans="1:47" ht="60" customHeight="1" x14ac:dyDescent="0.35">
      <c r="A177" s="174" t="s">
        <v>4032</v>
      </c>
      <c r="B177" s="148" t="s">
        <v>4085</v>
      </c>
      <c r="C177" s="149" t="s">
        <v>4091</v>
      </c>
      <c r="D177" s="152" t="s">
        <v>4092</v>
      </c>
      <c r="E177" s="155"/>
      <c r="F177" s="158" t="s">
        <v>20</v>
      </c>
      <c r="G177" s="161" t="str">
        <f>IF(COUNTIF(H177:AU177,"&lt;&gt;")=0,"",SUMPRODUCT(((Recommendations[ImplStatus]="Implemented")+(Recommendations[ImplStatus]="Compensated"))*ISNUMBER(MATCH(Recommendations[Id],H177:AU177,0)))/COUNTIF(H177:AU177,"&lt;&gt;"))</f>
        <v/>
      </c>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78"/>
    </row>
    <row r="178" spans="1:47" ht="60" customHeight="1" x14ac:dyDescent="0.35">
      <c r="A178" s="174" t="s">
        <v>4032</v>
      </c>
      <c r="B178" s="148" t="s">
        <v>4085</v>
      </c>
      <c r="C178" s="149" t="s">
        <v>4093</v>
      </c>
      <c r="D178" s="152" t="s">
        <v>4094</v>
      </c>
      <c r="E178" s="155"/>
      <c r="F178" s="158" t="s">
        <v>20</v>
      </c>
      <c r="G178" s="161" t="str">
        <f>IF(COUNTIF(H178:AU178,"&lt;&gt;")=0,"",SUMPRODUCT(((Recommendations[ImplStatus]="Implemented")+(Recommendations[ImplStatus]="Compensated"))*ISNUMBER(MATCH(Recommendations[Id],H178:AU178,0)))/COUNTIF(H178:AU178,"&lt;&gt;"))</f>
        <v/>
      </c>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78"/>
    </row>
    <row r="179" spans="1:47" ht="60" customHeight="1" x14ac:dyDescent="0.35">
      <c r="A179" s="174" t="s">
        <v>4032</v>
      </c>
      <c r="B179" s="148" t="s">
        <v>4085</v>
      </c>
      <c r="C179" s="149" t="s">
        <v>4095</v>
      </c>
      <c r="D179" s="152" t="s">
        <v>4096</v>
      </c>
      <c r="E179" s="155"/>
      <c r="F179" s="158" t="s">
        <v>20</v>
      </c>
      <c r="G179" s="161" t="str">
        <f>IF(COUNTIF(H179:AU179,"&lt;&gt;")=0,"",SUMPRODUCT(((Recommendations[ImplStatus]="Implemented")+(Recommendations[ImplStatus]="Compensated"))*ISNUMBER(MATCH(Recommendations[Id],H179:AU179,0)))/COUNTIF(H179:AU179,"&lt;&gt;"))</f>
        <v/>
      </c>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78"/>
    </row>
    <row r="180" spans="1:47" ht="60" customHeight="1" outlineLevel="1" x14ac:dyDescent="0.35">
      <c r="A180" s="172" t="s">
        <v>4097</v>
      </c>
      <c r="B180" s="146" t="s">
        <v>20</v>
      </c>
      <c r="C180" s="144" t="s">
        <v>4098</v>
      </c>
      <c r="D180" s="150" t="s">
        <v>4099</v>
      </c>
      <c r="E180" s="153" t="s">
        <v>20</v>
      </c>
      <c r="F180" s="156" t="s">
        <v>20</v>
      </c>
      <c r="G180" s="159" t="str">
        <f>IF(COUNTIF(H180:AU180,"&lt;&gt;")=0,"",SUMPRODUCT(((Recommendations[ImplStatus]="Implemented")+(Recommendations[ImplStatus]="Compensated"))*ISNUMBER(MATCH(Recommendations[Id],H180:AU180,0)))/COUNTIF(H180:AU180,"&lt;&gt;"))</f>
        <v/>
      </c>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76"/>
    </row>
    <row r="181" spans="1:47" ht="60" customHeight="1" outlineLevel="1" x14ac:dyDescent="0.35">
      <c r="A181" s="173" t="s">
        <v>4097</v>
      </c>
      <c r="B181" s="147" t="s">
        <v>4100</v>
      </c>
      <c r="C181" s="145" t="s">
        <v>4101</v>
      </c>
      <c r="D181" s="151" t="s">
        <v>4102</v>
      </c>
      <c r="E181" s="154" t="s">
        <v>20</v>
      </c>
      <c r="F181" s="157" t="s">
        <v>20</v>
      </c>
      <c r="G181" s="160" t="str">
        <f>IF(COUNTIF(H181:AU181,"&lt;&gt;")=0,"",SUMPRODUCT(((Recommendations[ImplStatus]="Implemented")+(Recommendations[ImplStatus]="Compensated"))*ISNUMBER(MATCH(Recommendations[Id],H181:AU181,0)))/COUNTIF(H181:AU181,"&lt;&gt;"))</f>
        <v/>
      </c>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77"/>
    </row>
    <row r="182" spans="1:47" ht="60" customHeight="1" x14ac:dyDescent="0.35">
      <c r="A182" s="174" t="s">
        <v>4097</v>
      </c>
      <c r="B182" s="148" t="s">
        <v>4100</v>
      </c>
      <c r="C182" s="149" t="s">
        <v>4103</v>
      </c>
      <c r="D182" s="152" t="s">
        <v>4104</v>
      </c>
      <c r="E182" s="155"/>
      <c r="F182" s="158" t="s">
        <v>20</v>
      </c>
      <c r="G182" s="161" t="str">
        <f>IF(COUNTIF(H182:AU182,"&lt;&gt;")=0,"",SUMPRODUCT(((Recommendations[ImplStatus]="Implemented")+(Recommendations[ImplStatus]="Compensated"))*ISNUMBER(MATCH(Recommendations[Id],H182:AU182,0)))/COUNTIF(H182:AU182,"&lt;&gt;"))</f>
        <v/>
      </c>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78"/>
    </row>
    <row r="183" spans="1:47" ht="60" customHeight="1" x14ac:dyDescent="0.35">
      <c r="A183" s="174" t="s">
        <v>4097</v>
      </c>
      <c r="B183" s="148" t="s">
        <v>4100</v>
      </c>
      <c r="C183" s="149" t="s">
        <v>4105</v>
      </c>
      <c r="D183" s="152" t="s">
        <v>4106</v>
      </c>
      <c r="E183" s="155"/>
      <c r="F183" s="158" t="s">
        <v>20</v>
      </c>
      <c r="G183" s="161" t="str">
        <f>IF(COUNTIF(H183:AU183,"&lt;&gt;")=0,"",SUMPRODUCT(((Recommendations[ImplStatus]="Implemented")+(Recommendations[ImplStatus]="Compensated"))*ISNUMBER(MATCH(Recommendations[Id],H183:AU183,0)))/COUNTIF(H183:AU183,"&lt;&gt;"))</f>
        <v/>
      </c>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78"/>
    </row>
    <row r="184" spans="1:47" ht="60" customHeight="1" x14ac:dyDescent="0.35">
      <c r="A184" s="174" t="s">
        <v>4097</v>
      </c>
      <c r="B184" s="148" t="s">
        <v>4100</v>
      </c>
      <c r="C184" s="149" t="s">
        <v>4107</v>
      </c>
      <c r="D184" s="152" t="s">
        <v>4108</v>
      </c>
      <c r="E184" s="155" t="s">
        <v>4109</v>
      </c>
      <c r="F184" s="158" t="s">
        <v>3649</v>
      </c>
      <c r="G184" s="161" t="str">
        <f>IF(COUNTIF(H184:AU184,"&lt;&gt;")=0,"",SUMPRODUCT(((Recommendations[ImplStatus]="Implemented")+(Recommendations[ImplStatus]="Compensated"))*ISNUMBER(MATCH(Recommendations[Id],H184:AU184,0)))/COUNTIF(H184:AU184,"&lt;&gt;"))</f>
        <v/>
      </c>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78"/>
    </row>
    <row r="185" spans="1:47" ht="60" customHeight="1" x14ac:dyDescent="0.35">
      <c r="A185" s="174" t="s">
        <v>4097</v>
      </c>
      <c r="B185" s="148" t="s">
        <v>4100</v>
      </c>
      <c r="C185" s="149" t="s">
        <v>4110</v>
      </c>
      <c r="D185" s="152" t="s">
        <v>4111</v>
      </c>
      <c r="E185" s="155"/>
      <c r="F185" s="158" t="s">
        <v>20</v>
      </c>
      <c r="G185" s="161" t="str">
        <f>IF(COUNTIF(H185:AU185,"&lt;&gt;")=0,"",SUMPRODUCT(((Recommendations[ImplStatus]="Implemented")+(Recommendations[ImplStatus]="Compensated"))*ISNUMBER(MATCH(Recommendations[Id],H185:AU185,0)))/COUNTIF(H185:AU185,"&lt;&gt;"))</f>
        <v/>
      </c>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78"/>
    </row>
    <row r="186" spans="1:47" ht="60" customHeight="1" x14ac:dyDescent="0.35">
      <c r="A186" s="174" t="s">
        <v>4097</v>
      </c>
      <c r="B186" s="148" t="s">
        <v>4100</v>
      </c>
      <c r="C186" s="149" t="s">
        <v>4112</v>
      </c>
      <c r="D186" s="152" t="s">
        <v>4113</v>
      </c>
      <c r="E186" s="155"/>
      <c r="F186" s="158" t="s">
        <v>20</v>
      </c>
      <c r="G186" s="161" t="str">
        <f>IF(COUNTIF(H186:AU186,"&lt;&gt;")=0,"",SUMPRODUCT(((Recommendations[ImplStatus]="Implemented")+(Recommendations[ImplStatus]="Compensated"))*ISNUMBER(MATCH(Recommendations[Id],H186:AU186,0)))/COUNTIF(H186:AU186,"&lt;&gt;"))</f>
        <v/>
      </c>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78"/>
    </row>
    <row r="187" spans="1:47" ht="60" customHeight="1" x14ac:dyDescent="0.35">
      <c r="A187" s="174" t="s">
        <v>4097</v>
      </c>
      <c r="B187" s="148" t="s">
        <v>4100</v>
      </c>
      <c r="C187" s="149" t="s">
        <v>4114</v>
      </c>
      <c r="D187" s="152" t="s">
        <v>4115</v>
      </c>
      <c r="E187" s="155" t="s">
        <v>4116</v>
      </c>
      <c r="F187" s="158" t="s">
        <v>3649</v>
      </c>
      <c r="G187" s="161" t="str">
        <f>IF(COUNTIF(H187:AU187,"&lt;&gt;")=0,"",SUMPRODUCT(((Recommendations[ImplStatus]="Implemented")+(Recommendations[ImplStatus]="Compensated"))*ISNUMBER(MATCH(Recommendations[Id],H187:AU187,0)))/COUNTIF(H187:AU187,"&lt;&gt;"))</f>
        <v/>
      </c>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78"/>
    </row>
    <row r="188" spans="1:47" ht="60" customHeight="1" x14ac:dyDescent="0.35">
      <c r="A188" s="174" t="s">
        <v>4097</v>
      </c>
      <c r="B188" s="148" t="s">
        <v>4100</v>
      </c>
      <c r="C188" s="149" t="s">
        <v>4117</v>
      </c>
      <c r="D188" s="152" t="s">
        <v>4118</v>
      </c>
      <c r="E188" s="155" t="s">
        <v>4119</v>
      </c>
      <c r="F188" s="158" t="s">
        <v>3649</v>
      </c>
      <c r="G188" s="161" t="str">
        <f>IF(COUNTIF(H188:AU188,"&lt;&gt;")=0,"",SUMPRODUCT(((Recommendations[ImplStatus]="Implemented")+(Recommendations[ImplStatus]="Compensated"))*ISNUMBER(MATCH(Recommendations[Id],H188:AU188,0)))/COUNTIF(H188:AU188,"&lt;&gt;"))</f>
        <v/>
      </c>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78"/>
    </row>
    <row r="189" spans="1:47" ht="60" customHeight="1" x14ac:dyDescent="0.35">
      <c r="A189" s="174" t="s">
        <v>4097</v>
      </c>
      <c r="B189" s="148" t="s">
        <v>4100</v>
      </c>
      <c r="C189" s="149" t="s">
        <v>4120</v>
      </c>
      <c r="D189" s="152" t="s">
        <v>4121</v>
      </c>
      <c r="E189" s="155" t="s">
        <v>4122</v>
      </c>
      <c r="F189" s="158" t="s">
        <v>3649</v>
      </c>
      <c r="G189" s="161" t="str">
        <f>IF(COUNTIF(H189:AU189,"&lt;&gt;")=0,"",SUMPRODUCT(((Recommendations[ImplStatus]="Implemented")+(Recommendations[ImplStatus]="Compensated"))*ISNUMBER(MATCH(Recommendations[Id],H189:AU189,0)))/COUNTIF(H189:AU189,"&lt;&gt;"))</f>
        <v/>
      </c>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78"/>
    </row>
    <row r="190" spans="1:47" ht="60" customHeight="1" outlineLevel="1" x14ac:dyDescent="0.35">
      <c r="A190" s="173" t="s">
        <v>4097</v>
      </c>
      <c r="B190" s="147" t="s">
        <v>4123</v>
      </c>
      <c r="C190" s="145" t="s">
        <v>4124</v>
      </c>
      <c r="D190" s="151" t="s">
        <v>4125</v>
      </c>
      <c r="E190" s="154" t="s">
        <v>20</v>
      </c>
      <c r="F190" s="157" t="s">
        <v>20</v>
      </c>
      <c r="G190" s="160" t="str">
        <f>IF(COUNTIF(H190:AU190,"&lt;&gt;")=0,"",SUMPRODUCT(((Recommendations[ImplStatus]="Implemented")+(Recommendations[ImplStatus]="Compensated"))*ISNUMBER(MATCH(Recommendations[Id],H190:AU190,0)))/COUNTIF(H190:AU190,"&lt;&gt;"))</f>
        <v/>
      </c>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77"/>
    </row>
    <row r="191" spans="1:47" ht="60" customHeight="1" x14ac:dyDescent="0.35">
      <c r="A191" s="174" t="s">
        <v>4097</v>
      </c>
      <c r="B191" s="148" t="s">
        <v>4123</v>
      </c>
      <c r="C191" s="149" t="s">
        <v>4126</v>
      </c>
      <c r="D191" s="152" t="s">
        <v>4127</v>
      </c>
      <c r="E191" s="155"/>
      <c r="F191" s="158" t="s">
        <v>20</v>
      </c>
      <c r="G191" s="161" t="str">
        <f>IF(COUNTIF(H191:AU191,"&lt;&gt;")=0,"",SUMPRODUCT(((Recommendations[ImplStatus]="Implemented")+(Recommendations[ImplStatus]="Compensated"))*ISNUMBER(MATCH(Recommendations[Id],H191:AU191,0)))/COUNTIF(H191:AU191,"&lt;&gt;"))</f>
        <v/>
      </c>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78"/>
    </row>
    <row r="192" spans="1:47" ht="60" customHeight="1" x14ac:dyDescent="0.35">
      <c r="A192" s="174" t="s">
        <v>4097</v>
      </c>
      <c r="B192" s="148" t="s">
        <v>4123</v>
      </c>
      <c r="C192" s="149" t="s">
        <v>4128</v>
      </c>
      <c r="D192" s="152" t="s">
        <v>4129</v>
      </c>
      <c r="E192" s="155" t="s">
        <v>4130</v>
      </c>
      <c r="F192" s="158" t="s">
        <v>3653</v>
      </c>
      <c r="G192" s="161" t="str">
        <f>IF(COUNTIF(H192:AU192,"&lt;&gt;")=0,"",SUMPRODUCT(((Recommendations[ImplStatus]="Implemented")+(Recommendations[ImplStatus]="Compensated"))*ISNUMBER(MATCH(Recommendations[Id],H192:AU192,0)))/COUNTIF(H192:AU192,"&lt;&gt;"))</f>
        <v/>
      </c>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78"/>
    </row>
    <row r="193" spans="1:47" ht="60" customHeight="1" x14ac:dyDescent="0.35">
      <c r="A193" s="174" t="s">
        <v>4097</v>
      </c>
      <c r="B193" s="148" t="s">
        <v>4123</v>
      </c>
      <c r="C193" s="149" t="s">
        <v>4131</v>
      </c>
      <c r="D193" s="152" t="s">
        <v>4132</v>
      </c>
      <c r="E193" s="155" t="s">
        <v>4133</v>
      </c>
      <c r="F193" s="158" t="s">
        <v>3653</v>
      </c>
      <c r="G193" s="161" t="str">
        <f>IF(COUNTIF(H193:AU193,"&lt;&gt;")=0,"",SUMPRODUCT(((Recommendations[ImplStatus]="Implemented")+(Recommendations[ImplStatus]="Compensated"))*ISNUMBER(MATCH(Recommendations[Id],H193:AU193,0)))/COUNTIF(H193:AU193,"&lt;&gt;"))</f>
        <v/>
      </c>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78"/>
    </row>
    <row r="194" spans="1:47" ht="60" customHeight="1" x14ac:dyDescent="0.35">
      <c r="A194" s="174" t="s">
        <v>4097</v>
      </c>
      <c r="B194" s="148" t="s">
        <v>4123</v>
      </c>
      <c r="C194" s="149" t="s">
        <v>4134</v>
      </c>
      <c r="D194" s="152" t="s">
        <v>4135</v>
      </c>
      <c r="E194" s="155"/>
      <c r="F194" s="158" t="s">
        <v>20</v>
      </c>
      <c r="G194" s="161" t="str">
        <f>IF(COUNTIF(H194:AU194,"&lt;&gt;")=0,"",SUMPRODUCT(((Recommendations[ImplStatus]="Implemented")+(Recommendations[ImplStatus]="Compensated"))*ISNUMBER(MATCH(Recommendations[Id],H194:AU194,0)))/COUNTIF(H194:AU194,"&lt;&gt;"))</f>
        <v/>
      </c>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78"/>
    </row>
    <row r="195" spans="1:47" ht="60" customHeight="1" x14ac:dyDescent="0.35">
      <c r="A195" s="174" t="s">
        <v>4097</v>
      </c>
      <c r="B195" s="148" t="s">
        <v>4123</v>
      </c>
      <c r="C195" s="149" t="s">
        <v>4136</v>
      </c>
      <c r="D195" s="152" t="s">
        <v>4137</v>
      </c>
      <c r="E195" s="155"/>
      <c r="F195" s="158" t="s">
        <v>20</v>
      </c>
      <c r="G195" s="161" t="str">
        <f>IF(COUNTIF(H195:AU195,"&lt;&gt;")=0,"",SUMPRODUCT(((Recommendations[ImplStatus]="Implemented")+(Recommendations[ImplStatus]="Compensated"))*ISNUMBER(MATCH(Recommendations[Id],H195:AU195,0)))/COUNTIF(H195:AU195,"&lt;&gt;"))</f>
        <v/>
      </c>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78"/>
    </row>
    <row r="196" spans="1:47" ht="60" customHeight="1" outlineLevel="1" x14ac:dyDescent="0.35">
      <c r="A196" s="173" t="s">
        <v>4097</v>
      </c>
      <c r="B196" s="147" t="s">
        <v>4138</v>
      </c>
      <c r="C196" s="145" t="s">
        <v>4139</v>
      </c>
      <c r="D196" s="151"/>
      <c r="E196" s="154" t="s">
        <v>20</v>
      </c>
      <c r="F196" s="157" t="s">
        <v>20</v>
      </c>
      <c r="G196" s="160" t="str">
        <f>IF(COUNTIF(H196:AU196,"&lt;&gt;")=0,"",SUMPRODUCT(((Recommendations[ImplStatus]="Implemented")+(Recommendations[ImplStatus]="Compensated"))*ISNUMBER(MATCH(Recommendations[Id],H196:AU196,0)))/COUNTIF(H196:AU196,"&lt;&gt;"))</f>
        <v/>
      </c>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77"/>
    </row>
    <row r="197" spans="1:47" ht="60" customHeight="1" x14ac:dyDescent="0.35">
      <c r="A197" s="174" t="s">
        <v>4097</v>
      </c>
      <c r="B197" s="148" t="s">
        <v>4138</v>
      </c>
      <c r="C197" s="149" t="s">
        <v>4140</v>
      </c>
      <c r="D197" s="152" t="s">
        <v>4141</v>
      </c>
      <c r="E197" s="155"/>
      <c r="F197" s="158" t="s">
        <v>20</v>
      </c>
      <c r="G197" s="161" t="str">
        <f>IF(COUNTIF(H197:AU197,"&lt;&gt;")=0,"",SUMPRODUCT(((Recommendations[ImplStatus]="Implemented")+(Recommendations[ImplStatus]="Compensated"))*ISNUMBER(MATCH(Recommendations[Id],H197:AU197,0)))/COUNTIF(H197:AU197,"&lt;&gt;"))</f>
        <v/>
      </c>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78"/>
    </row>
    <row r="198" spans="1:47" ht="60" customHeight="1" x14ac:dyDescent="0.35">
      <c r="A198" s="174" t="s">
        <v>4097</v>
      </c>
      <c r="B198" s="148" t="s">
        <v>4138</v>
      </c>
      <c r="C198" s="149" t="s">
        <v>4142</v>
      </c>
      <c r="D198" s="152" t="s">
        <v>4143</v>
      </c>
      <c r="E198" s="155"/>
      <c r="F198" s="158" t="s">
        <v>20</v>
      </c>
      <c r="G198" s="161" t="str">
        <f>IF(COUNTIF(H198:AU198,"&lt;&gt;")=0,"",SUMPRODUCT(((Recommendations[ImplStatus]="Implemented")+(Recommendations[ImplStatus]="Compensated"))*ISNUMBER(MATCH(Recommendations[Id],H198:AU198,0)))/COUNTIF(H198:AU198,"&lt;&gt;"))</f>
        <v/>
      </c>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78"/>
    </row>
    <row r="199" spans="1:47" ht="60" customHeight="1" outlineLevel="1" x14ac:dyDescent="0.35">
      <c r="A199" s="173" t="s">
        <v>4097</v>
      </c>
      <c r="B199" s="147" t="s">
        <v>4144</v>
      </c>
      <c r="C199" s="145" t="s">
        <v>4145</v>
      </c>
      <c r="D199" s="151" t="s">
        <v>4146</v>
      </c>
      <c r="E199" s="154" t="s">
        <v>20</v>
      </c>
      <c r="F199" s="157" t="s">
        <v>20</v>
      </c>
      <c r="G199" s="160" t="str">
        <f>IF(COUNTIF(H199:AU199,"&lt;&gt;")=0,"",SUMPRODUCT(((Recommendations[ImplStatus]="Implemented")+(Recommendations[ImplStatus]="Compensated"))*ISNUMBER(MATCH(Recommendations[Id],H199:AU199,0)))/COUNTIF(H199:AU199,"&lt;&gt;"))</f>
        <v/>
      </c>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163"/>
      <c r="AQ199" s="163"/>
      <c r="AR199" s="163"/>
      <c r="AS199" s="163"/>
      <c r="AT199" s="163"/>
      <c r="AU199" s="177"/>
    </row>
    <row r="200" spans="1:47" ht="60" customHeight="1" x14ac:dyDescent="0.35">
      <c r="A200" s="174" t="s">
        <v>4097</v>
      </c>
      <c r="B200" s="148" t="s">
        <v>4144</v>
      </c>
      <c r="C200" s="149" t="s">
        <v>4147</v>
      </c>
      <c r="D200" s="152" t="s">
        <v>4148</v>
      </c>
      <c r="E200" s="155" t="s">
        <v>4149</v>
      </c>
      <c r="F200" s="158" t="s">
        <v>3663</v>
      </c>
      <c r="G200" s="161" t="str">
        <f>IF(COUNTIF(H200:AU200,"&lt;&gt;")=0,"",SUMPRODUCT(((Recommendations[ImplStatus]="Implemented")+(Recommendations[ImplStatus]="Compensated"))*ISNUMBER(MATCH(Recommendations[Id],H200:AU200,0)))/COUNTIF(H200:AU200,"&lt;&gt;"))</f>
        <v/>
      </c>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78"/>
    </row>
    <row r="201" spans="1:47" ht="60" customHeight="1" x14ac:dyDescent="0.35">
      <c r="A201" s="174" t="s">
        <v>4097</v>
      </c>
      <c r="B201" s="148" t="s">
        <v>4144</v>
      </c>
      <c r="C201" s="149" t="s">
        <v>4150</v>
      </c>
      <c r="D201" s="152" t="s">
        <v>4151</v>
      </c>
      <c r="E201" s="155" t="s">
        <v>4152</v>
      </c>
      <c r="F201" s="158" t="s">
        <v>3649</v>
      </c>
      <c r="G201" s="161" t="str">
        <f>IF(COUNTIF(H201:AU201,"&lt;&gt;")=0,"",SUMPRODUCT(((Recommendations[ImplStatus]="Implemented")+(Recommendations[ImplStatus]="Compensated"))*ISNUMBER(MATCH(Recommendations[Id],H201:AU201,0)))/COUNTIF(H201:AU201,"&lt;&gt;"))</f>
        <v/>
      </c>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78"/>
    </row>
    <row r="202" spans="1:47" ht="60" customHeight="1" x14ac:dyDescent="0.35">
      <c r="A202" s="174" t="s">
        <v>4097</v>
      </c>
      <c r="B202" s="148" t="s">
        <v>4144</v>
      </c>
      <c r="C202" s="149" t="s">
        <v>4153</v>
      </c>
      <c r="D202" s="152" t="s">
        <v>4154</v>
      </c>
      <c r="E202" s="155" t="s">
        <v>4155</v>
      </c>
      <c r="F202" s="158" t="s">
        <v>3649</v>
      </c>
      <c r="G202" s="161" t="str">
        <f>IF(COUNTIF(H202:AU202,"&lt;&gt;")=0,"",SUMPRODUCT(((Recommendations[ImplStatus]="Implemented")+(Recommendations[ImplStatus]="Compensated"))*ISNUMBER(MATCH(Recommendations[Id],H202:AU202,0)))/COUNTIF(H202:AU202,"&lt;&gt;"))</f>
        <v/>
      </c>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78"/>
    </row>
    <row r="203" spans="1:47" ht="60" customHeight="1" x14ac:dyDescent="0.35">
      <c r="A203" s="174" t="s">
        <v>4097</v>
      </c>
      <c r="B203" s="148" t="s">
        <v>4144</v>
      </c>
      <c r="C203" s="149" t="s">
        <v>4156</v>
      </c>
      <c r="D203" s="152" t="s">
        <v>4157</v>
      </c>
      <c r="E203" s="155" t="s">
        <v>4158</v>
      </c>
      <c r="F203" s="158" t="s">
        <v>3649</v>
      </c>
      <c r="G203" s="161" t="str">
        <f>IF(COUNTIF(H203:AU203,"&lt;&gt;")=0,"",SUMPRODUCT(((Recommendations[ImplStatus]="Implemented")+(Recommendations[ImplStatus]="Compensated"))*ISNUMBER(MATCH(Recommendations[Id],H203:AU203,0)))/COUNTIF(H203:AU203,"&lt;&gt;"))</f>
        <v/>
      </c>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78"/>
    </row>
    <row r="204" spans="1:47" ht="60" customHeight="1" x14ac:dyDescent="0.35">
      <c r="A204" s="174" t="s">
        <v>4097</v>
      </c>
      <c r="B204" s="148" t="s">
        <v>4144</v>
      </c>
      <c r="C204" s="149" t="s">
        <v>4159</v>
      </c>
      <c r="D204" s="152" t="s">
        <v>4160</v>
      </c>
      <c r="E204" s="155" t="s">
        <v>4161</v>
      </c>
      <c r="F204" s="158" t="s">
        <v>3649</v>
      </c>
      <c r="G204" s="161" t="str">
        <f>IF(COUNTIF(H204:AU204,"&lt;&gt;")=0,"",SUMPRODUCT(((Recommendations[ImplStatus]="Implemented")+(Recommendations[ImplStatus]="Compensated"))*ISNUMBER(MATCH(Recommendations[Id],H204:AU204,0)))/COUNTIF(H204:AU204,"&lt;&gt;"))</f>
        <v/>
      </c>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78"/>
    </row>
    <row r="205" spans="1:47" ht="60" customHeight="1" outlineLevel="1" x14ac:dyDescent="0.35">
      <c r="A205" s="173" t="s">
        <v>4097</v>
      </c>
      <c r="B205" s="147" t="s">
        <v>4162</v>
      </c>
      <c r="C205" s="145" t="s">
        <v>4163</v>
      </c>
      <c r="D205" s="151" t="s">
        <v>4164</v>
      </c>
      <c r="E205" s="154" t="s">
        <v>20</v>
      </c>
      <c r="F205" s="157" t="s">
        <v>20</v>
      </c>
      <c r="G205" s="160" t="str">
        <f>IF(COUNTIF(H205:AU205,"&lt;&gt;")=0,"",SUMPRODUCT(((Recommendations[ImplStatus]="Implemented")+(Recommendations[ImplStatus]="Compensated"))*ISNUMBER(MATCH(Recommendations[Id],H205:AU205,0)))/COUNTIF(H205:AU205,"&lt;&gt;"))</f>
        <v/>
      </c>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77"/>
    </row>
    <row r="206" spans="1:47" ht="60" customHeight="1" x14ac:dyDescent="0.35">
      <c r="A206" s="174" t="s">
        <v>4097</v>
      </c>
      <c r="B206" s="148" t="s">
        <v>4162</v>
      </c>
      <c r="C206" s="149" t="s">
        <v>4165</v>
      </c>
      <c r="D206" s="152" t="s">
        <v>4166</v>
      </c>
      <c r="E206" s="155" t="s">
        <v>4167</v>
      </c>
      <c r="F206" s="158" t="s">
        <v>3653</v>
      </c>
      <c r="G206" s="161" t="str">
        <f>IF(COUNTIF(H206:AU206,"&lt;&gt;")=0,"",SUMPRODUCT(((Recommendations[ImplStatus]="Implemented")+(Recommendations[ImplStatus]="Compensated"))*ISNUMBER(MATCH(Recommendations[Id],H206:AU206,0)))/COUNTIF(H206:AU206,"&lt;&gt;"))</f>
        <v/>
      </c>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78"/>
    </row>
    <row r="207" spans="1:47" ht="60" customHeight="1" x14ac:dyDescent="0.35">
      <c r="A207" s="174" t="s">
        <v>4097</v>
      </c>
      <c r="B207" s="148" t="s">
        <v>4162</v>
      </c>
      <c r="C207" s="149" t="s">
        <v>4168</v>
      </c>
      <c r="D207" s="152" t="s">
        <v>4169</v>
      </c>
      <c r="E207" s="155" t="s">
        <v>4170</v>
      </c>
      <c r="F207" s="158" t="s">
        <v>3653</v>
      </c>
      <c r="G207" s="161" t="str">
        <f>IF(COUNTIF(H207:AU207,"&lt;&gt;")=0,"",SUMPRODUCT(((Recommendations[ImplStatus]="Implemented")+(Recommendations[ImplStatus]="Compensated"))*ISNUMBER(MATCH(Recommendations[Id],H207:AU207,0)))/COUNTIF(H207:AU207,"&lt;&gt;"))</f>
        <v/>
      </c>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78"/>
    </row>
    <row r="208" spans="1:47" ht="60" customHeight="1" x14ac:dyDescent="0.35">
      <c r="A208" s="174" t="s">
        <v>4097</v>
      </c>
      <c r="B208" s="148" t="s">
        <v>4162</v>
      </c>
      <c r="C208" s="149" t="s">
        <v>4171</v>
      </c>
      <c r="D208" s="152" t="s">
        <v>4172</v>
      </c>
      <c r="E208" s="155"/>
      <c r="F208" s="158" t="s">
        <v>20</v>
      </c>
      <c r="G208" s="161" t="str">
        <f>IF(COUNTIF(H208:AU208,"&lt;&gt;")=0,"",SUMPRODUCT(((Recommendations[ImplStatus]="Implemented")+(Recommendations[ImplStatus]="Compensated"))*ISNUMBER(MATCH(Recommendations[Id],H208:AU208,0)))/COUNTIF(H208:AU208,"&lt;&gt;"))</f>
        <v/>
      </c>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78"/>
    </row>
    <row r="209" spans="1:47" ht="60" customHeight="1" outlineLevel="1" x14ac:dyDescent="0.35">
      <c r="A209" s="173" t="s">
        <v>4097</v>
      </c>
      <c r="B209" s="147" t="s">
        <v>4173</v>
      </c>
      <c r="C209" s="145" t="s">
        <v>4174</v>
      </c>
      <c r="D209" s="151"/>
      <c r="E209" s="154" t="s">
        <v>20</v>
      </c>
      <c r="F209" s="157" t="s">
        <v>20</v>
      </c>
      <c r="G209" s="160" t="str">
        <f>IF(COUNTIF(H209:AU209,"&lt;&gt;")=0,"",SUMPRODUCT(((Recommendations[ImplStatus]="Implemented")+(Recommendations[ImplStatus]="Compensated"))*ISNUMBER(MATCH(Recommendations[Id],H209:AU209,0)))/COUNTIF(H209:AU209,"&lt;&gt;"))</f>
        <v/>
      </c>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77"/>
    </row>
    <row r="210" spans="1:47" ht="60" customHeight="1" x14ac:dyDescent="0.35">
      <c r="A210" s="174" t="s">
        <v>4097</v>
      </c>
      <c r="B210" s="148" t="s">
        <v>4173</v>
      </c>
      <c r="C210" s="149" t="s">
        <v>4175</v>
      </c>
      <c r="D210" s="152" t="s">
        <v>4176</v>
      </c>
      <c r="E210" s="155"/>
      <c r="F210" s="158" t="s">
        <v>20</v>
      </c>
      <c r="G210" s="161" t="str">
        <f>IF(COUNTIF(H210:AU210,"&lt;&gt;")=0,"",SUMPRODUCT(((Recommendations[ImplStatus]="Implemented")+(Recommendations[ImplStatus]="Compensated"))*ISNUMBER(MATCH(Recommendations[Id],H210:AU210,0)))/COUNTIF(H210:AU210,"&lt;&gt;"))</f>
        <v/>
      </c>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c r="AK210" s="164"/>
      <c r="AL210" s="164"/>
      <c r="AM210" s="164"/>
      <c r="AN210" s="164"/>
      <c r="AO210" s="164"/>
      <c r="AP210" s="164"/>
      <c r="AQ210" s="164"/>
      <c r="AR210" s="164"/>
      <c r="AS210" s="164"/>
      <c r="AT210" s="164"/>
      <c r="AU210" s="178"/>
    </row>
    <row r="211" spans="1:47" ht="60" customHeight="1" outlineLevel="1" x14ac:dyDescent="0.35">
      <c r="A211" s="172" t="s">
        <v>4177</v>
      </c>
      <c r="B211" s="146" t="s">
        <v>20</v>
      </c>
      <c r="C211" s="144" t="s">
        <v>4178</v>
      </c>
      <c r="D211" s="150" t="s">
        <v>4179</v>
      </c>
      <c r="E211" s="153" t="s">
        <v>20</v>
      </c>
      <c r="F211" s="156" t="s">
        <v>20</v>
      </c>
      <c r="G211" s="159" t="str">
        <f>IF(COUNTIF(H211:AU211,"&lt;&gt;")=0,"",SUMPRODUCT(((Recommendations[ImplStatus]="Implemented")+(Recommendations[ImplStatus]="Compensated"))*ISNUMBER(MATCH(Recommendations[Id],H211:AU211,0)))/COUNTIF(H211:AU211,"&lt;&gt;"))</f>
        <v/>
      </c>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76"/>
    </row>
    <row r="212" spans="1:47" ht="60" customHeight="1" outlineLevel="1" x14ac:dyDescent="0.35">
      <c r="A212" s="173" t="s">
        <v>4177</v>
      </c>
      <c r="B212" s="147" t="s">
        <v>4180</v>
      </c>
      <c r="C212" s="145" t="s">
        <v>4181</v>
      </c>
      <c r="D212" s="151" t="s">
        <v>4182</v>
      </c>
      <c r="E212" s="154" t="s">
        <v>20</v>
      </c>
      <c r="F212" s="157" t="s">
        <v>20</v>
      </c>
      <c r="G212" s="160" t="str">
        <f>IF(COUNTIF(H212:AU212,"&lt;&gt;")=0,"",SUMPRODUCT(((Recommendations[ImplStatus]="Implemented")+(Recommendations[ImplStatus]="Compensated"))*ISNUMBER(MATCH(Recommendations[Id],H212:AU212,0)))/COUNTIF(H212:AU212,"&lt;&gt;"))</f>
        <v/>
      </c>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77"/>
    </row>
    <row r="213" spans="1:47" ht="60" customHeight="1" x14ac:dyDescent="0.35">
      <c r="A213" s="174" t="s">
        <v>4177</v>
      </c>
      <c r="B213" s="148" t="s">
        <v>4180</v>
      </c>
      <c r="C213" s="149" t="s">
        <v>4183</v>
      </c>
      <c r="D213" s="152" t="s">
        <v>4184</v>
      </c>
      <c r="E213" s="155"/>
      <c r="F213" s="158" t="s">
        <v>20</v>
      </c>
      <c r="G213" s="161" t="str">
        <f>IF(COUNTIF(H213:AU213,"&lt;&gt;")=0,"",SUMPRODUCT(((Recommendations[ImplStatus]="Implemented")+(Recommendations[ImplStatus]="Compensated"))*ISNUMBER(MATCH(Recommendations[Id],H213:AU213,0)))/COUNTIF(H213:AU213,"&lt;&gt;"))</f>
        <v/>
      </c>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4"/>
      <c r="AT213" s="164"/>
      <c r="AU213" s="178"/>
    </row>
    <row r="214" spans="1:47" ht="60" customHeight="1" x14ac:dyDescent="0.35">
      <c r="A214" s="174" t="s">
        <v>4177</v>
      </c>
      <c r="B214" s="148" t="s">
        <v>4180</v>
      </c>
      <c r="C214" s="149" t="s">
        <v>4185</v>
      </c>
      <c r="D214" s="152" t="s">
        <v>4186</v>
      </c>
      <c r="E214" s="155"/>
      <c r="F214" s="158" t="s">
        <v>20</v>
      </c>
      <c r="G214" s="161" t="str">
        <f>IF(COUNTIF(H214:AU214,"&lt;&gt;")=0,"",SUMPRODUCT(((Recommendations[ImplStatus]="Implemented")+(Recommendations[ImplStatus]="Compensated"))*ISNUMBER(MATCH(Recommendations[Id],H214:AU214,0)))/COUNTIF(H214:AU214,"&lt;&gt;"))</f>
        <v/>
      </c>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4"/>
      <c r="AT214" s="164"/>
      <c r="AU214" s="178"/>
    </row>
    <row r="215" spans="1:47" ht="60" customHeight="1" x14ac:dyDescent="0.35">
      <c r="A215" s="174" t="s">
        <v>4177</v>
      </c>
      <c r="B215" s="148" t="s">
        <v>4180</v>
      </c>
      <c r="C215" s="149" t="s">
        <v>4187</v>
      </c>
      <c r="D215" s="152" t="s">
        <v>4188</v>
      </c>
      <c r="E215" s="155" t="s">
        <v>4189</v>
      </c>
      <c r="F215" s="158" t="s">
        <v>3653</v>
      </c>
      <c r="G215" s="161" t="str">
        <f>IF(COUNTIF(H215:AU215,"&lt;&gt;")=0,"",SUMPRODUCT(((Recommendations[ImplStatus]="Implemented")+(Recommendations[ImplStatus]="Compensated"))*ISNUMBER(MATCH(Recommendations[Id],H215:AU215,0)))/COUNTIF(H215:AU215,"&lt;&gt;"))</f>
        <v/>
      </c>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78"/>
    </row>
    <row r="216" spans="1:47" ht="60" customHeight="1" x14ac:dyDescent="0.35">
      <c r="A216" s="174" t="s">
        <v>4177</v>
      </c>
      <c r="B216" s="148" t="s">
        <v>4180</v>
      </c>
      <c r="C216" s="149" t="s">
        <v>4190</v>
      </c>
      <c r="D216" s="152" t="s">
        <v>4191</v>
      </c>
      <c r="E216" s="155" t="s">
        <v>4192</v>
      </c>
      <c r="F216" s="158" t="s">
        <v>3649</v>
      </c>
      <c r="G216" s="161" t="str">
        <f>IF(COUNTIF(H216:AU216,"&lt;&gt;")=0,"",SUMPRODUCT(((Recommendations[ImplStatus]="Implemented")+(Recommendations[ImplStatus]="Compensated"))*ISNUMBER(MATCH(Recommendations[Id],H216:AU216,0)))/COUNTIF(H216:AU216,"&lt;&gt;"))</f>
        <v/>
      </c>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4"/>
      <c r="AT216" s="164"/>
      <c r="AU216" s="178"/>
    </row>
    <row r="217" spans="1:47" ht="60" customHeight="1" outlineLevel="1" x14ac:dyDescent="0.35">
      <c r="A217" s="173" t="s">
        <v>4177</v>
      </c>
      <c r="B217" s="147" t="s">
        <v>4138</v>
      </c>
      <c r="C217" s="145" t="s">
        <v>4193</v>
      </c>
      <c r="D217" s="151"/>
      <c r="E217" s="154" t="s">
        <v>20</v>
      </c>
      <c r="F217" s="157" t="s">
        <v>20</v>
      </c>
      <c r="G217" s="160" t="str">
        <f>IF(COUNTIF(H217:AU217,"&lt;&gt;")=0,"",SUMPRODUCT(((Recommendations[ImplStatus]="Implemented")+(Recommendations[ImplStatus]="Compensated"))*ISNUMBER(MATCH(Recommendations[Id],H217:AU217,0)))/COUNTIF(H217:AU217,"&lt;&gt;"))</f>
        <v/>
      </c>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163"/>
      <c r="AD217" s="163"/>
      <c r="AE217" s="163"/>
      <c r="AF217" s="163"/>
      <c r="AG217" s="163"/>
      <c r="AH217" s="163"/>
      <c r="AI217" s="163"/>
      <c r="AJ217" s="163"/>
      <c r="AK217" s="163"/>
      <c r="AL217" s="163"/>
      <c r="AM217" s="163"/>
      <c r="AN217" s="163"/>
      <c r="AO217" s="163"/>
      <c r="AP217" s="163"/>
      <c r="AQ217" s="163"/>
      <c r="AR217" s="163"/>
      <c r="AS217" s="163"/>
      <c r="AT217" s="163"/>
      <c r="AU217" s="177"/>
    </row>
    <row r="218" spans="1:47" ht="60" customHeight="1" x14ac:dyDescent="0.35">
      <c r="A218" s="174" t="s">
        <v>4177</v>
      </c>
      <c r="B218" s="148" t="s">
        <v>4138</v>
      </c>
      <c r="C218" s="149" t="s">
        <v>4194</v>
      </c>
      <c r="D218" s="152" t="s">
        <v>4195</v>
      </c>
      <c r="E218" s="155"/>
      <c r="F218" s="158" t="s">
        <v>20</v>
      </c>
      <c r="G218" s="161" t="str">
        <f>IF(COUNTIF(H218:AU218,"&lt;&gt;")=0,"",SUMPRODUCT(((Recommendations[ImplStatus]="Implemented")+(Recommendations[ImplStatus]="Compensated"))*ISNUMBER(MATCH(Recommendations[Id],H218:AU218,0)))/COUNTIF(H218:AU218,"&lt;&gt;"))</f>
        <v/>
      </c>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78"/>
    </row>
    <row r="219" spans="1:47" ht="60" customHeight="1" x14ac:dyDescent="0.35">
      <c r="A219" s="174" t="s">
        <v>4177</v>
      </c>
      <c r="B219" s="148" t="s">
        <v>4138</v>
      </c>
      <c r="C219" s="149" t="s">
        <v>4196</v>
      </c>
      <c r="D219" s="152" t="s">
        <v>4197</v>
      </c>
      <c r="E219" s="155"/>
      <c r="F219" s="158" t="s">
        <v>20</v>
      </c>
      <c r="G219" s="161" t="str">
        <f>IF(COUNTIF(H219:AU219,"&lt;&gt;")=0,"",SUMPRODUCT(((Recommendations[ImplStatus]="Implemented")+(Recommendations[ImplStatus]="Compensated"))*ISNUMBER(MATCH(Recommendations[Id],H219:AU219,0)))/COUNTIF(H219:AU219,"&lt;&gt;"))</f>
        <v/>
      </c>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78"/>
    </row>
    <row r="220" spans="1:47" ht="60" customHeight="1" outlineLevel="1" x14ac:dyDescent="0.35">
      <c r="A220" s="173" t="s">
        <v>4177</v>
      </c>
      <c r="B220" s="147" t="s">
        <v>4198</v>
      </c>
      <c r="C220" s="145" t="s">
        <v>4199</v>
      </c>
      <c r="D220" s="151" t="s">
        <v>4200</v>
      </c>
      <c r="E220" s="154" t="s">
        <v>20</v>
      </c>
      <c r="F220" s="157" t="s">
        <v>20</v>
      </c>
      <c r="G220" s="160" t="str">
        <f>IF(COUNTIF(H220:AU220,"&lt;&gt;")=0,"",SUMPRODUCT(((Recommendations[ImplStatus]="Implemented")+(Recommendations[ImplStatus]="Compensated"))*ISNUMBER(MATCH(Recommendations[Id],H220:AU220,0)))/COUNTIF(H220:AU220,"&lt;&gt;"))</f>
        <v/>
      </c>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163"/>
      <c r="AD220" s="163"/>
      <c r="AE220" s="163"/>
      <c r="AF220" s="163"/>
      <c r="AG220" s="163"/>
      <c r="AH220" s="163"/>
      <c r="AI220" s="163"/>
      <c r="AJ220" s="163"/>
      <c r="AK220" s="163"/>
      <c r="AL220" s="163"/>
      <c r="AM220" s="163"/>
      <c r="AN220" s="163"/>
      <c r="AO220" s="163"/>
      <c r="AP220" s="163"/>
      <c r="AQ220" s="163"/>
      <c r="AR220" s="163"/>
      <c r="AS220" s="163"/>
      <c r="AT220" s="163"/>
      <c r="AU220" s="177"/>
    </row>
    <row r="221" spans="1:47" ht="60" customHeight="1" x14ac:dyDescent="0.35">
      <c r="A221" s="174" t="s">
        <v>4177</v>
      </c>
      <c r="B221" s="148" t="s">
        <v>4198</v>
      </c>
      <c r="C221" s="149" t="s">
        <v>4201</v>
      </c>
      <c r="D221" s="152" t="s">
        <v>4202</v>
      </c>
      <c r="E221" s="155" t="s">
        <v>4203</v>
      </c>
      <c r="F221" s="158" t="s">
        <v>3649</v>
      </c>
      <c r="G221" s="161" t="str">
        <f>IF(COUNTIF(H221:AU221,"&lt;&gt;")=0,"",SUMPRODUCT(((Recommendations[ImplStatus]="Implemented")+(Recommendations[ImplStatus]="Compensated"))*ISNUMBER(MATCH(Recommendations[Id],H221:AU221,0)))/COUNTIF(H221:AU221,"&lt;&gt;"))</f>
        <v/>
      </c>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78"/>
    </row>
    <row r="222" spans="1:47" ht="60" customHeight="1" x14ac:dyDescent="0.35">
      <c r="A222" s="174" t="s">
        <v>4177</v>
      </c>
      <c r="B222" s="148" t="s">
        <v>4198</v>
      </c>
      <c r="C222" s="149" t="s">
        <v>4204</v>
      </c>
      <c r="D222" s="152" t="s">
        <v>4205</v>
      </c>
      <c r="E222" s="155" t="s">
        <v>4206</v>
      </c>
      <c r="F222" s="158" t="s">
        <v>3649</v>
      </c>
      <c r="G222" s="161" t="str">
        <f>IF(COUNTIF(H222:AU222,"&lt;&gt;")=0,"",SUMPRODUCT(((Recommendations[ImplStatus]="Implemented")+(Recommendations[ImplStatus]="Compensated"))*ISNUMBER(MATCH(Recommendations[Id],H222:AU222,0)))/COUNTIF(H222:AU222,"&lt;&gt;"))</f>
        <v/>
      </c>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64"/>
      <c r="AG222" s="164"/>
      <c r="AH222" s="164"/>
      <c r="AI222" s="164"/>
      <c r="AJ222" s="164"/>
      <c r="AK222" s="164"/>
      <c r="AL222" s="164"/>
      <c r="AM222" s="164"/>
      <c r="AN222" s="164"/>
      <c r="AO222" s="164"/>
      <c r="AP222" s="164"/>
      <c r="AQ222" s="164"/>
      <c r="AR222" s="164"/>
      <c r="AS222" s="164"/>
      <c r="AT222" s="164"/>
      <c r="AU222" s="178"/>
    </row>
    <row r="223" spans="1:47" ht="60" customHeight="1" x14ac:dyDescent="0.35">
      <c r="A223" s="174" t="s">
        <v>4177</v>
      </c>
      <c r="B223" s="148" t="s">
        <v>4198</v>
      </c>
      <c r="C223" s="149" t="s">
        <v>4207</v>
      </c>
      <c r="D223" s="152" t="s">
        <v>4208</v>
      </c>
      <c r="E223" s="155" t="s">
        <v>4209</v>
      </c>
      <c r="F223" s="158" t="s">
        <v>3649</v>
      </c>
      <c r="G223" s="161" t="str">
        <f>IF(COUNTIF(H223:AU223,"&lt;&gt;")=0,"",SUMPRODUCT(((Recommendations[ImplStatus]="Implemented")+(Recommendations[ImplStatus]="Compensated"))*ISNUMBER(MATCH(Recommendations[Id],H223:AU223,0)))/COUNTIF(H223:AU223,"&lt;&gt;"))</f>
        <v/>
      </c>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c r="AK223" s="164"/>
      <c r="AL223" s="164"/>
      <c r="AM223" s="164"/>
      <c r="AN223" s="164"/>
      <c r="AO223" s="164"/>
      <c r="AP223" s="164"/>
      <c r="AQ223" s="164"/>
      <c r="AR223" s="164"/>
      <c r="AS223" s="164"/>
      <c r="AT223" s="164"/>
      <c r="AU223" s="178"/>
    </row>
    <row r="224" spans="1:47" ht="60" customHeight="1" x14ac:dyDescent="0.35">
      <c r="A224" s="174" t="s">
        <v>4177</v>
      </c>
      <c r="B224" s="148" t="s">
        <v>4198</v>
      </c>
      <c r="C224" s="149" t="s">
        <v>4210</v>
      </c>
      <c r="D224" s="152" t="s">
        <v>4211</v>
      </c>
      <c r="E224" s="155" t="s">
        <v>4212</v>
      </c>
      <c r="F224" s="158" t="s">
        <v>3649</v>
      </c>
      <c r="G224" s="161" t="str">
        <f>IF(COUNTIF(H224:AU224,"&lt;&gt;")=0,"",SUMPRODUCT(((Recommendations[ImplStatus]="Implemented")+(Recommendations[ImplStatus]="Compensated"))*ISNUMBER(MATCH(Recommendations[Id],H224:AU224,0)))/COUNTIF(H224:AU224,"&lt;&gt;"))</f>
        <v/>
      </c>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78"/>
    </row>
    <row r="225" spans="1:47" ht="60" customHeight="1" x14ac:dyDescent="0.35">
      <c r="A225" s="174" t="s">
        <v>4177</v>
      </c>
      <c r="B225" s="148" t="s">
        <v>4198</v>
      </c>
      <c r="C225" s="149" t="s">
        <v>4213</v>
      </c>
      <c r="D225" s="152" t="s">
        <v>4214</v>
      </c>
      <c r="E225" s="155" t="s">
        <v>4215</v>
      </c>
      <c r="F225" s="158" t="s">
        <v>3649</v>
      </c>
      <c r="G225" s="161" t="str">
        <f>IF(COUNTIF(H225:AU225,"&lt;&gt;")=0,"",SUMPRODUCT(((Recommendations[ImplStatus]="Implemented")+(Recommendations[ImplStatus]="Compensated"))*ISNUMBER(MATCH(Recommendations[Id],H225:AU225,0)))/COUNTIF(H225:AU225,"&lt;&gt;"))</f>
        <v/>
      </c>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78"/>
    </row>
    <row r="226" spans="1:47" ht="60" customHeight="1" x14ac:dyDescent="0.35">
      <c r="A226" s="175" t="s">
        <v>4177</v>
      </c>
      <c r="B226" s="165" t="s">
        <v>4198</v>
      </c>
      <c r="C226" s="166" t="s">
        <v>4216</v>
      </c>
      <c r="D226" s="167" t="s">
        <v>4217</v>
      </c>
      <c r="E226" s="168" t="s">
        <v>4218</v>
      </c>
      <c r="F226" s="169" t="s">
        <v>3649</v>
      </c>
      <c r="G226" s="170" t="str">
        <f>IF(COUNTIF(H226:AU226,"&lt;&gt;")=0,"",SUMPRODUCT(((Recommendations[ImplStatus]="Implemented")+(Recommendations[ImplStatus]="Compensated"))*ISNUMBER(MATCH(Recommendations[Id],H226:AU226,0)))/COUNTIF(H226:AU226,"&lt;&gt;"))</f>
        <v/>
      </c>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9"/>
    </row>
    <row r="230" spans="1:47" ht="32" customHeight="1" x14ac:dyDescent="0.35">
      <c r="A230" s="262" t="s">
        <v>1766</v>
      </c>
      <c r="B230" s="262"/>
      <c r="C230" s="262"/>
      <c r="D230" s="262"/>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IFERROR(INDEX('Recommendations'!$G$2:$G$368, MATCH(H2,'Recommendations'!$B$2:$B$368,0))="Implemented", FALSE))</xm:f>
            <x14:dxf>
              <font>
                <color rgb="FF000000"/>
              </font>
              <fill>
                <patternFill>
                  <bgColor rgb="FF3C7D22"/>
                </patternFill>
              </fill>
            </x14:dxf>
          </x14:cfRule>
          <x14:cfRule type="expression" priority="2" id="{00000000-000E-0000-0700-000002000000}">
            <xm:f>AND(H2&lt;&gt;"", IFERROR(INDEX('Recommendations'!$G$2:$G$368, MATCH(H2,'Recommendations'!$B$2:$B$368,0))="Compensated", FALSE))</xm:f>
            <x14:dxf>
              <font>
                <color rgb="FF000000"/>
              </font>
              <fill>
                <patternFill>
                  <bgColor rgb="FFC6E0B4"/>
                </patternFill>
              </fill>
            </x14:dxf>
          </x14:cfRule>
          <x14:cfRule type="expression" priority="3" id="{00000000-000E-0000-0700-000003000000}">
            <xm:f>AND(H2&lt;&gt;"", IFERROR(INDEX('Recommendations'!$G$2:$G$368, MATCH(H2,'Recommendations'!$B$2:$B$368,0))="Testing", FALSE))</xm:f>
            <x14:dxf>
              <font>
                <color rgb="FF000000"/>
              </font>
              <fill>
                <patternFill>
                  <bgColor rgb="FFFFC000"/>
                </patternFill>
              </fill>
            </x14:dxf>
          </x14:cfRule>
          <x14:cfRule type="expression" priority="4" id="{00000000-000E-0000-0700-000004000000}">
            <xm:f>AND(H2&lt;&gt;"", IFERROR(INDEX('Recommendations'!$G$2:$G$368, MATCH(H2,'Recommendations'!$B$2:$B$368,0))="Failed", FALSE))</xm:f>
            <x14:dxf>
              <font>
                <color rgb="FF000000"/>
              </font>
              <fill>
                <patternFill>
                  <bgColor rgb="FFD82891"/>
                </patternFill>
              </fill>
            </x14:dxf>
          </x14:cfRule>
          <x14:cfRule type="expression" priority="5" id="{00000000-000E-0000-0700-000005000000}">
            <xm:f>AND(H2&lt;&gt;"", IFERROR(INDEX('Recommendations'!$G$2:$G$368, MATCH(H2,'Recommendations'!$B$2:$B$368,0))="Risk Accepted", FALSE))</xm:f>
            <x14:dxf>
              <font>
                <color rgb="FF000000"/>
              </font>
              <fill>
                <patternFill>
                  <bgColor rgb="FFD9D9D9"/>
                </patternFill>
              </fill>
            </x14:dxf>
          </x14:cfRule>
          <x14:cfRule type="expression" priority="6" id="{00000000-000E-0000-0700-000006000000}">
            <xm:f>AND(H2&lt;&gt;"", IFERROR(INDEX('Recommendations'!$G$2:$G$368, MATCH(H2,'Recommendations'!$B$2:$B$368,0))="N/A",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3" t="s">
        <v>3636</v>
      </c>
      <c r="B1" s="204" t="s">
        <v>4219</v>
      </c>
      <c r="C1" s="204" t="s">
        <v>4220</v>
      </c>
      <c r="D1" s="204" t="s">
        <v>4221</v>
      </c>
      <c r="E1" s="204" t="s">
        <v>2945</v>
      </c>
      <c r="F1" s="204" t="s">
        <v>2004</v>
      </c>
      <c r="G1" s="204" t="s">
        <v>2005</v>
      </c>
      <c r="H1" s="204" t="s">
        <v>2006</v>
      </c>
      <c r="I1" s="204" t="s">
        <v>2007</v>
      </c>
      <c r="J1" s="204" t="s">
        <v>2008</v>
      </c>
      <c r="K1" s="204" t="s">
        <v>2009</v>
      </c>
      <c r="L1" s="204" t="s">
        <v>2010</v>
      </c>
      <c r="M1" s="204" t="s">
        <v>2011</v>
      </c>
      <c r="N1" s="204" t="s">
        <v>2012</v>
      </c>
      <c r="O1" s="204" t="s">
        <v>2013</v>
      </c>
      <c r="P1" s="204" t="s">
        <v>2014</v>
      </c>
      <c r="Q1" s="204" t="s">
        <v>2015</v>
      </c>
      <c r="R1" s="204" t="s">
        <v>2016</v>
      </c>
      <c r="S1" s="204" t="s">
        <v>2017</v>
      </c>
      <c r="T1" s="204" t="s">
        <v>2018</v>
      </c>
      <c r="U1" s="204" t="s">
        <v>2019</v>
      </c>
      <c r="V1" s="204" t="s">
        <v>2020</v>
      </c>
      <c r="W1" s="204" t="s">
        <v>2021</v>
      </c>
      <c r="X1" s="204" t="s">
        <v>2022</v>
      </c>
      <c r="Y1" s="204" t="s">
        <v>2023</v>
      </c>
      <c r="Z1" s="204" t="s">
        <v>2024</v>
      </c>
      <c r="AA1" s="204" t="s">
        <v>2025</v>
      </c>
      <c r="AB1" s="204" t="s">
        <v>2026</v>
      </c>
      <c r="AC1" s="204" t="s">
        <v>2027</v>
      </c>
      <c r="AD1" s="204" t="s">
        <v>2028</v>
      </c>
      <c r="AE1" s="204" t="s">
        <v>2029</v>
      </c>
      <c r="AF1" s="204" t="s">
        <v>2030</v>
      </c>
      <c r="AG1" s="204" t="s">
        <v>2031</v>
      </c>
      <c r="AH1" s="204" t="s">
        <v>2032</v>
      </c>
      <c r="AI1" s="204" t="s">
        <v>2033</v>
      </c>
      <c r="AJ1" s="204" t="s">
        <v>2034</v>
      </c>
      <c r="AK1" s="204" t="s">
        <v>2035</v>
      </c>
      <c r="AL1" s="204" t="s">
        <v>2036</v>
      </c>
      <c r="AM1" s="204" t="s">
        <v>2037</v>
      </c>
      <c r="AN1" s="204" t="s">
        <v>2038</v>
      </c>
      <c r="AO1" s="204" t="s">
        <v>2039</v>
      </c>
      <c r="AP1" s="204" t="s">
        <v>2040</v>
      </c>
      <c r="AQ1" s="204" t="s">
        <v>2041</v>
      </c>
      <c r="AR1" s="204" t="s">
        <v>2042</v>
      </c>
      <c r="AS1" s="204" t="s">
        <v>2043</v>
      </c>
      <c r="AT1" s="205" t="s">
        <v>2044</v>
      </c>
    </row>
    <row r="2" spans="1:46" ht="60" customHeight="1" outlineLevel="1" x14ac:dyDescent="0.35">
      <c r="A2" s="197" t="s">
        <v>1847</v>
      </c>
      <c r="B2" s="183" t="s">
        <v>4222</v>
      </c>
      <c r="C2" s="183"/>
      <c r="D2" s="186" t="s">
        <v>4223</v>
      </c>
      <c r="E2" s="186"/>
      <c r="F2" s="188" t="str">
        <f>IF(COUNTIF(G2:AT2,"&lt;&gt;")=0,"",SUMPRODUCT(((Recommendations[ImplStatus]="Implemented")+(Recommendations[ImplStatus]="Compensated"))*ISNUMBER(MATCH(Recommendations[Id],G2:AT2,0)))/COUNTIF(G2:AT2,"&lt;&gt;"))</f>
        <v/>
      </c>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200"/>
    </row>
    <row r="3" spans="1:46" ht="60" customHeight="1" x14ac:dyDescent="0.35">
      <c r="A3" s="198" t="s">
        <v>1847</v>
      </c>
      <c r="B3" s="184" t="s">
        <v>4222</v>
      </c>
      <c r="C3" s="185" t="s">
        <v>4224</v>
      </c>
      <c r="D3" s="187" t="s">
        <v>4225</v>
      </c>
      <c r="E3" s="187" t="s">
        <v>4226</v>
      </c>
      <c r="F3" s="189" t="str">
        <f>IF(COUNTIF(G3:AT3,"&lt;&gt;")=0,"",SUMPRODUCT(((Recommendations[ImplStatus]="Implemented")+(Recommendations[ImplStatus]="Compensated"))*ISNUMBER(MATCH(Recommendations[Id],G3:AT3,0)))/COUNTIF(G3:AT3,"&lt;&gt;"))</f>
        <v/>
      </c>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201"/>
    </row>
    <row r="4" spans="1:46" ht="60" customHeight="1" x14ac:dyDescent="0.35">
      <c r="A4" s="198" t="s">
        <v>1847</v>
      </c>
      <c r="B4" s="184" t="s">
        <v>4222</v>
      </c>
      <c r="C4" s="185" t="s">
        <v>4227</v>
      </c>
      <c r="D4" s="187" t="s">
        <v>4228</v>
      </c>
      <c r="E4" s="187" t="s">
        <v>4229</v>
      </c>
      <c r="F4" s="189" t="str">
        <f>IF(COUNTIF(G4:AT4,"&lt;&gt;")=0,"",SUMPRODUCT(((Recommendations[ImplStatus]="Implemented")+(Recommendations[ImplStatus]="Compensated"))*ISNUMBER(MATCH(Recommendations[Id],G4:AT4,0)))/COUNTIF(G4:AT4,"&lt;&gt;"))</f>
        <v/>
      </c>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201"/>
    </row>
    <row r="5" spans="1:46" ht="60" customHeight="1" x14ac:dyDescent="0.35">
      <c r="A5" s="198" t="s">
        <v>1847</v>
      </c>
      <c r="B5" s="184" t="s">
        <v>4222</v>
      </c>
      <c r="C5" s="185" t="s">
        <v>4230</v>
      </c>
      <c r="D5" s="187" t="s">
        <v>4231</v>
      </c>
      <c r="E5" s="187" t="s">
        <v>4232</v>
      </c>
      <c r="F5" s="189" t="str">
        <f>IF(COUNTIF(G5:AT5,"&lt;&gt;")=0,"",SUMPRODUCT(((Recommendations[ImplStatus]="Implemented")+(Recommendations[ImplStatus]="Compensated"))*ISNUMBER(MATCH(Recommendations[Id],G5:AT5,0)))/COUNTIF(G5:AT5,"&lt;&gt;"))</f>
        <v/>
      </c>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201"/>
    </row>
    <row r="6" spans="1:46" ht="60" customHeight="1" x14ac:dyDescent="0.35">
      <c r="A6" s="198" t="s">
        <v>1847</v>
      </c>
      <c r="B6" s="184" t="s">
        <v>4222</v>
      </c>
      <c r="C6" s="185" t="s">
        <v>4233</v>
      </c>
      <c r="D6" s="187" t="s">
        <v>4234</v>
      </c>
      <c r="E6" s="187" t="s">
        <v>4235</v>
      </c>
      <c r="F6" s="189" t="str">
        <f>IF(COUNTIF(G6:AT6,"&lt;&gt;")=0,"",SUMPRODUCT(((Recommendations[ImplStatus]="Implemented")+(Recommendations[ImplStatus]="Compensated"))*ISNUMBER(MATCH(Recommendations[Id],G6:AT6,0)))/COUNTIF(G6:AT6,"&lt;&gt;"))</f>
        <v/>
      </c>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201"/>
    </row>
    <row r="7" spans="1:46" ht="60" customHeight="1" x14ac:dyDescent="0.35">
      <c r="A7" s="198" t="s">
        <v>1847</v>
      </c>
      <c r="B7" s="184" t="s">
        <v>4222</v>
      </c>
      <c r="C7" s="185" t="s">
        <v>4236</v>
      </c>
      <c r="D7" s="187" t="s">
        <v>4237</v>
      </c>
      <c r="E7" s="187" t="s">
        <v>4238</v>
      </c>
      <c r="F7" s="189" t="str">
        <f>IF(COUNTIF(G7:AT7,"&lt;&gt;")=0,"",SUMPRODUCT(((Recommendations[ImplStatus]="Implemented")+(Recommendations[ImplStatus]="Compensated"))*ISNUMBER(MATCH(Recommendations[Id],G7:AT7,0)))/COUNTIF(G7:AT7,"&lt;&gt;"))</f>
        <v/>
      </c>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201"/>
    </row>
    <row r="8" spans="1:46" ht="60" customHeight="1" x14ac:dyDescent="0.35">
      <c r="A8" s="198" t="s">
        <v>1847</v>
      </c>
      <c r="B8" s="184" t="s">
        <v>4222</v>
      </c>
      <c r="C8" s="185" t="s">
        <v>4239</v>
      </c>
      <c r="D8" s="187" t="s">
        <v>4240</v>
      </c>
      <c r="E8" s="187" t="s">
        <v>4241</v>
      </c>
      <c r="F8" s="189" t="str">
        <f>IF(COUNTIF(G8:AT8,"&lt;&gt;")=0,"",SUMPRODUCT(((Recommendations[ImplStatus]="Implemented")+(Recommendations[ImplStatus]="Compensated"))*ISNUMBER(MATCH(Recommendations[Id],G8:AT8,0)))/COUNTIF(G8:AT8,"&lt;&gt;"))</f>
        <v/>
      </c>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201"/>
    </row>
    <row r="9" spans="1:46" ht="60" customHeight="1" x14ac:dyDescent="0.35">
      <c r="A9" s="198" t="s">
        <v>1847</v>
      </c>
      <c r="B9" s="184" t="s">
        <v>4222</v>
      </c>
      <c r="C9" s="185" t="s">
        <v>4242</v>
      </c>
      <c r="D9" s="187" t="s">
        <v>4243</v>
      </c>
      <c r="E9" s="187" t="s">
        <v>4244</v>
      </c>
      <c r="F9" s="189" t="str">
        <f>IF(COUNTIF(G9:AT9,"&lt;&gt;")=0,"",SUMPRODUCT(((Recommendations[ImplStatus]="Implemented")+(Recommendations[ImplStatus]="Compensated"))*ISNUMBER(MATCH(Recommendations[Id],G9:AT9,0)))/COUNTIF(G9:AT9,"&lt;&gt;"))</f>
        <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201"/>
    </row>
    <row r="10" spans="1:46" ht="60" customHeight="1" x14ac:dyDescent="0.35">
      <c r="A10" s="198" t="s">
        <v>1847</v>
      </c>
      <c r="B10" s="184" t="s">
        <v>4222</v>
      </c>
      <c r="C10" s="185" t="s">
        <v>4245</v>
      </c>
      <c r="D10" s="187" t="s">
        <v>4246</v>
      </c>
      <c r="E10" s="187" t="s">
        <v>4247</v>
      </c>
      <c r="F10" s="189" t="str">
        <f>IF(COUNTIF(G10:AT10,"&lt;&gt;")=0,"",SUMPRODUCT(((Recommendations[ImplStatus]="Implemented")+(Recommendations[ImplStatus]="Compensated"))*ISNUMBER(MATCH(Recommendations[Id],G10:AT10,0)))/COUNTIF(G10:AT10,"&lt;&gt;"))</f>
        <v/>
      </c>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201"/>
    </row>
    <row r="11" spans="1:46" ht="60" customHeight="1" x14ac:dyDescent="0.35">
      <c r="A11" s="198" t="s">
        <v>1847</v>
      </c>
      <c r="B11" s="184" t="s">
        <v>4222</v>
      </c>
      <c r="C11" s="185" t="s">
        <v>4248</v>
      </c>
      <c r="D11" s="187" t="s">
        <v>4249</v>
      </c>
      <c r="E11" s="187" t="s">
        <v>4250</v>
      </c>
      <c r="F11" s="189" t="str">
        <f>IF(COUNTIF(G11:AT11,"&lt;&gt;")=0,"",SUMPRODUCT(((Recommendations[ImplStatus]="Implemented")+(Recommendations[ImplStatus]="Compensated"))*ISNUMBER(MATCH(Recommendations[Id],G11:AT11,0)))/COUNTIF(G11:AT11,"&lt;&gt;"))</f>
        <v/>
      </c>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201"/>
    </row>
    <row r="12" spans="1:46" ht="60" customHeight="1" x14ac:dyDescent="0.35">
      <c r="A12" s="198" t="s">
        <v>1847</v>
      </c>
      <c r="B12" s="184" t="s">
        <v>4222</v>
      </c>
      <c r="C12" s="185" t="s">
        <v>4251</v>
      </c>
      <c r="D12" s="187" t="s">
        <v>4252</v>
      </c>
      <c r="E12" s="187" t="s">
        <v>4253</v>
      </c>
      <c r="F12" s="189" t="str">
        <f>IF(COUNTIF(G12:AT12,"&lt;&gt;")=0,"",SUMPRODUCT(((Recommendations[ImplStatus]="Implemented")+(Recommendations[ImplStatus]="Compensated"))*ISNUMBER(MATCH(Recommendations[Id],G12:AT12,0)))/COUNTIF(G12:AT12,"&lt;&gt;"))</f>
        <v/>
      </c>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201"/>
    </row>
    <row r="13" spans="1:46" ht="60" customHeight="1" x14ac:dyDescent="0.35">
      <c r="A13" s="198" t="s">
        <v>1847</v>
      </c>
      <c r="B13" s="184" t="s">
        <v>4222</v>
      </c>
      <c r="C13" s="185" t="s">
        <v>4254</v>
      </c>
      <c r="D13" s="187" t="s">
        <v>4255</v>
      </c>
      <c r="E13" s="187" t="s">
        <v>4256</v>
      </c>
      <c r="F13" s="189" t="str">
        <f>IF(COUNTIF(G13:AT13,"&lt;&gt;")=0,"",SUMPRODUCT(((Recommendations[ImplStatus]="Implemented")+(Recommendations[ImplStatus]="Compensated"))*ISNUMBER(MATCH(Recommendations[Id],G13:AT13,0)))/COUNTIF(G13:AT13,"&lt;&gt;"))</f>
        <v/>
      </c>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201"/>
    </row>
    <row r="14" spans="1:46" ht="60" customHeight="1" x14ac:dyDescent="0.35">
      <c r="A14" s="198" t="s">
        <v>1847</v>
      </c>
      <c r="B14" s="184" t="s">
        <v>4222</v>
      </c>
      <c r="C14" s="185" t="s">
        <v>4257</v>
      </c>
      <c r="D14" s="187" t="s">
        <v>4258</v>
      </c>
      <c r="E14" s="187" t="s">
        <v>4259</v>
      </c>
      <c r="F14" s="189" t="str">
        <f>IF(COUNTIF(G14:AT14,"&lt;&gt;")=0,"",SUMPRODUCT(((Recommendations[ImplStatus]="Implemented")+(Recommendations[ImplStatus]="Compensated"))*ISNUMBER(MATCH(Recommendations[Id],G14:AT14,0)))/COUNTIF(G14:AT14,"&lt;&gt;"))</f>
        <v/>
      </c>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201"/>
    </row>
    <row r="15" spans="1:46" ht="60" customHeight="1" x14ac:dyDescent="0.35">
      <c r="A15" s="198" t="s">
        <v>1847</v>
      </c>
      <c r="B15" s="184" t="s">
        <v>4222</v>
      </c>
      <c r="C15" s="185" t="s">
        <v>4260</v>
      </c>
      <c r="D15" s="187" t="s">
        <v>4261</v>
      </c>
      <c r="E15" s="187" t="s">
        <v>4262</v>
      </c>
      <c r="F15" s="189" t="str">
        <f>IF(COUNTIF(G15:AT15,"&lt;&gt;")=0,"",SUMPRODUCT(((Recommendations[ImplStatus]="Implemented")+(Recommendations[ImplStatus]="Compensated"))*ISNUMBER(MATCH(Recommendations[Id],G15:AT15,0)))/COUNTIF(G15:AT15,"&lt;&gt;"))</f>
        <v/>
      </c>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201"/>
    </row>
    <row r="16" spans="1:46" ht="60" customHeight="1" x14ac:dyDescent="0.35">
      <c r="A16" s="198" t="s">
        <v>1847</v>
      </c>
      <c r="B16" s="184" t="s">
        <v>4222</v>
      </c>
      <c r="C16" s="185" t="s">
        <v>4263</v>
      </c>
      <c r="D16" s="187" t="s">
        <v>4264</v>
      </c>
      <c r="E16" s="187" t="s">
        <v>4265</v>
      </c>
      <c r="F16" s="189" t="str">
        <f>IF(COUNTIF(G16:AT16,"&lt;&gt;")=0,"",SUMPRODUCT(((Recommendations[ImplStatus]="Implemented")+(Recommendations[ImplStatus]="Compensated"))*ISNUMBER(MATCH(Recommendations[Id],G16:AT16,0)))/COUNTIF(G16:AT16,"&lt;&gt;"))</f>
        <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201"/>
    </row>
    <row r="17" spans="1:46" ht="60" customHeight="1" x14ac:dyDescent="0.35">
      <c r="A17" s="198" t="s">
        <v>1847</v>
      </c>
      <c r="B17" s="184" t="s">
        <v>4222</v>
      </c>
      <c r="C17" s="185" t="s">
        <v>4266</v>
      </c>
      <c r="D17" s="187" t="s">
        <v>4267</v>
      </c>
      <c r="E17" s="187" t="s">
        <v>4268</v>
      </c>
      <c r="F17" s="189" t="str">
        <f>IF(COUNTIF(G17:AT17,"&lt;&gt;")=0,"",SUMPRODUCT(((Recommendations[ImplStatus]="Implemented")+(Recommendations[ImplStatus]="Compensated"))*ISNUMBER(MATCH(Recommendations[Id],G17:AT17,0)))/COUNTIF(G17:AT17,"&lt;&gt;"))</f>
        <v/>
      </c>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201"/>
    </row>
    <row r="18" spans="1:46" ht="60" customHeight="1" x14ac:dyDescent="0.35">
      <c r="A18" s="198" t="s">
        <v>1847</v>
      </c>
      <c r="B18" s="184" t="s">
        <v>4222</v>
      </c>
      <c r="C18" s="185" t="s">
        <v>4269</v>
      </c>
      <c r="D18" s="187" t="s">
        <v>4270</v>
      </c>
      <c r="E18" s="187" t="s">
        <v>4271</v>
      </c>
      <c r="F18" s="189" t="str">
        <f>IF(COUNTIF(G18:AT18,"&lt;&gt;")=0,"",SUMPRODUCT(((Recommendations[ImplStatus]="Implemented")+(Recommendations[ImplStatus]="Compensated"))*ISNUMBER(MATCH(Recommendations[Id],G18:AT18,0)))/COUNTIF(G18:AT18,"&lt;&gt;"))</f>
        <v/>
      </c>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201"/>
    </row>
    <row r="19" spans="1:46" ht="60" customHeight="1" outlineLevel="1" x14ac:dyDescent="0.35">
      <c r="A19" s="197" t="s">
        <v>1847</v>
      </c>
      <c r="B19" s="183" t="s">
        <v>4272</v>
      </c>
      <c r="C19" s="183"/>
      <c r="D19" s="186" t="s">
        <v>4273</v>
      </c>
      <c r="E19" s="186"/>
      <c r="F19" s="188" t="str">
        <f>IF(COUNTIF(G19:AT19,"&lt;&gt;")=0,"",SUMPRODUCT(((Recommendations[ImplStatus]="Implemented")+(Recommendations[ImplStatus]="Compensated"))*ISNUMBER(MATCH(Recommendations[Id],G19:AT19,0)))/COUNTIF(G19:AT19,"&lt;&gt;"))</f>
        <v/>
      </c>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200"/>
    </row>
    <row r="20" spans="1:46" ht="60" customHeight="1" x14ac:dyDescent="0.35">
      <c r="A20" s="198" t="s">
        <v>1847</v>
      </c>
      <c r="B20" s="184" t="s">
        <v>4272</v>
      </c>
      <c r="C20" s="185" t="s">
        <v>4274</v>
      </c>
      <c r="D20" s="187" t="s">
        <v>4275</v>
      </c>
      <c r="E20" s="187" t="s">
        <v>4276</v>
      </c>
      <c r="F20" s="189" t="str">
        <f>IF(COUNTIF(G20:AT20,"&lt;&gt;")=0,"",SUMPRODUCT(((Recommendations[ImplStatus]="Implemented")+(Recommendations[ImplStatus]="Compensated"))*ISNUMBER(MATCH(Recommendations[Id],G20:AT20,0)))/COUNTIF(G20:AT20,"&lt;&gt;"))</f>
        <v/>
      </c>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201"/>
    </row>
    <row r="21" spans="1:46" ht="60" customHeight="1" x14ac:dyDescent="0.35">
      <c r="A21" s="198" t="s">
        <v>1847</v>
      </c>
      <c r="B21" s="184" t="s">
        <v>4272</v>
      </c>
      <c r="C21" s="185" t="s">
        <v>4277</v>
      </c>
      <c r="D21" s="187" t="s">
        <v>4278</v>
      </c>
      <c r="E21" s="187" t="s">
        <v>4279</v>
      </c>
      <c r="F21" s="189" t="str">
        <f>IF(COUNTIF(G21:AT21,"&lt;&gt;")=0,"",SUMPRODUCT(((Recommendations[ImplStatus]="Implemented")+(Recommendations[ImplStatus]="Compensated"))*ISNUMBER(MATCH(Recommendations[Id],G21:AT21,0)))/COUNTIF(G21:AT21,"&lt;&gt;"))</f>
        <v/>
      </c>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201"/>
    </row>
    <row r="22" spans="1:46" ht="60" customHeight="1" x14ac:dyDescent="0.35">
      <c r="A22" s="198" t="s">
        <v>1847</v>
      </c>
      <c r="B22" s="184" t="s">
        <v>4272</v>
      </c>
      <c r="C22" s="185" t="s">
        <v>4280</v>
      </c>
      <c r="D22" s="187" t="s">
        <v>4281</v>
      </c>
      <c r="E22" s="187" t="s">
        <v>4282</v>
      </c>
      <c r="F22" s="189" t="str">
        <f>IF(COUNTIF(G22:AT22,"&lt;&gt;")=0,"",SUMPRODUCT(((Recommendations[ImplStatus]="Implemented")+(Recommendations[ImplStatus]="Compensated"))*ISNUMBER(MATCH(Recommendations[Id],G22:AT22,0)))/COUNTIF(G22:AT22,"&lt;&gt;"))</f>
        <v/>
      </c>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201"/>
    </row>
    <row r="23" spans="1:46" ht="60" customHeight="1" x14ac:dyDescent="0.35">
      <c r="A23" s="198" t="s">
        <v>1847</v>
      </c>
      <c r="B23" s="184" t="s">
        <v>4272</v>
      </c>
      <c r="C23" s="185" t="s">
        <v>4283</v>
      </c>
      <c r="D23" s="187" t="s">
        <v>4284</v>
      </c>
      <c r="E23" s="187" t="s">
        <v>4285</v>
      </c>
      <c r="F23" s="189" t="str">
        <f>IF(COUNTIF(G23:AT23,"&lt;&gt;")=0,"",SUMPRODUCT(((Recommendations[ImplStatus]="Implemented")+(Recommendations[ImplStatus]="Compensated"))*ISNUMBER(MATCH(Recommendations[Id],G23:AT23,0)))/COUNTIF(G23:AT23,"&lt;&gt;"))</f>
        <v/>
      </c>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201"/>
    </row>
    <row r="24" spans="1:46" ht="60" customHeight="1" x14ac:dyDescent="0.35">
      <c r="A24" s="198" t="s">
        <v>1847</v>
      </c>
      <c r="B24" s="184" t="s">
        <v>4272</v>
      </c>
      <c r="C24" s="185" t="s">
        <v>4286</v>
      </c>
      <c r="D24" s="187" t="s">
        <v>4287</v>
      </c>
      <c r="E24" s="187" t="s">
        <v>4288</v>
      </c>
      <c r="F24" s="189" t="str">
        <f>IF(COUNTIF(G24:AT24,"&lt;&gt;")=0,"",SUMPRODUCT(((Recommendations[ImplStatus]="Implemented")+(Recommendations[ImplStatus]="Compensated"))*ISNUMBER(MATCH(Recommendations[Id],G24:AT24,0)))/COUNTIF(G24:AT24,"&lt;&gt;"))</f>
        <v/>
      </c>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201"/>
    </row>
    <row r="25" spans="1:46" ht="60" customHeight="1" x14ac:dyDescent="0.35">
      <c r="A25" s="198" t="s">
        <v>1847</v>
      </c>
      <c r="B25" s="184" t="s">
        <v>4272</v>
      </c>
      <c r="C25" s="185" t="s">
        <v>4289</v>
      </c>
      <c r="D25" s="187" t="s">
        <v>4290</v>
      </c>
      <c r="E25" s="187" t="s">
        <v>4291</v>
      </c>
      <c r="F25" s="189" t="str">
        <f>IF(COUNTIF(G25:AT25,"&lt;&gt;")=0,"",SUMPRODUCT(((Recommendations[ImplStatus]="Implemented")+(Recommendations[ImplStatus]="Compensated"))*ISNUMBER(MATCH(Recommendations[Id],G25:AT25,0)))/COUNTIF(G25:AT25,"&lt;&gt;"))</f>
        <v/>
      </c>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201"/>
    </row>
    <row r="26" spans="1:46" ht="60" customHeight="1" x14ac:dyDescent="0.35">
      <c r="A26" s="198" t="s">
        <v>1847</v>
      </c>
      <c r="B26" s="184" t="s">
        <v>4272</v>
      </c>
      <c r="C26" s="185" t="s">
        <v>4292</v>
      </c>
      <c r="D26" s="187" t="s">
        <v>4293</v>
      </c>
      <c r="E26" s="187" t="s">
        <v>4294</v>
      </c>
      <c r="F26" s="189" t="str">
        <f>IF(COUNTIF(G26:AT26,"&lt;&gt;")=0,"",SUMPRODUCT(((Recommendations[ImplStatus]="Implemented")+(Recommendations[ImplStatus]="Compensated"))*ISNUMBER(MATCH(Recommendations[Id],G26:AT26,0)))/COUNTIF(G26:AT26,"&lt;&gt;"))</f>
        <v/>
      </c>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201"/>
    </row>
    <row r="27" spans="1:46" ht="60" customHeight="1" x14ac:dyDescent="0.35">
      <c r="A27" s="198" t="s">
        <v>1847</v>
      </c>
      <c r="B27" s="184" t="s">
        <v>4272</v>
      </c>
      <c r="C27" s="185" t="s">
        <v>4295</v>
      </c>
      <c r="D27" s="187" t="s">
        <v>4296</v>
      </c>
      <c r="E27" s="187" t="s">
        <v>4297</v>
      </c>
      <c r="F27" s="189" t="str">
        <f>IF(COUNTIF(G27:AT27,"&lt;&gt;")=0,"",SUMPRODUCT(((Recommendations[ImplStatus]="Implemented")+(Recommendations[ImplStatus]="Compensated"))*ISNUMBER(MATCH(Recommendations[Id],G27:AT27,0)))/COUNTIF(G27:AT27,"&lt;&gt;"))</f>
        <v/>
      </c>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201"/>
    </row>
    <row r="28" spans="1:46" ht="60" customHeight="1" x14ac:dyDescent="0.35">
      <c r="A28" s="198" t="s">
        <v>1847</v>
      </c>
      <c r="B28" s="184" t="s">
        <v>4272</v>
      </c>
      <c r="C28" s="185" t="s">
        <v>4298</v>
      </c>
      <c r="D28" s="187" t="s">
        <v>4299</v>
      </c>
      <c r="E28" s="187" t="s">
        <v>4300</v>
      </c>
      <c r="F28" s="189" t="str">
        <f>IF(COUNTIF(G28:AT28,"&lt;&gt;")=0,"",SUMPRODUCT(((Recommendations[ImplStatus]="Implemented")+(Recommendations[ImplStatus]="Compensated"))*ISNUMBER(MATCH(Recommendations[Id],G28:AT28,0)))/COUNTIF(G28:AT28,"&lt;&gt;"))</f>
        <v/>
      </c>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201"/>
    </row>
    <row r="29" spans="1:46" ht="60" customHeight="1" x14ac:dyDescent="0.35">
      <c r="A29" s="198" t="s">
        <v>1847</v>
      </c>
      <c r="B29" s="184" t="s">
        <v>4272</v>
      </c>
      <c r="C29" s="185" t="s">
        <v>4301</v>
      </c>
      <c r="D29" s="187" t="s">
        <v>4302</v>
      </c>
      <c r="E29" s="187" t="s">
        <v>4303</v>
      </c>
      <c r="F29" s="189" t="str">
        <f>IF(COUNTIF(G29:AT29,"&lt;&gt;")=0,"",SUMPRODUCT(((Recommendations[ImplStatus]="Implemented")+(Recommendations[ImplStatus]="Compensated"))*ISNUMBER(MATCH(Recommendations[Id],G29:AT29,0)))/COUNTIF(G29:AT29,"&lt;&gt;"))</f>
        <v/>
      </c>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201"/>
    </row>
    <row r="30" spans="1:46" ht="60" customHeight="1" x14ac:dyDescent="0.35">
      <c r="A30" s="198" t="s">
        <v>1847</v>
      </c>
      <c r="B30" s="184" t="s">
        <v>4272</v>
      </c>
      <c r="C30" s="185" t="s">
        <v>4304</v>
      </c>
      <c r="D30" s="187" t="s">
        <v>4305</v>
      </c>
      <c r="E30" s="187" t="s">
        <v>4306</v>
      </c>
      <c r="F30" s="189" t="str">
        <f>IF(COUNTIF(G30:AT30,"&lt;&gt;")=0,"",SUMPRODUCT(((Recommendations[ImplStatus]="Implemented")+(Recommendations[ImplStatus]="Compensated"))*ISNUMBER(MATCH(Recommendations[Id],G30:AT30,0)))/COUNTIF(G30:AT30,"&lt;&gt;"))</f>
        <v/>
      </c>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201"/>
    </row>
    <row r="31" spans="1:46" ht="60" customHeight="1" x14ac:dyDescent="0.35">
      <c r="A31" s="198" t="s">
        <v>1847</v>
      </c>
      <c r="B31" s="184" t="s">
        <v>4272</v>
      </c>
      <c r="C31" s="185" t="s">
        <v>4307</v>
      </c>
      <c r="D31" s="187" t="s">
        <v>4308</v>
      </c>
      <c r="E31" s="187" t="s">
        <v>4309</v>
      </c>
      <c r="F31" s="189" t="str">
        <f>IF(COUNTIF(G31:AT31,"&lt;&gt;")=0,"",SUMPRODUCT(((Recommendations[ImplStatus]="Implemented")+(Recommendations[ImplStatus]="Compensated"))*ISNUMBER(MATCH(Recommendations[Id],G31:AT31,0)))/COUNTIF(G31:AT31,"&lt;&gt;"))</f>
        <v/>
      </c>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201"/>
    </row>
    <row r="32" spans="1:46" ht="60" customHeight="1" outlineLevel="1" x14ac:dyDescent="0.35">
      <c r="A32" s="197" t="s">
        <v>4310</v>
      </c>
      <c r="B32" s="183"/>
      <c r="C32" s="183"/>
      <c r="D32" s="186" t="s">
        <v>4311</v>
      </c>
      <c r="E32" s="186"/>
      <c r="F32" s="188" t="str">
        <f>IF(COUNTIF(G32:AT32,"&lt;&gt;")=0,"",SUMPRODUCT(((Recommendations[ImplStatus]="Implemented")+(Recommendations[ImplStatus]="Compensated"))*ISNUMBER(MATCH(Recommendations[Id],G32:AT32,0)))/COUNTIF(G32:AT32,"&lt;&gt;"))</f>
        <v/>
      </c>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200"/>
    </row>
    <row r="33" spans="1:46" ht="60" customHeight="1" x14ac:dyDescent="0.35">
      <c r="A33" s="198" t="s">
        <v>4310</v>
      </c>
      <c r="B33" s="184"/>
      <c r="C33" s="185" t="s">
        <v>4312</v>
      </c>
      <c r="D33" s="187" t="s">
        <v>4313</v>
      </c>
      <c r="E33" s="187" t="s">
        <v>4314</v>
      </c>
      <c r="F33" s="189" t="str">
        <f>IF(COUNTIF(G33:AT33,"&lt;&gt;")=0,"",SUMPRODUCT(((Recommendations[ImplStatus]="Implemented")+(Recommendations[ImplStatus]="Compensated"))*ISNUMBER(MATCH(Recommendations[Id],G33:AT33,0)))/COUNTIF(G33:AT33,"&lt;&gt;"))</f>
        <v/>
      </c>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201"/>
    </row>
    <row r="34" spans="1:46" ht="60" customHeight="1" x14ac:dyDescent="0.35">
      <c r="A34" s="198" t="s">
        <v>4310</v>
      </c>
      <c r="B34" s="184"/>
      <c r="C34" s="185" t="s">
        <v>4315</v>
      </c>
      <c r="D34" s="187" t="s">
        <v>4316</v>
      </c>
      <c r="E34" s="187" t="s">
        <v>4317</v>
      </c>
      <c r="F34" s="189" t="str">
        <f>IF(COUNTIF(G34:AT34,"&lt;&gt;")=0,"",SUMPRODUCT(((Recommendations[ImplStatus]="Implemented")+(Recommendations[ImplStatus]="Compensated"))*ISNUMBER(MATCH(Recommendations[Id],G34:AT34,0)))/COUNTIF(G34:AT34,"&lt;&gt;"))</f>
        <v/>
      </c>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201"/>
    </row>
    <row r="35" spans="1:46" ht="60" customHeight="1" x14ac:dyDescent="0.35">
      <c r="A35" s="198" t="s">
        <v>4310</v>
      </c>
      <c r="B35" s="184"/>
      <c r="C35" s="185" t="s">
        <v>4318</v>
      </c>
      <c r="D35" s="187" t="s">
        <v>4319</v>
      </c>
      <c r="E35" s="187" t="s">
        <v>4320</v>
      </c>
      <c r="F35" s="189" t="str">
        <f>IF(COUNTIF(G35:AT35,"&lt;&gt;")=0,"",SUMPRODUCT(((Recommendations[ImplStatus]="Implemented")+(Recommendations[ImplStatus]="Compensated"))*ISNUMBER(MATCH(Recommendations[Id],G35:AT35,0)))/COUNTIF(G35:AT35,"&lt;&gt;"))</f>
        <v/>
      </c>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201"/>
    </row>
    <row r="36" spans="1:46" ht="60" customHeight="1" outlineLevel="1" x14ac:dyDescent="0.35">
      <c r="A36" s="197" t="s">
        <v>4310</v>
      </c>
      <c r="B36" s="183" t="s">
        <v>4321</v>
      </c>
      <c r="C36" s="183"/>
      <c r="D36" s="186" t="s">
        <v>4322</v>
      </c>
      <c r="E36" s="186"/>
      <c r="F36" s="188" t="str">
        <f>IF(COUNTIF(G36:AT36,"&lt;&gt;")=0,"",SUMPRODUCT(((Recommendations[ImplStatus]="Implemented")+(Recommendations[ImplStatus]="Compensated"))*ISNUMBER(MATCH(Recommendations[Id],G36:AT36,0)))/COUNTIF(G36:AT36,"&lt;&gt;"))</f>
        <v/>
      </c>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200"/>
    </row>
    <row r="37" spans="1:46" ht="60" customHeight="1" x14ac:dyDescent="0.35">
      <c r="A37" s="198" t="s">
        <v>4310</v>
      </c>
      <c r="B37" s="184" t="s">
        <v>4321</v>
      </c>
      <c r="C37" s="185" t="s">
        <v>4323</v>
      </c>
      <c r="D37" s="187" t="s">
        <v>4324</v>
      </c>
      <c r="E37" s="187" t="s">
        <v>4325</v>
      </c>
      <c r="F37" s="189" t="str">
        <f>IF(COUNTIF(G37:AT37,"&lt;&gt;")=0,"",SUMPRODUCT(((Recommendations[ImplStatus]="Implemented")+(Recommendations[ImplStatus]="Compensated"))*ISNUMBER(MATCH(Recommendations[Id],G37:AT37,0)))/COUNTIF(G37:AT37,"&lt;&gt;"))</f>
        <v/>
      </c>
      <c r="G37" s="191"/>
      <c r="H37" s="191"/>
      <c r="I37" s="191"/>
      <c r="J37" s="191"/>
      <c r="K37" s="191"/>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201"/>
    </row>
    <row r="38" spans="1:46" ht="60" customHeight="1" x14ac:dyDescent="0.35">
      <c r="A38" s="198" t="s">
        <v>4310</v>
      </c>
      <c r="B38" s="184" t="s">
        <v>4321</v>
      </c>
      <c r="C38" s="185" t="s">
        <v>4326</v>
      </c>
      <c r="D38" s="187" t="s">
        <v>4327</v>
      </c>
      <c r="E38" s="187" t="s">
        <v>4328</v>
      </c>
      <c r="F38" s="189" t="str">
        <f>IF(COUNTIF(G38:AT38,"&lt;&gt;")=0,"",SUMPRODUCT(((Recommendations[ImplStatus]="Implemented")+(Recommendations[ImplStatus]="Compensated"))*ISNUMBER(MATCH(Recommendations[Id],G38:AT38,0)))/COUNTIF(G38:AT38,"&lt;&gt;"))</f>
        <v/>
      </c>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201"/>
    </row>
    <row r="39" spans="1:46" ht="60" customHeight="1" x14ac:dyDescent="0.35">
      <c r="A39" s="198" t="s">
        <v>4310</v>
      </c>
      <c r="B39" s="184" t="s">
        <v>4321</v>
      </c>
      <c r="C39" s="185" t="s">
        <v>4329</v>
      </c>
      <c r="D39" s="187" t="s">
        <v>4330</v>
      </c>
      <c r="E39" s="187" t="s">
        <v>4331</v>
      </c>
      <c r="F39" s="189" t="str">
        <f>IF(COUNTIF(G39:AT39,"&lt;&gt;")=0,"",SUMPRODUCT(((Recommendations[ImplStatus]="Implemented")+(Recommendations[ImplStatus]="Compensated"))*ISNUMBER(MATCH(Recommendations[Id],G39:AT39,0)))/COUNTIF(G39:AT39,"&lt;&gt;"))</f>
        <v/>
      </c>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201"/>
    </row>
    <row r="40" spans="1:46" ht="60" customHeight="1" x14ac:dyDescent="0.35">
      <c r="A40" s="198" t="s">
        <v>4310</v>
      </c>
      <c r="B40" s="184" t="s">
        <v>4321</v>
      </c>
      <c r="C40" s="185" t="s">
        <v>4332</v>
      </c>
      <c r="D40" s="187" t="s">
        <v>4333</v>
      </c>
      <c r="E40" s="187" t="s">
        <v>4334</v>
      </c>
      <c r="F40" s="189" t="str">
        <f>IF(COUNTIF(G40:AT40,"&lt;&gt;")=0,"",SUMPRODUCT(((Recommendations[ImplStatus]="Implemented")+(Recommendations[ImplStatus]="Compensated"))*ISNUMBER(MATCH(Recommendations[Id],G40:AT40,0)))/COUNTIF(G40:AT40,"&lt;&gt;"))</f>
        <v/>
      </c>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201"/>
    </row>
    <row r="41" spans="1:46" ht="60" customHeight="1" x14ac:dyDescent="0.35">
      <c r="A41" s="198" t="s">
        <v>4310</v>
      </c>
      <c r="B41" s="184" t="s">
        <v>4321</v>
      </c>
      <c r="C41" s="185" t="s">
        <v>4335</v>
      </c>
      <c r="D41" s="187" t="s">
        <v>4336</v>
      </c>
      <c r="E41" s="187" t="s">
        <v>4337</v>
      </c>
      <c r="F41" s="189" t="str">
        <f>IF(COUNTIF(G41:AT41,"&lt;&gt;")=0,"",SUMPRODUCT(((Recommendations[ImplStatus]="Implemented")+(Recommendations[ImplStatus]="Compensated"))*ISNUMBER(MATCH(Recommendations[Id],G41:AT41,0)))/COUNTIF(G41:AT41,"&lt;&gt;"))</f>
        <v/>
      </c>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201"/>
    </row>
    <row r="42" spans="1:46" ht="60" customHeight="1" x14ac:dyDescent="0.35">
      <c r="A42" s="198" t="s">
        <v>4310</v>
      </c>
      <c r="B42" s="184" t="s">
        <v>4321</v>
      </c>
      <c r="C42" s="185" t="s">
        <v>4338</v>
      </c>
      <c r="D42" s="187" t="s">
        <v>4339</v>
      </c>
      <c r="E42" s="187" t="s">
        <v>4340</v>
      </c>
      <c r="F42" s="189" t="str">
        <f>IF(COUNTIF(G42:AT42,"&lt;&gt;")=0,"",SUMPRODUCT(((Recommendations[ImplStatus]="Implemented")+(Recommendations[ImplStatus]="Compensated"))*ISNUMBER(MATCH(Recommendations[Id],G42:AT42,0)))/COUNTIF(G42:AT42,"&lt;&gt;"))</f>
        <v/>
      </c>
      <c r="G42" s="191"/>
      <c r="H42" s="191"/>
      <c r="I42" s="191"/>
      <c r="J42" s="191"/>
      <c r="K42" s="191"/>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201"/>
    </row>
    <row r="43" spans="1:46" ht="60" customHeight="1" x14ac:dyDescent="0.35">
      <c r="A43" s="198" t="s">
        <v>4310</v>
      </c>
      <c r="B43" s="184" t="s">
        <v>4321</v>
      </c>
      <c r="C43" s="185" t="s">
        <v>4341</v>
      </c>
      <c r="D43" s="187" t="s">
        <v>4342</v>
      </c>
      <c r="E43" s="187" t="s">
        <v>4343</v>
      </c>
      <c r="F43" s="189" t="str">
        <f>IF(COUNTIF(G43:AT43,"&lt;&gt;")=0,"",SUMPRODUCT(((Recommendations[ImplStatus]="Implemented")+(Recommendations[ImplStatus]="Compensated"))*ISNUMBER(MATCH(Recommendations[Id],G43:AT43,0)))/COUNTIF(G43:AT43,"&lt;&gt;"))</f>
        <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201"/>
    </row>
    <row r="44" spans="1:46" ht="60" customHeight="1" x14ac:dyDescent="0.35">
      <c r="A44" s="198" t="s">
        <v>4310</v>
      </c>
      <c r="B44" s="184" t="s">
        <v>4321</v>
      </c>
      <c r="C44" s="185" t="s">
        <v>4344</v>
      </c>
      <c r="D44" s="187" t="s">
        <v>4345</v>
      </c>
      <c r="E44" s="187" t="s">
        <v>4346</v>
      </c>
      <c r="F44" s="189" t="str">
        <f>IF(COUNTIF(G44:AT44,"&lt;&gt;")=0,"",SUMPRODUCT(((Recommendations[ImplStatus]="Implemented")+(Recommendations[ImplStatus]="Compensated"))*ISNUMBER(MATCH(Recommendations[Id],G44:AT44,0)))/COUNTIF(G44:AT44,"&lt;&gt;"))</f>
        <v/>
      </c>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201"/>
    </row>
    <row r="45" spans="1:46" ht="60" customHeight="1" x14ac:dyDescent="0.35">
      <c r="A45" s="198" t="s">
        <v>4310</v>
      </c>
      <c r="B45" s="184" t="s">
        <v>4321</v>
      </c>
      <c r="C45" s="185" t="s">
        <v>4347</v>
      </c>
      <c r="D45" s="187" t="s">
        <v>4348</v>
      </c>
      <c r="E45" s="187" t="s">
        <v>4349</v>
      </c>
      <c r="F45" s="189" t="str">
        <f>IF(COUNTIF(G45:AT45,"&lt;&gt;")=0,"",SUMPRODUCT(((Recommendations[ImplStatus]="Implemented")+(Recommendations[ImplStatus]="Compensated"))*ISNUMBER(MATCH(Recommendations[Id],G45:AT45,0)))/COUNTIF(G45:AT45,"&lt;&gt;"))</f>
        <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201"/>
    </row>
    <row r="46" spans="1:46" ht="60" customHeight="1" x14ac:dyDescent="0.35">
      <c r="A46" s="198" t="s">
        <v>4310</v>
      </c>
      <c r="B46" s="184" t="s">
        <v>4321</v>
      </c>
      <c r="C46" s="185" t="s">
        <v>4350</v>
      </c>
      <c r="D46" s="187" t="s">
        <v>4351</v>
      </c>
      <c r="E46" s="187" t="s">
        <v>4352</v>
      </c>
      <c r="F46" s="189" t="str">
        <f>IF(COUNTIF(G46:AT46,"&lt;&gt;")=0,"",SUMPRODUCT(((Recommendations[ImplStatus]="Implemented")+(Recommendations[ImplStatus]="Compensated"))*ISNUMBER(MATCH(Recommendations[Id],G46:AT46,0)))/COUNTIF(G46:AT46,"&lt;&gt;"))</f>
        <v/>
      </c>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201"/>
    </row>
    <row r="47" spans="1:46" ht="60" customHeight="1" x14ac:dyDescent="0.35">
      <c r="A47" s="198" t="s">
        <v>4310</v>
      </c>
      <c r="B47" s="184" t="s">
        <v>4321</v>
      </c>
      <c r="C47" s="185" t="s">
        <v>4353</v>
      </c>
      <c r="D47" s="187" t="s">
        <v>4354</v>
      </c>
      <c r="E47" s="187" t="s">
        <v>4355</v>
      </c>
      <c r="F47" s="189" t="str">
        <f>IF(COUNTIF(G47:AT47,"&lt;&gt;")=0,"",SUMPRODUCT(((Recommendations[ImplStatus]="Implemented")+(Recommendations[ImplStatus]="Compensated"))*ISNUMBER(MATCH(Recommendations[Id],G47:AT47,0)))/COUNTIF(G47:AT47,"&lt;&gt;"))</f>
        <v/>
      </c>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201"/>
    </row>
    <row r="48" spans="1:46" ht="60" customHeight="1" x14ac:dyDescent="0.35">
      <c r="A48" s="198" t="s">
        <v>4310</v>
      </c>
      <c r="B48" s="184" t="s">
        <v>4321</v>
      </c>
      <c r="C48" s="185" t="s">
        <v>4356</v>
      </c>
      <c r="D48" s="187" t="s">
        <v>4357</v>
      </c>
      <c r="E48" s="187" t="s">
        <v>4358</v>
      </c>
      <c r="F48" s="189" t="str">
        <f>IF(COUNTIF(G48:AT48,"&lt;&gt;")=0,"",SUMPRODUCT(((Recommendations[ImplStatus]="Implemented")+(Recommendations[ImplStatus]="Compensated"))*ISNUMBER(MATCH(Recommendations[Id],G48:AT48,0)))/COUNTIF(G48:AT48,"&lt;&gt;"))</f>
        <v/>
      </c>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201"/>
    </row>
    <row r="49" spans="1:46" ht="60" customHeight="1" x14ac:dyDescent="0.35">
      <c r="A49" s="198" t="s">
        <v>4310</v>
      </c>
      <c r="B49" s="184" t="s">
        <v>4321</v>
      </c>
      <c r="C49" s="185" t="s">
        <v>4359</v>
      </c>
      <c r="D49" s="187" t="s">
        <v>4360</v>
      </c>
      <c r="E49" s="187" t="s">
        <v>4361</v>
      </c>
      <c r="F49" s="189" t="str">
        <f>IF(COUNTIF(G49:AT49,"&lt;&gt;")=0,"",SUMPRODUCT(((Recommendations[ImplStatus]="Implemented")+(Recommendations[ImplStatus]="Compensated"))*ISNUMBER(MATCH(Recommendations[Id],G49:AT49,0)))/COUNTIF(G49:AT49,"&lt;&gt;"))</f>
        <v/>
      </c>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201"/>
    </row>
    <row r="50" spans="1:46" ht="60" customHeight="1" x14ac:dyDescent="0.35">
      <c r="A50" s="198" t="s">
        <v>4310</v>
      </c>
      <c r="B50" s="184" t="s">
        <v>4321</v>
      </c>
      <c r="C50" s="185" t="s">
        <v>4362</v>
      </c>
      <c r="D50" s="187" t="s">
        <v>4363</v>
      </c>
      <c r="E50" s="187" t="s">
        <v>4364</v>
      </c>
      <c r="F50" s="189" t="str">
        <f>IF(COUNTIF(G50:AT50,"&lt;&gt;")=0,"",SUMPRODUCT(((Recommendations[ImplStatus]="Implemented")+(Recommendations[ImplStatus]="Compensated"))*ISNUMBER(MATCH(Recommendations[Id],G50:AT50,0)))/COUNTIF(G50:AT50,"&lt;&gt;"))</f>
        <v/>
      </c>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201"/>
    </row>
    <row r="51" spans="1:46" ht="60" customHeight="1" outlineLevel="1" x14ac:dyDescent="0.35">
      <c r="A51" s="197" t="s">
        <v>4310</v>
      </c>
      <c r="B51" s="183" t="s">
        <v>4365</v>
      </c>
      <c r="C51" s="183"/>
      <c r="D51" s="186" t="s">
        <v>4366</v>
      </c>
      <c r="E51" s="186"/>
      <c r="F51" s="188" t="str">
        <f>IF(COUNTIF(G51:AT51,"&lt;&gt;")=0,"",SUMPRODUCT(((Recommendations[ImplStatus]="Implemented")+(Recommendations[ImplStatus]="Compensated"))*ISNUMBER(MATCH(Recommendations[Id],G51:AT51,0)))/COUNTIF(G51:AT51,"&lt;&gt;"))</f>
        <v/>
      </c>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200"/>
    </row>
    <row r="52" spans="1:46" ht="60" customHeight="1" x14ac:dyDescent="0.35">
      <c r="A52" s="198" t="s">
        <v>4310</v>
      </c>
      <c r="B52" s="184" t="s">
        <v>4365</v>
      </c>
      <c r="C52" s="185" t="s">
        <v>4367</v>
      </c>
      <c r="D52" s="187" t="s">
        <v>4368</v>
      </c>
      <c r="E52" s="187" t="s">
        <v>4369</v>
      </c>
      <c r="F52" s="189">
        <f>IF(COUNTIF(G52:AT52,"&lt;&gt;")=0,"",SUMPRODUCT(((Recommendations[ImplStatus]="Implemented")+(Recommendations[ImplStatus]="Compensated"))*ISNUMBER(MATCH(Recommendations[Id],G52:AT52,0)))/COUNTIF(G52:AT52,"&lt;&gt;"))</f>
        <v>0</v>
      </c>
      <c r="G52" s="191" t="s">
        <v>387</v>
      </c>
      <c r="H52" s="191" t="s">
        <v>390</v>
      </c>
      <c r="I52" s="191" t="s">
        <v>409</v>
      </c>
      <c r="J52" s="191" t="s">
        <v>412</v>
      </c>
      <c r="K52" s="191" t="s">
        <v>431</v>
      </c>
      <c r="L52" s="191" t="s">
        <v>434</v>
      </c>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201"/>
    </row>
    <row r="53" spans="1:46" ht="60" customHeight="1" x14ac:dyDescent="0.35">
      <c r="A53" s="198" t="s">
        <v>4310</v>
      </c>
      <c r="B53" s="184" t="s">
        <v>4365</v>
      </c>
      <c r="C53" s="185" t="s">
        <v>4370</v>
      </c>
      <c r="D53" s="187" t="s">
        <v>4371</v>
      </c>
      <c r="E53" s="187" t="s">
        <v>4372</v>
      </c>
      <c r="F53" s="189">
        <f>IF(COUNTIF(G53:AT53,"&lt;&gt;")=0,"",SUMPRODUCT(((Recommendations[ImplStatus]="Implemented")+(Recommendations[ImplStatus]="Compensated"))*ISNUMBER(MATCH(Recommendations[Id],G53:AT53,0)))/COUNTIF(G53:AT53,"&lt;&gt;"))</f>
        <v>0</v>
      </c>
      <c r="G53" s="191" t="s">
        <v>387</v>
      </c>
      <c r="H53" s="191" t="s">
        <v>390</v>
      </c>
      <c r="I53" s="191" t="s">
        <v>409</v>
      </c>
      <c r="J53" s="191" t="s">
        <v>412</v>
      </c>
      <c r="K53" s="191" t="s">
        <v>431</v>
      </c>
      <c r="L53" s="191" t="s">
        <v>434</v>
      </c>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201"/>
    </row>
    <row r="54" spans="1:46" ht="60" customHeight="1" x14ac:dyDescent="0.35">
      <c r="A54" s="198" t="s">
        <v>4310</v>
      </c>
      <c r="B54" s="184" t="s">
        <v>4365</v>
      </c>
      <c r="C54" s="185" t="s">
        <v>4373</v>
      </c>
      <c r="D54" s="187" t="s">
        <v>4374</v>
      </c>
      <c r="E54" s="187" t="s">
        <v>4375</v>
      </c>
      <c r="F54" s="189">
        <f>IF(COUNTIF(G54:AT54,"&lt;&gt;")=0,"",SUMPRODUCT(((Recommendations[ImplStatus]="Implemented")+(Recommendations[ImplStatus]="Compensated"))*ISNUMBER(MATCH(Recommendations[Id],G54:AT54,0)))/COUNTIF(G54:AT54,"&lt;&gt;"))</f>
        <v>0</v>
      </c>
      <c r="G54" s="191" t="s">
        <v>483</v>
      </c>
      <c r="H54" s="191" t="s">
        <v>489</v>
      </c>
      <c r="I54" s="191" t="s">
        <v>579</v>
      </c>
      <c r="J54" s="191" t="s">
        <v>617</v>
      </c>
      <c r="K54" s="191" t="s">
        <v>620</v>
      </c>
      <c r="L54" s="191" t="s">
        <v>1003</v>
      </c>
      <c r="M54" s="191" t="s">
        <v>1397</v>
      </c>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201"/>
    </row>
    <row r="55" spans="1:46" ht="60" customHeight="1" x14ac:dyDescent="0.35">
      <c r="A55" s="198" t="s">
        <v>4310</v>
      </c>
      <c r="B55" s="184" t="s">
        <v>4365</v>
      </c>
      <c r="C55" s="185" t="s">
        <v>4376</v>
      </c>
      <c r="D55" s="187" t="s">
        <v>4377</v>
      </c>
      <c r="E55" s="187" t="s">
        <v>4378</v>
      </c>
      <c r="F55" s="189" t="str">
        <f>IF(COUNTIF(G55:AT55,"&lt;&gt;")=0,"",SUMPRODUCT(((Recommendations[ImplStatus]="Implemented")+(Recommendations[ImplStatus]="Compensated"))*ISNUMBER(MATCH(Recommendations[Id],G55:AT55,0)))/COUNTIF(G55:AT55,"&lt;&gt;"))</f>
        <v/>
      </c>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201"/>
    </row>
    <row r="56" spans="1:46" ht="60" customHeight="1" x14ac:dyDescent="0.35">
      <c r="A56" s="198" t="s">
        <v>4310</v>
      </c>
      <c r="B56" s="184" t="s">
        <v>4365</v>
      </c>
      <c r="C56" s="185" t="s">
        <v>4379</v>
      </c>
      <c r="D56" s="187" t="s">
        <v>4380</v>
      </c>
      <c r="E56" s="187" t="s">
        <v>4381</v>
      </c>
      <c r="F56" s="189" t="str">
        <f>IF(COUNTIF(G56:AT56,"&lt;&gt;")=0,"",SUMPRODUCT(((Recommendations[ImplStatus]="Implemented")+(Recommendations[ImplStatus]="Compensated"))*ISNUMBER(MATCH(Recommendations[Id],G56:AT56,0)))/COUNTIF(G56:AT56,"&lt;&gt;"))</f>
        <v/>
      </c>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201"/>
    </row>
    <row r="57" spans="1:46" ht="60" customHeight="1" x14ac:dyDescent="0.35">
      <c r="A57" s="198" t="s">
        <v>4310</v>
      </c>
      <c r="B57" s="184" t="s">
        <v>4365</v>
      </c>
      <c r="C57" s="185" t="s">
        <v>4382</v>
      </c>
      <c r="D57" s="187" t="s">
        <v>4383</v>
      </c>
      <c r="E57" s="187" t="s">
        <v>4384</v>
      </c>
      <c r="F57" s="189" t="str">
        <f>IF(COUNTIF(G57:AT57,"&lt;&gt;")=0,"",SUMPRODUCT(((Recommendations[ImplStatus]="Implemented")+(Recommendations[ImplStatus]="Compensated"))*ISNUMBER(MATCH(Recommendations[Id],G57:AT57,0)))/COUNTIF(G57:AT57,"&lt;&gt;"))</f>
        <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201"/>
    </row>
    <row r="58" spans="1:46" ht="60" customHeight="1" x14ac:dyDescent="0.35">
      <c r="A58" s="198" t="s">
        <v>4310</v>
      </c>
      <c r="B58" s="184" t="s">
        <v>4365</v>
      </c>
      <c r="C58" s="185" t="s">
        <v>4385</v>
      </c>
      <c r="D58" s="187" t="s">
        <v>4386</v>
      </c>
      <c r="E58" s="187" t="s">
        <v>4387</v>
      </c>
      <c r="F58" s="189" t="str">
        <f>IF(COUNTIF(G58:AT58,"&lt;&gt;")=0,"",SUMPRODUCT(((Recommendations[ImplStatus]="Implemented")+(Recommendations[ImplStatus]="Compensated"))*ISNUMBER(MATCH(Recommendations[Id],G58:AT58,0)))/COUNTIF(G58:AT58,"&lt;&gt;"))</f>
        <v/>
      </c>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201"/>
    </row>
    <row r="59" spans="1:46" ht="60" customHeight="1" x14ac:dyDescent="0.35">
      <c r="A59" s="198" t="s">
        <v>4310</v>
      </c>
      <c r="B59" s="184" t="s">
        <v>4365</v>
      </c>
      <c r="C59" s="185" t="s">
        <v>4388</v>
      </c>
      <c r="D59" s="187" t="s">
        <v>4389</v>
      </c>
      <c r="E59" s="187" t="s">
        <v>4390</v>
      </c>
      <c r="F59" s="189" t="str">
        <f>IF(COUNTIF(G59:AT59,"&lt;&gt;")=0,"",SUMPRODUCT(((Recommendations[ImplStatus]="Implemented")+(Recommendations[ImplStatus]="Compensated"))*ISNUMBER(MATCH(Recommendations[Id],G59:AT59,0)))/COUNTIF(G59:AT59,"&lt;&gt;"))</f>
        <v/>
      </c>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201"/>
    </row>
    <row r="60" spans="1:46" ht="60" customHeight="1" x14ac:dyDescent="0.35">
      <c r="A60" s="198" t="s">
        <v>4310</v>
      </c>
      <c r="B60" s="184" t="s">
        <v>4391</v>
      </c>
      <c r="C60" s="185" t="s">
        <v>4392</v>
      </c>
      <c r="D60" s="187" t="s">
        <v>4393</v>
      </c>
      <c r="E60" s="187" t="s">
        <v>4394</v>
      </c>
      <c r="F60" s="189" t="str">
        <f>IF(COUNTIF(G60:AT60,"&lt;&gt;")=0,"",SUMPRODUCT(((Recommendations[ImplStatus]="Implemented")+(Recommendations[ImplStatus]="Compensated"))*ISNUMBER(MATCH(Recommendations[Id],G60:AT60,0)))/COUNTIF(G60:AT60,"&lt;&gt;"))</f>
        <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201"/>
    </row>
    <row r="61" spans="1:46" ht="60" customHeight="1" x14ac:dyDescent="0.35">
      <c r="A61" s="198" t="s">
        <v>4310</v>
      </c>
      <c r="B61" s="184" t="s">
        <v>4391</v>
      </c>
      <c r="C61" s="185" t="s">
        <v>4395</v>
      </c>
      <c r="D61" s="187" t="s">
        <v>4396</v>
      </c>
      <c r="E61" s="187" t="s">
        <v>4397</v>
      </c>
      <c r="F61" s="189" t="str">
        <f>IF(COUNTIF(G61:AT61,"&lt;&gt;")=0,"",SUMPRODUCT(((Recommendations[ImplStatus]="Implemented")+(Recommendations[ImplStatus]="Compensated"))*ISNUMBER(MATCH(Recommendations[Id],G61:AT61,0)))/COUNTIF(G61:AT61,"&lt;&gt;"))</f>
        <v/>
      </c>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201"/>
    </row>
    <row r="62" spans="1:46" ht="60" customHeight="1" outlineLevel="1" x14ac:dyDescent="0.35">
      <c r="A62" s="197" t="s">
        <v>4310</v>
      </c>
      <c r="B62" s="183" t="s">
        <v>4398</v>
      </c>
      <c r="C62" s="183"/>
      <c r="D62" s="186" t="s">
        <v>4399</v>
      </c>
      <c r="E62" s="186"/>
      <c r="F62" s="188" t="str">
        <f>IF(COUNTIF(G62:AT62,"&lt;&gt;")=0,"",SUMPRODUCT(((Recommendations[ImplStatus]="Implemented")+(Recommendations[ImplStatus]="Compensated"))*ISNUMBER(MATCH(Recommendations[Id],G62:AT62,0)))/COUNTIF(G62:AT62,"&lt;&gt;"))</f>
        <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200"/>
    </row>
    <row r="63" spans="1:46" ht="60" customHeight="1" x14ac:dyDescent="0.35">
      <c r="A63" s="198" t="s">
        <v>4310</v>
      </c>
      <c r="B63" s="184" t="s">
        <v>4398</v>
      </c>
      <c r="C63" s="185" t="s">
        <v>4400</v>
      </c>
      <c r="D63" s="187" t="s">
        <v>4401</v>
      </c>
      <c r="E63" s="187" t="s">
        <v>4402</v>
      </c>
      <c r="F63" s="189" t="str">
        <f>IF(COUNTIF(G63:AT63,"&lt;&gt;")=0,"",SUMPRODUCT(((Recommendations[ImplStatus]="Implemented")+(Recommendations[ImplStatus]="Compensated"))*ISNUMBER(MATCH(Recommendations[Id],G63:AT63,0)))/COUNTIF(G63:AT63,"&lt;&gt;"))</f>
        <v/>
      </c>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201"/>
    </row>
    <row r="64" spans="1:46" ht="60" customHeight="1" x14ac:dyDescent="0.35">
      <c r="A64" s="198" t="s">
        <v>4310</v>
      </c>
      <c r="B64" s="184" t="s">
        <v>4398</v>
      </c>
      <c r="C64" s="185" t="s">
        <v>4403</v>
      </c>
      <c r="D64" s="187" t="s">
        <v>4404</v>
      </c>
      <c r="E64" s="187" t="s">
        <v>4405</v>
      </c>
      <c r="F64" s="189">
        <f>IF(COUNTIF(G64:AT64,"&lt;&gt;")=0,"",SUMPRODUCT(((Recommendations[ImplStatus]="Implemented")+(Recommendations[ImplStatus]="Compensated"))*ISNUMBER(MATCH(Recommendations[Id],G64:AT64,0)))/COUNTIF(G64:AT64,"&lt;&gt;"))</f>
        <v>0</v>
      </c>
      <c r="G64" s="191" t="s">
        <v>85</v>
      </c>
      <c r="H64" s="191" t="s">
        <v>90</v>
      </c>
      <c r="I64" s="191" t="s">
        <v>170</v>
      </c>
      <c r="J64" s="191" t="s">
        <v>175</v>
      </c>
      <c r="K64" s="191" t="s">
        <v>180</v>
      </c>
      <c r="L64" s="191" t="s">
        <v>185</v>
      </c>
      <c r="M64" s="191" t="s">
        <v>190</v>
      </c>
      <c r="N64" s="191" t="s">
        <v>195</v>
      </c>
      <c r="O64" s="191" t="s">
        <v>200</v>
      </c>
      <c r="P64" s="191" t="s">
        <v>205</v>
      </c>
      <c r="Q64" s="191" t="s">
        <v>210</v>
      </c>
      <c r="R64" s="191" t="s">
        <v>803</v>
      </c>
      <c r="S64" s="191" t="s">
        <v>808</v>
      </c>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201"/>
    </row>
    <row r="65" spans="1:46" ht="60" customHeight="1" x14ac:dyDescent="0.35">
      <c r="A65" s="198" t="s">
        <v>4310</v>
      </c>
      <c r="B65" s="184" t="s">
        <v>4398</v>
      </c>
      <c r="C65" s="185" t="s">
        <v>4406</v>
      </c>
      <c r="D65" s="187" t="s">
        <v>4407</v>
      </c>
      <c r="E65" s="187" t="s">
        <v>4408</v>
      </c>
      <c r="F65" s="189" t="str">
        <f>IF(COUNTIF(G65:AT65,"&lt;&gt;")=0,"",SUMPRODUCT(((Recommendations[ImplStatus]="Implemented")+(Recommendations[ImplStatus]="Compensated"))*ISNUMBER(MATCH(Recommendations[Id],G65:AT65,0)))/COUNTIF(G65:AT65,"&lt;&gt;"))</f>
        <v/>
      </c>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201"/>
    </row>
    <row r="66" spans="1:46" ht="60" customHeight="1" x14ac:dyDescent="0.35">
      <c r="A66" s="198" t="s">
        <v>4310</v>
      </c>
      <c r="B66" s="184" t="s">
        <v>4398</v>
      </c>
      <c r="C66" s="185" t="s">
        <v>4409</v>
      </c>
      <c r="D66" s="187" t="s">
        <v>4410</v>
      </c>
      <c r="E66" s="187" t="s">
        <v>4411</v>
      </c>
      <c r="F66" s="189" t="str">
        <f>IF(COUNTIF(G66:AT66,"&lt;&gt;")=0,"",SUMPRODUCT(((Recommendations[ImplStatus]="Implemented")+(Recommendations[ImplStatus]="Compensated"))*ISNUMBER(MATCH(Recommendations[Id],G66:AT66,0)))/COUNTIF(G66:AT66,"&lt;&gt;"))</f>
        <v/>
      </c>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201"/>
    </row>
    <row r="67" spans="1:46" ht="60" customHeight="1" x14ac:dyDescent="0.35">
      <c r="A67" s="198" t="s">
        <v>4310</v>
      </c>
      <c r="B67" s="184" t="s">
        <v>4398</v>
      </c>
      <c r="C67" s="185" t="s">
        <v>4412</v>
      </c>
      <c r="D67" s="187" t="s">
        <v>4413</v>
      </c>
      <c r="E67" s="187" t="s">
        <v>4414</v>
      </c>
      <c r="F67" s="189" t="str">
        <f>IF(COUNTIF(G67:AT67,"&lt;&gt;")=0,"",SUMPRODUCT(((Recommendations[ImplStatus]="Implemented")+(Recommendations[ImplStatus]="Compensated"))*ISNUMBER(MATCH(Recommendations[Id],G67:AT67,0)))/COUNTIF(G67:AT67,"&lt;&gt;"))</f>
        <v/>
      </c>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201"/>
    </row>
    <row r="68" spans="1:46" ht="60" customHeight="1" x14ac:dyDescent="0.35">
      <c r="A68" s="198" t="s">
        <v>4310</v>
      </c>
      <c r="B68" s="184" t="s">
        <v>4398</v>
      </c>
      <c r="C68" s="185" t="s">
        <v>4415</v>
      </c>
      <c r="D68" s="187" t="s">
        <v>4416</v>
      </c>
      <c r="E68" s="187" t="s">
        <v>4417</v>
      </c>
      <c r="F68" s="189" t="str">
        <f>IF(COUNTIF(G68:AT68,"&lt;&gt;")=0,"",SUMPRODUCT(((Recommendations[ImplStatus]="Implemented")+(Recommendations[ImplStatus]="Compensated"))*ISNUMBER(MATCH(Recommendations[Id],G68:AT68,0)))/COUNTIF(G68:AT68,"&lt;&gt;"))</f>
        <v/>
      </c>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201"/>
    </row>
    <row r="69" spans="1:46" ht="60" customHeight="1" x14ac:dyDescent="0.35">
      <c r="A69" s="198" t="s">
        <v>4310</v>
      </c>
      <c r="B69" s="184" t="s">
        <v>4398</v>
      </c>
      <c r="C69" s="185" t="s">
        <v>4418</v>
      </c>
      <c r="D69" s="187" t="s">
        <v>4419</v>
      </c>
      <c r="E69" s="187" t="s">
        <v>4420</v>
      </c>
      <c r="F69" s="189" t="str">
        <f>IF(COUNTIF(G69:AT69,"&lt;&gt;")=0,"",SUMPRODUCT(((Recommendations[ImplStatus]="Implemented")+(Recommendations[ImplStatus]="Compensated"))*ISNUMBER(MATCH(Recommendations[Id],G69:AT69,0)))/COUNTIF(G69:AT69,"&lt;&gt;"))</f>
        <v/>
      </c>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201"/>
    </row>
    <row r="70" spans="1:46" ht="60" customHeight="1" x14ac:dyDescent="0.35">
      <c r="A70" s="198" t="s">
        <v>4310</v>
      </c>
      <c r="B70" s="184" t="s">
        <v>4398</v>
      </c>
      <c r="C70" s="185" t="s">
        <v>4421</v>
      </c>
      <c r="D70" s="187" t="s">
        <v>4422</v>
      </c>
      <c r="E70" s="187"/>
      <c r="F70" s="189" t="str">
        <f>IF(COUNTIF(G70:AT70,"&lt;&gt;")=0,"",SUMPRODUCT(((Recommendations[ImplStatus]="Implemented")+(Recommendations[ImplStatus]="Compensated"))*ISNUMBER(MATCH(Recommendations[Id],G70:AT70,0)))/COUNTIF(G70:AT70,"&lt;&gt;"))</f>
        <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201"/>
    </row>
    <row r="71" spans="1:46" ht="60" customHeight="1" x14ac:dyDescent="0.35">
      <c r="A71" s="198" t="s">
        <v>4310</v>
      </c>
      <c r="B71" s="184" t="s">
        <v>4398</v>
      </c>
      <c r="C71" s="185" t="s">
        <v>4423</v>
      </c>
      <c r="D71" s="187" t="s">
        <v>4424</v>
      </c>
      <c r="E71" s="187" t="s">
        <v>4425</v>
      </c>
      <c r="F71" s="189" t="str">
        <f>IF(COUNTIF(G71:AT71,"&lt;&gt;")=0,"",SUMPRODUCT(((Recommendations[ImplStatus]="Implemented")+(Recommendations[ImplStatus]="Compensated"))*ISNUMBER(MATCH(Recommendations[Id],G71:AT71,0)))/COUNTIF(G71:AT71,"&lt;&gt;"))</f>
        <v/>
      </c>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201"/>
    </row>
    <row r="72" spans="1:46" ht="60" customHeight="1" x14ac:dyDescent="0.35">
      <c r="A72" s="198" t="s">
        <v>4310</v>
      </c>
      <c r="B72" s="184" t="s">
        <v>4398</v>
      </c>
      <c r="C72" s="185" t="s">
        <v>4426</v>
      </c>
      <c r="D72" s="187" t="s">
        <v>4427</v>
      </c>
      <c r="E72" s="187" t="s">
        <v>4428</v>
      </c>
      <c r="F72" s="189" t="str">
        <f>IF(COUNTIF(G72:AT72,"&lt;&gt;")=0,"",SUMPRODUCT(((Recommendations[ImplStatus]="Implemented")+(Recommendations[ImplStatus]="Compensated"))*ISNUMBER(MATCH(Recommendations[Id],G72:AT72,0)))/COUNTIF(G72:AT72,"&lt;&gt;"))</f>
        <v/>
      </c>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201"/>
    </row>
    <row r="73" spans="1:46" ht="60" customHeight="1" x14ac:dyDescent="0.35">
      <c r="A73" s="198" t="s">
        <v>4310</v>
      </c>
      <c r="B73" s="184" t="s">
        <v>4398</v>
      </c>
      <c r="C73" s="185" t="s">
        <v>4429</v>
      </c>
      <c r="D73" s="187" t="s">
        <v>4430</v>
      </c>
      <c r="E73" s="187" t="s">
        <v>4431</v>
      </c>
      <c r="F73" s="189" t="str">
        <f>IF(COUNTIF(G73:AT73,"&lt;&gt;")=0,"",SUMPRODUCT(((Recommendations[ImplStatus]="Implemented")+(Recommendations[ImplStatus]="Compensated"))*ISNUMBER(MATCH(Recommendations[Id],G73:AT73,0)))/COUNTIF(G73:AT73,"&lt;&gt;"))</f>
        <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201"/>
    </row>
    <row r="74" spans="1:46" ht="60" customHeight="1" x14ac:dyDescent="0.35">
      <c r="A74" s="198" t="s">
        <v>4310</v>
      </c>
      <c r="B74" s="184" t="s">
        <v>4398</v>
      </c>
      <c r="C74" s="185" t="s">
        <v>4432</v>
      </c>
      <c r="D74" s="187" t="s">
        <v>4433</v>
      </c>
      <c r="E74" s="187" t="s">
        <v>4434</v>
      </c>
      <c r="F74" s="189" t="str">
        <f>IF(COUNTIF(G74:AT74,"&lt;&gt;")=0,"",SUMPRODUCT(((Recommendations[ImplStatus]="Implemented")+(Recommendations[ImplStatus]="Compensated"))*ISNUMBER(MATCH(Recommendations[Id],G74:AT74,0)))/COUNTIF(G74:AT74,"&lt;&gt;"))</f>
        <v/>
      </c>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201"/>
    </row>
    <row r="75" spans="1:46" ht="60" customHeight="1" x14ac:dyDescent="0.35">
      <c r="A75" s="198" t="s">
        <v>4310</v>
      </c>
      <c r="B75" s="184" t="s">
        <v>4398</v>
      </c>
      <c r="C75" s="185" t="s">
        <v>4435</v>
      </c>
      <c r="D75" s="187" t="s">
        <v>4436</v>
      </c>
      <c r="E75" s="187" t="s">
        <v>4437</v>
      </c>
      <c r="F75" s="189" t="str">
        <f>IF(COUNTIF(G75:AT75,"&lt;&gt;")=0,"",SUMPRODUCT(((Recommendations[ImplStatus]="Implemented")+(Recommendations[ImplStatus]="Compensated"))*ISNUMBER(MATCH(Recommendations[Id],G75:AT75,0)))/COUNTIF(G75:AT75,"&lt;&gt;"))</f>
        <v/>
      </c>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201"/>
    </row>
    <row r="76" spans="1:46" ht="60" customHeight="1" x14ac:dyDescent="0.35">
      <c r="A76" s="198" t="s">
        <v>4310</v>
      </c>
      <c r="B76" s="184" t="s">
        <v>4398</v>
      </c>
      <c r="C76" s="185" t="s">
        <v>4438</v>
      </c>
      <c r="D76" s="187" t="s">
        <v>4439</v>
      </c>
      <c r="E76" s="187" t="s">
        <v>4440</v>
      </c>
      <c r="F76" s="189" t="str">
        <f>IF(COUNTIF(G76:AT76,"&lt;&gt;")=0,"",SUMPRODUCT(((Recommendations[ImplStatus]="Implemented")+(Recommendations[ImplStatus]="Compensated"))*ISNUMBER(MATCH(Recommendations[Id],G76:AT76,0)))/COUNTIF(G76:AT76,"&lt;&gt;"))</f>
        <v/>
      </c>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201"/>
    </row>
    <row r="77" spans="1:46" ht="60" customHeight="1" x14ac:dyDescent="0.35">
      <c r="A77" s="198" t="s">
        <v>4310</v>
      </c>
      <c r="B77" s="184" t="s">
        <v>4398</v>
      </c>
      <c r="C77" s="185" t="s">
        <v>4441</v>
      </c>
      <c r="D77" s="187" t="s">
        <v>4442</v>
      </c>
      <c r="E77" s="187" t="s">
        <v>4443</v>
      </c>
      <c r="F77" s="189" t="str">
        <f>IF(COUNTIF(G77:AT77,"&lt;&gt;")=0,"",SUMPRODUCT(((Recommendations[ImplStatus]="Implemented")+(Recommendations[ImplStatus]="Compensated"))*ISNUMBER(MATCH(Recommendations[Id],G77:AT77,0)))/COUNTIF(G77:AT77,"&lt;&gt;"))</f>
        <v/>
      </c>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201"/>
    </row>
    <row r="78" spans="1:46" ht="60" customHeight="1" x14ac:dyDescent="0.35">
      <c r="A78" s="198" t="s">
        <v>4310</v>
      </c>
      <c r="B78" s="184" t="s">
        <v>4398</v>
      </c>
      <c r="C78" s="185" t="s">
        <v>4444</v>
      </c>
      <c r="D78" s="187" t="s">
        <v>4445</v>
      </c>
      <c r="E78" s="187" t="s">
        <v>4446</v>
      </c>
      <c r="F78" s="189" t="str">
        <f>IF(COUNTIF(G78:AT78,"&lt;&gt;")=0,"",SUMPRODUCT(((Recommendations[ImplStatus]="Implemented")+(Recommendations[ImplStatus]="Compensated"))*ISNUMBER(MATCH(Recommendations[Id],G78:AT78,0)))/COUNTIF(G78:AT78,"&lt;&gt;"))</f>
        <v/>
      </c>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201"/>
    </row>
    <row r="79" spans="1:46" ht="60" customHeight="1" outlineLevel="1" x14ac:dyDescent="0.35">
      <c r="A79" s="197" t="s">
        <v>4310</v>
      </c>
      <c r="B79" s="183" t="s">
        <v>4398</v>
      </c>
      <c r="C79" s="183"/>
      <c r="D79" s="186" t="s">
        <v>4447</v>
      </c>
      <c r="E79" s="186"/>
      <c r="F79" s="188" t="str">
        <f>IF(COUNTIF(G79:AT79,"&lt;&gt;")=0,"",SUMPRODUCT(((Recommendations[ImplStatus]="Implemented")+(Recommendations[ImplStatus]="Compensated"))*ISNUMBER(MATCH(Recommendations[Id],G79:AT79,0)))/COUNTIF(G79:AT79,"&lt;&gt;"))</f>
        <v/>
      </c>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200"/>
    </row>
    <row r="80" spans="1:46" ht="60" customHeight="1" x14ac:dyDescent="0.35">
      <c r="A80" s="198" t="s">
        <v>4448</v>
      </c>
      <c r="B80" s="184"/>
      <c r="C80" s="185" t="s">
        <v>4449</v>
      </c>
      <c r="D80" s="187" t="s">
        <v>4450</v>
      </c>
      <c r="E80" s="187" t="s">
        <v>4451</v>
      </c>
      <c r="F80" s="189">
        <f>IF(COUNTIF(G80:AT80,"&lt;&gt;")=0,"",SUMPRODUCT(((Recommendations[ImplStatus]="Implemented")+(Recommendations[ImplStatus]="Compensated"))*ISNUMBER(MATCH(Recommendations[Id],G80:AT80,0)))/COUNTIF(G80:AT80,"&lt;&gt;"))</f>
        <v>0</v>
      </c>
      <c r="G80" s="191" t="s">
        <v>1455</v>
      </c>
      <c r="H80" s="191" t="s">
        <v>1476</v>
      </c>
      <c r="I80" s="191" t="s">
        <v>1534</v>
      </c>
      <c r="J80" s="191" t="s">
        <v>1544</v>
      </c>
      <c r="K80" s="191" t="s">
        <v>1549</v>
      </c>
      <c r="L80" s="191" t="s">
        <v>1554</v>
      </c>
      <c r="M80" s="191" t="s">
        <v>1559</v>
      </c>
      <c r="N80" s="191" t="s">
        <v>1564</v>
      </c>
      <c r="O80" s="191" t="s">
        <v>1569</v>
      </c>
      <c r="P80" s="191" t="s">
        <v>1581</v>
      </c>
      <c r="Q80" s="191" t="s">
        <v>1586</v>
      </c>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201"/>
    </row>
    <row r="81" spans="1:46" ht="60" customHeight="1" x14ac:dyDescent="0.35">
      <c r="A81" s="198" t="s">
        <v>4448</v>
      </c>
      <c r="B81" s="184"/>
      <c r="C81" s="185" t="s">
        <v>4452</v>
      </c>
      <c r="D81" s="187" t="s">
        <v>4453</v>
      </c>
      <c r="E81" s="187" t="s">
        <v>4454</v>
      </c>
      <c r="F81" s="189" t="str">
        <f>IF(COUNTIF(G81:AT81,"&lt;&gt;")=0,"",SUMPRODUCT(((Recommendations[ImplStatus]="Implemented")+(Recommendations[ImplStatus]="Compensated"))*ISNUMBER(MATCH(Recommendations[Id],G81:AT81,0)))/COUNTIF(G81:AT81,"&lt;&gt;"))</f>
        <v/>
      </c>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201"/>
    </row>
    <row r="82" spans="1:46" ht="60" customHeight="1" x14ac:dyDescent="0.35">
      <c r="A82" s="198" t="s">
        <v>4448</v>
      </c>
      <c r="B82" s="184"/>
      <c r="C82" s="185" t="s">
        <v>4455</v>
      </c>
      <c r="D82" s="187" t="s">
        <v>4456</v>
      </c>
      <c r="E82" s="187" t="s">
        <v>4457</v>
      </c>
      <c r="F82" s="189" t="str">
        <f>IF(COUNTIF(G82:AT82,"&lt;&gt;")=0,"",SUMPRODUCT(((Recommendations[ImplStatus]="Implemented")+(Recommendations[ImplStatus]="Compensated"))*ISNUMBER(MATCH(Recommendations[Id],G82:AT82,0)))/COUNTIF(G82:AT82,"&lt;&gt;"))</f>
        <v/>
      </c>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201"/>
    </row>
    <row r="83" spans="1:46" ht="60" customHeight="1" x14ac:dyDescent="0.35">
      <c r="A83" s="198" t="s">
        <v>4448</v>
      </c>
      <c r="B83" s="184"/>
      <c r="C83" s="185" t="s">
        <v>4458</v>
      </c>
      <c r="D83" s="187" t="s">
        <v>4459</v>
      </c>
      <c r="E83" s="187" t="s">
        <v>4460</v>
      </c>
      <c r="F83" s="189" t="str">
        <f>IF(COUNTIF(G83:AT83,"&lt;&gt;")=0,"",SUMPRODUCT(((Recommendations[ImplStatus]="Implemented")+(Recommendations[ImplStatus]="Compensated"))*ISNUMBER(MATCH(Recommendations[Id],G83:AT83,0)))/COUNTIF(G83:AT83,"&lt;&gt;"))</f>
        <v/>
      </c>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201"/>
    </row>
    <row r="84" spans="1:46" ht="60" customHeight="1" outlineLevel="1" x14ac:dyDescent="0.35">
      <c r="A84" s="197" t="s">
        <v>4448</v>
      </c>
      <c r="B84" s="183"/>
      <c r="C84" s="183"/>
      <c r="D84" s="186" t="s">
        <v>4461</v>
      </c>
      <c r="E84" s="186"/>
      <c r="F84" s="188" t="str">
        <f>IF(COUNTIF(G84:AT84,"&lt;&gt;")=0,"",SUMPRODUCT(((Recommendations[ImplStatus]="Implemented")+(Recommendations[ImplStatus]="Compensated"))*ISNUMBER(MATCH(Recommendations[Id],G84:AT84,0)))/COUNTIF(G84:AT84,"&lt;&gt;"))</f>
        <v/>
      </c>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200"/>
    </row>
    <row r="85" spans="1:46" ht="60" customHeight="1" x14ac:dyDescent="0.35">
      <c r="A85" s="198" t="s">
        <v>4462</v>
      </c>
      <c r="B85" s="184"/>
      <c r="C85" s="185" t="s">
        <v>4463</v>
      </c>
      <c r="D85" s="187" t="s">
        <v>4464</v>
      </c>
      <c r="E85" s="187" t="s">
        <v>4465</v>
      </c>
      <c r="F85" s="189" t="str">
        <f>IF(COUNTIF(G85:AT85,"&lt;&gt;")=0,"",SUMPRODUCT(((Recommendations[ImplStatus]="Implemented")+(Recommendations[ImplStatus]="Compensated"))*ISNUMBER(MATCH(Recommendations[Id],G85:AT85,0)))/COUNTIF(G85:AT85,"&lt;&gt;"))</f>
        <v/>
      </c>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201"/>
    </row>
    <row r="86" spans="1:46" ht="60" customHeight="1" x14ac:dyDescent="0.35">
      <c r="A86" s="198" t="s">
        <v>4462</v>
      </c>
      <c r="B86" s="184"/>
      <c r="C86" s="185" t="s">
        <v>4466</v>
      </c>
      <c r="D86" s="187" t="s">
        <v>4467</v>
      </c>
      <c r="E86" s="187" t="s">
        <v>4468</v>
      </c>
      <c r="F86" s="189" t="str">
        <f>IF(COUNTIF(G86:AT86,"&lt;&gt;")=0,"",SUMPRODUCT(((Recommendations[ImplStatus]="Implemented")+(Recommendations[ImplStatus]="Compensated"))*ISNUMBER(MATCH(Recommendations[Id],G86:AT86,0)))/COUNTIF(G86:AT86,"&lt;&gt;"))</f>
        <v/>
      </c>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201"/>
    </row>
    <row r="87" spans="1:46" ht="60" customHeight="1" x14ac:dyDescent="0.35">
      <c r="A87" s="198" t="s">
        <v>4462</v>
      </c>
      <c r="B87" s="184"/>
      <c r="C87" s="185" t="s">
        <v>4469</v>
      </c>
      <c r="D87" s="187" t="s">
        <v>4470</v>
      </c>
      <c r="E87" s="187" t="s">
        <v>4471</v>
      </c>
      <c r="F87" s="189" t="str">
        <f>IF(COUNTIF(G87:AT87,"&lt;&gt;")=0,"",SUMPRODUCT(((Recommendations[ImplStatus]="Implemented")+(Recommendations[ImplStatus]="Compensated"))*ISNUMBER(MATCH(Recommendations[Id],G87:AT87,0)))/COUNTIF(G87:AT87,"&lt;&gt;"))</f>
        <v/>
      </c>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201"/>
    </row>
    <row r="88" spans="1:46" ht="60" customHeight="1" x14ac:dyDescent="0.35">
      <c r="A88" s="198" t="s">
        <v>4462</v>
      </c>
      <c r="B88" s="184"/>
      <c r="C88" s="185" t="s">
        <v>4472</v>
      </c>
      <c r="D88" s="187" t="s">
        <v>4473</v>
      </c>
      <c r="E88" s="187" t="s">
        <v>4474</v>
      </c>
      <c r="F88" s="189" t="str">
        <f>IF(COUNTIF(G88:AT88,"&lt;&gt;")=0,"",SUMPRODUCT(((Recommendations[ImplStatus]="Implemented")+(Recommendations[ImplStatus]="Compensated"))*ISNUMBER(MATCH(Recommendations[Id],G88:AT88,0)))/COUNTIF(G88:AT88,"&lt;&gt;"))</f>
        <v/>
      </c>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201"/>
    </row>
    <row r="89" spans="1:46" ht="60" customHeight="1" x14ac:dyDescent="0.35">
      <c r="A89" s="198" t="s">
        <v>4462</v>
      </c>
      <c r="B89" s="184"/>
      <c r="C89" s="185" t="s">
        <v>4475</v>
      </c>
      <c r="D89" s="187" t="s">
        <v>4476</v>
      </c>
      <c r="E89" s="187" t="s">
        <v>4477</v>
      </c>
      <c r="F89" s="189" t="str">
        <f>IF(COUNTIF(G89:AT89,"&lt;&gt;")=0,"",SUMPRODUCT(((Recommendations[ImplStatus]="Implemented")+(Recommendations[ImplStatus]="Compensated"))*ISNUMBER(MATCH(Recommendations[Id],G89:AT89,0)))/COUNTIF(G89:AT89,"&lt;&gt;"))</f>
        <v/>
      </c>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201"/>
    </row>
    <row r="90" spans="1:46" ht="60" customHeight="1" outlineLevel="1" x14ac:dyDescent="0.35">
      <c r="A90" s="197" t="s">
        <v>4462</v>
      </c>
      <c r="B90" s="183" t="s">
        <v>4478</v>
      </c>
      <c r="C90" s="183"/>
      <c r="D90" s="186" t="s">
        <v>4479</v>
      </c>
      <c r="E90" s="186"/>
      <c r="F90" s="188" t="str">
        <f>IF(COUNTIF(G90:AT90,"&lt;&gt;")=0,"",SUMPRODUCT(((Recommendations[ImplStatus]="Implemented")+(Recommendations[ImplStatus]="Compensated"))*ISNUMBER(MATCH(Recommendations[Id],G90:AT90,0)))/COUNTIF(G90:AT90,"&lt;&gt;"))</f>
        <v/>
      </c>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200"/>
    </row>
    <row r="91" spans="1:46" ht="60" customHeight="1" x14ac:dyDescent="0.35">
      <c r="A91" s="198" t="s">
        <v>4462</v>
      </c>
      <c r="B91" s="184" t="s">
        <v>4478</v>
      </c>
      <c r="C91" s="185" t="s">
        <v>4480</v>
      </c>
      <c r="D91" s="187" t="s">
        <v>4481</v>
      </c>
      <c r="E91" s="187" t="s">
        <v>4482</v>
      </c>
      <c r="F91" s="189" t="str">
        <f>IF(COUNTIF(G91:AT91,"&lt;&gt;")=0,"",SUMPRODUCT(((Recommendations[ImplStatus]="Implemented")+(Recommendations[ImplStatus]="Compensated"))*ISNUMBER(MATCH(Recommendations[Id],G91:AT91,0)))/COUNTIF(G91:AT91,"&lt;&gt;"))</f>
        <v/>
      </c>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201"/>
    </row>
    <row r="92" spans="1:46" ht="60" customHeight="1" x14ac:dyDescent="0.35">
      <c r="A92" s="198" t="s">
        <v>4462</v>
      </c>
      <c r="B92" s="184" t="s">
        <v>4478</v>
      </c>
      <c r="C92" s="185" t="s">
        <v>4483</v>
      </c>
      <c r="D92" s="187" t="s">
        <v>4484</v>
      </c>
      <c r="E92" s="187" t="s">
        <v>4485</v>
      </c>
      <c r="F92" s="189" t="str">
        <f>IF(COUNTIF(G92:AT92,"&lt;&gt;")=0,"",SUMPRODUCT(((Recommendations[ImplStatus]="Implemented")+(Recommendations[ImplStatus]="Compensated"))*ISNUMBER(MATCH(Recommendations[Id],G92:AT92,0)))/COUNTIF(G92:AT92,"&lt;&gt;"))</f>
        <v/>
      </c>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201"/>
    </row>
    <row r="93" spans="1:46" ht="60" customHeight="1" x14ac:dyDescent="0.35">
      <c r="A93" s="198"/>
      <c r="B93" s="184" t="s">
        <v>4478</v>
      </c>
      <c r="C93" s="185" t="s">
        <v>4486</v>
      </c>
      <c r="D93" s="187" t="s">
        <v>4487</v>
      </c>
      <c r="E93" s="187" t="s">
        <v>4488</v>
      </c>
      <c r="F93" s="189" t="str">
        <f>IF(COUNTIF(G93:AT93,"&lt;&gt;")=0,"",SUMPRODUCT(((Recommendations[ImplStatus]="Implemented")+(Recommendations[ImplStatus]="Compensated"))*ISNUMBER(MATCH(Recommendations[Id],G93:AT93,0)))/COUNTIF(G93:AT93,"&lt;&gt;"))</f>
        <v/>
      </c>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201"/>
    </row>
    <row r="94" spans="1:46" ht="60" customHeight="1" x14ac:dyDescent="0.35">
      <c r="A94" s="198"/>
      <c r="B94" s="184" t="s">
        <v>4478</v>
      </c>
      <c r="C94" s="185" t="s">
        <v>4489</v>
      </c>
      <c r="D94" s="187" t="s">
        <v>4490</v>
      </c>
      <c r="E94" s="187" t="s">
        <v>4491</v>
      </c>
      <c r="F94" s="189" t="str">
        <f>IF(COUNTIF(G94:AT94,"&lt;&gt;")=0,"",SUMPRODUCT(((Recommendations[ImplStatus]="Implemented")+(Recommendations[ImplStatus]="Compensated"))*ISNUMBER(MATCH(Recommendations[Id],G94:AT94,0)))/COUNTIF(G94:AT94,"&lt;&gt;"))</f>
        <v/>
      </c>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201"/>
    </row>
    <row r="95" spans="1:46" ht="60" customHeight="1" x14ac:dyDescent="0.35">
      <c r="A95" s="198"/>
      <c r="B95" s="184" t="s">
        <v>4478</v>
      </c>
      <c r="C95" s="185" t="s">
        <v>4492</v>
      </c>
      <c r="D95" s="187" t="s">
        <v>4493</v>
      </c>
      <c r="E95" s="187" t="s">
        <v>4494</v>
      </c>
      <c r="F95" s="189" t="str">
        <f>IF(COUNTIF(G95:AT95,"&lt;&gt;")=0,"",SUMPRODUCT(((Recommendations[ImplStatus]="Implemented")+(Recommendations[ImplStatus]="Compensated"))*ISNUMBER(MATCH(Recommendations[Id],G95:AT95,0)))/COUNTIF(G95:AT95,"&lt;&gt;"))</f>
        <v/>
      </c>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201"/>
    </row>
    <row r="96" spans="1:46" ht="60" customHeight="1" x14ac:dyDescent="0.35">
      <c r="A96" s="198"/>
      <c r="B96" s="184" t="s">
        <v>4478</v>
      </c>
      <c r="C96" s="185" t="s">
        <v>4495</v>
      </c>
      <c r="D96" s="187" t="s">
        <v>4496</v>
      </c>
      <c r="E96" s="187" t="s">
        <v>4497</v>
      </c>
      <c r="F96" s="189" t="str">
        <f>IF(COUNTIF(G96:AT96,"&lt;&gt;")=0,"",SUMPRODUCT(((Recommendations[ImplStatus]="Implemented")+(Recommendations[ImplStatus]="Compensated"))*ISNUMBER(MATCH(Recommendations[Id],G96:AT96,0)))/COUNTIF(G96:AT96,"&lt;&gt;"))</f>
        <v/>
      </c>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201"/>
    </row>
    <row r="97" spans="1:46" ht="60" customHeight="1" x14ac:dyDescent="0.35">
      <c r="A97" s="198"/>
      <c r="B97" s="184" t="s">
        <v>4478</v>
      </c>
      <c r="C97" s="185" t="s">
        <v>4498</v>
      </c>
      <c r="D97" s="187" t="s">
        <v>4499</v>
      </c>
      <c r="E97" s="187" t="s">
        <v>4500</v>
      </c>
      <c r="F97" s="189" t="str">
        <f>IF(COUNTIF(G97:AT97,"&lt;&gt;")=0,"",SUMPRODUCT(((Recommendations[ImplStatus]="Implemented")+(Recommendations[ImplStatus]="Compensated"))*ISNUMBER(MATCH(Recommendations[Id],G97:AT97,0)))/COUNTIF(G97:AT97,"&lt;&gt;"))</f>
        <v/>
      </c>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201"/>
    </row>
    <row r="98" spans="1:46" ht="60" customHeight="1" x14ac:dyDescent="0.35">
      <c r="A98" s="198"/>
      <c r="B98" s="184" t="s">
        <v>4478</v>
      </c>
      <c r="C98" s="185" t="s">
        <v>4501</v>
      </c>
      <c r="D98" s="187" t="s">
        <v>4502</v>
      </c>
      <c r="E98" s="187" t="s">
        <v>4503</v>
      </c>
      <c r="F98" s="189" t="str">
        <f>IF(COUNTIF(G98:AT98,"&lt;&gt;")=0,"",SUMPRODUCT(((Recommendations[ImplStatus]="Implemented")+(Recommendations[ImplStatus]="Compensated"))*ISNUMBER(MATCH(Recommendations[Id],G98:AT98,0)))/COUNTIF(G98:AT98,"&lt;&gt;"))</f>
        <v/>
      </c>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201"/>
    </row>
    <row r="99" spans="1:46" ht="60" customHeight="1" outlineLevel="1" x14ac:dyDescent="0.35">
      <c r="A99" s="197"/>
      <c r="B99" s="183" t="s">
        <v>4504</v>
      </c>
      <c r="C99" s="183"/>
      <c r="D99" s="186" t="s">
        <v>4505</v>
      </c>
      <c r="E99" s="186"/>
      <c r="F99" s="188" t="str">
        <f>IF(COUNTIF(G99:AT99,"&lt;&gt;")=0,"",SUMPRODUCT(((Recommendations[ImplStatus]="Implemented")+(Recommendations[ImplStatus]="Compensated"))*ISNUMBER(MATCH(Recommendations[Id],G99:AT99,0)))/COUNTIF(G99:AT99,"&lt;&gt;"))</f>
        <v/>
      </c>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200"/>
    </row>
    <row r="100" spans="1:46" ht="60" customHeight="1" x14ac:dyDescent="0.35">
      <c r="A100" s="198"/>
      <c r="B100" s="184" t="s">
        <v>4504</v>
      </c>
      <c r="C100" s="185" t="s">
        <v>4506</v>
      </c>
      <c r="D100" s="187" t="s">
        <v>4507</v>
      </c>
      <c r="E100" s="187" t="s">
        <v>4508</v>
      </c>
      <c r="F100" s="189">
        <f>IF(COUNTIF(G100:AT100,"&lt;&gt;")=0,"",SUMPRODUCT(((Recommendations[ImplStatus]="Implemented")+(Recommendations[ImplStatus]="Compensated"))*ISNUMBER(MATCH(Recommendations[Id],G100:AT100,0)))/COUNTIF(G100:AT100,"&lt;&gt;"))</f>
        <v>0</v>
      </c>
      <c r="G100" s="191" t="s">
        <v>874</v>
      </c>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201"/>
    </row>
    <row r="101" spans="1:46" ht="60" customHeight="1" x14ac:dyDescent="0.35">
      <c r="A101" s="198"/>
      <c r="B101" s="184" t="s">
        <v>4504</v>
      </c>
      <c r="C101" s="185" t="s">
        <v>4509</v>
      </c>
      <c r="D101" s="187" t="s">
        <v>4510</v>
      </c>
      <c r="E101" s="187" t="s">
        <v>4511</v>
      </c>
      <c r="F101" s="189" t="str">
        <f>IF(COUNTIF(G101:AT101,"&lt;&gt;")=0,"",SUMPRODUCT(((Recommendations[ImplStatus]="Implemented")+(Recommendations[ImplStatus]="Compensated"))*ISNUMBER(MATCH(Recommendations[Id],G101:AT101,0)))/COUNTIF(G101:AT101,"&lt;&gt;"))</f>
        <v/>
      </c>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201"/>
    </row>
    <row r="102" spans="1:46" ht="60" customHeight="1" x14ac:dyDescent="0.35">
      <c r="A102" s="198"/>
      <c r="B102" s="184" t="s">
        <v>4504</v>
      </c>
      <c r="C102" s="185" t="s">
        <v>4512</v>
      </c>
      <c r="D102" s="187" t="s">
        <v>4513</v>
      </c>
      <c r="E102" s="187" t="s">
        <v>4514</v>
      </c>
      <c r="F102" s="189" t="str">
        <f>IF(COUNTIF(G102:AT102,"&lt;&gt;")=0,"",SUMPRODUCT(((Recommendations[ImplStatus]="Implemented")+(Recommendations[ImplStatus]="Compensated"))*ISNUMBER(MATCH(Recommendations[Id],G102:AT102,0)))/COUNTIF(G102:AT102,"&lt;&gt;"))</f>
        <v/>
      </c>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201"/>
    </row>
    <row r="103" spans="1:46" ht="60" customHeight="1" x14ac:dyDescent="0.35">
      <c r="A103" s="198"/>
      <c r="B103" s="184" t="s">
        <v>4504</v>
      </c>
      <c r="C103" s="185" t="s">
        <v>4515</v>
      </c>
      <c r="D103" s="187" t="s">
        <v>4516</v>
      </c>
      <c r="E103" s="187" t="s">
        <v>4517</v>
      </c>
      <c r="F103" s="189" t="str">
        <f>IF(COUNTIF(G103:AT103,"&lt;&gt;")=0,"",SUMPRODUCT(((Recommendations[ImplStatus]="Implemented")+(Recommendations[ImplStatus]="Compensated"))*ISNUMBER(MATCH(Recommendations[Id],G103:AT103,0)))/COUNTIF(G103:AT103,"&lt;&gt;"))</f>
        <v/>
      </c>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201"/>
    </row>
    <row r="104" spans="1:46" ht="60" customHeight="1" x14ac:dyDescent="0.35">
      <c r="A104" s="199"/>
      <c r="B104" s="192" t="s">
        <v>4504</v>
      </c>
      <c r="C104" s="193" t="s">
        <v>4518</v>
      </c>
      <c r="D104" s="194" t="s">
        <v>4519</v>
      </c>
      <c r="E104" s="194" t="s">
        <v>4520</v>
      </c>
      <c r="F104" s="195" t="str">
        <f>IF(COUNTIF(G104:AT104,"&lt;&gt;")=0,"",SUMPRODUCT(((Recommendations[ImplStatus]="Implemented")+(Recommendations[ImplStatus]="Compensated"))*ISNUMBER(MATCH(Recommendations[Id],G104:AT104,0)))/COUNTIF(G104:AT104,"&lt;&gt;"))</f>
        <v/>
      </c>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202"/>
    </row>
    <row r="108" spans="1:46" ht="32" customHeight="1" x14ac:dyDescent="0.35">
      <c r="A108" s="262" t="s">
        <v>1766</v>
      </c>
      <c r="B108" s="262"/>
      <c r="C108" s="262"/>
      <c r="D108" s="262"/>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IFERROR(INDEX('Recommendations'!$G$2:$G$368, MATCH(G2,'Recommendations'!$B$2:$B$368,0))="Implemented", FALSE))</xm:f>
            <x14:dxf>
              <font>
                <color rgb="FF000000"/>
              </font>
              <fill>
                <patternFill>
                  <bgColor rgb="FF3C7D22"/>
                </patternFill>
              </fill>
            </x14:dxf>
          </x14:cfRule>
          <x14:cfRule type="expression" priority="2" id="{00000000-000E-0000-0800-000002000000}">
            <xm:f>AND(G2&lt;&gt;"", IFERROR(INDEX('Recommendations'!$G$2:$G$368, MATCH(G2,'Recommendations'!$B$2:$B$368,0))="Compensated", FALSE))</xm:f>
            <x14:dxf>
              <font>
                <color rgb="FF000000"/>
              </font>
              <fill>
                <patternFill>
                  <bgColor rgb="FFC6E0B4"/>
                </patternFill>
              </fill>
            </x14:dxf>
          </x14:cfRule>
          <x14:cfRule type="expression" priority="3" id="{00000000-000E-0000-0800-000003000000}">
            <xm:f>AND(G2&lt;&gt;"", IFERROR(INDEX('Recommendations'!$G$2:$G$368, MATCH(G2,'Recommendations'!$B$2:$B$368,0))="Testing", FALSE))</xm:f>
            <x14:dxf>
              <font>
                <color rgb="FF000000"/>
              </font>
              <fill>
                <patternFill>
                  <bgColor rgb="FFFFC000"/>
                </patternFill>
              </fill>
            </x14:dxf>
          </x14:cfRule>
          <x14:cfRule type="expression" priority="4" id="{00000000-000E-0000-0800-000004000000}">
            <xm:f>AND(G2&lt;&gt;"", IFERROR(INDEX('Recommendations'!$G$2:$G$368, MATCH(G2,'Recommendations'!$B$2:$B$368,0))="Failed", FALSE))</xm:f>
            <x14:dxf>
              <font>
                <color rgb="FF000000"/>
              </font>
              <fill>
                <patternFill>
                  <bgColor rgb="FFD82891"/>
                </patternFill>
              </fill>
            </x14:dxf>
          </x14:cfRule>
          <x14:cfRule type="expression" priority="5" id="{00000000-000E-0000-0800-000005000000}">
            <xm:f>AND(G2&lt;&gt;"", IFERROR(INDEX('Recommendations'!$G$2:$G$368, MATCH(G2,'Recommendations'!$B$2:$B$368,0))="Risk Accepted", FALSE))</xm:f>
            <x14:dxf>
              <font>
                <color rgb="FF000000"/>
              </font>
              <fill>
                <patternFill>
                  <bgColor rgb="FFD9D9D9"/>
                </patternFill>
              </fill>
            </x14:dxf>
          </x14:cfRule>
          <x14:cfRule type="expression" priority="6" id="{00000000-000E-0000-0800-000006000000}">
            <xm:f>AND(G2&lt;&gt;"", IFERROR(INDEX('Recommendations'!$G$2:$G$368, MATCH(G2,'Recommendations'!$B$2:$B$368,0))="N/A",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Security Baseline for Windows 11 - SHGIR</dc:title>
  <dc:subject>Generated on: 2026-06-08 23:52:43</dc:subject>
  <dc:creator>Anicet Fopa Tchoffo</dc:creator>
  <cp:keywords>Baseline;Hardening;Microsoft;SCT;Windows</cp:keywords>
  <dc:description>Baseline Developed By: Microsoft</dc:description>
  <cp:lastModifiedBy>Anicet Fopa Tchoffo</cp:lastModifiedBy>
  <dcterms:modified xsi:type="dcterms:W3CDTF">2026-06-08T22:52:58Z</dcterms:modified>
  <cp:category>MS-SCT-WINDOWS</cp:category>
  <cp:contentStatus>Draft</cp:contentStatus>
</cp:coreProperties>
</file>