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2" documentId="11_E4DD423E3EEB642880DE23709201E42D84C79A9B" xr6:coauthVersionLast="47" xr6:coauthVersionMax="47" xr10:uidLastSave="{1715D3A5-D43F-44EF-8D5E-623045DA8E2E}"/>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9"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4"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8"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4"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9" i="1"/>
  <c r="U8" i="1"/>
  <c r="U7" i="1"/>
  <c r="U6" i="1"/>
  <c r="U5" i="1"/>
  <c r="U4" i="1"/>
  <c r="U3" i="1"/>
  <c r="U2" i="1"/>
  <c r="F95" i="3" s="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E56" i="3"/>
  <c r="D56" i="3"/>
  <c r="C56" i="3"/>
  <c r="F56" i="3" s="1"/>
  <c r="F55" i="3"/>
  <c r="D63" i="3" s="1"/>
  <c r="E55" i="3"/>
  <c r="D55" i="3"/>
  <c r="C55" i="3"/>
  <c r="E54" i="3"/>
  <c r="D54" i="3"/>
  <c r="C54" i="3"/>
  <c r="W106" i="3" s="1"/>
  <c r="E53" i="3"/>
  <c r="D53" i="3"/>
  <c r="C53" i="3"/>
  <c r="U106" i="3" s="1"/>
  <c r="E52" i="3"/>
  <c r="D52" i="3"/>
  <c r="C52" i="3"/>
  <c r="S106" i="3" s="1"/>
  <c r="E34" i="3"/>
  <c r="D34" i="3"/>
  <c r="C34" i="3"/>
  <c r="F34" i="3" s="1"/>
  <c r="E33" i="3"/>
  <c r="D33" i="3"/>
  <c r="F33" i="3" s="1"/>
  <c r="C33" i="3"/>
  <c r="E32" i="3"/>
  <c r="D32" i="3"/>
  <c r="C32" i="3"/>
  <c r="F32" i="3" s="1"/>
  <c r="E31" i="3"/>
  <c r="D31" i="3"/>
  <c r="C31" i="3"/>
  <c r="F31" i="3" s="1"/>
  <c r="E30" i="3"/>
  <c r="D30" i="3"/>
  <c r="C30" i="3"/>
  <c r="F30" i="3" s="1"/>
  <c r="E29" i="3"/>
  <c r="D29" i="3"/>
  <c r="C29" i="3"/>
  <c r="F29" i="3" s="1"/>
  <c r="E20" i="3"/>
  <c r="D20" i="3"/>
  <c r="C20" i="3"/>
  <c r="F16" i="3"/>
  <c r="R135" i="3" s="1"/>
  <c r="E16" i="3"/>
  <c r="D16" i="3"/>
  <c r="C16" i="3"/>
  <c r="Q106" i="3" s="1"/>
  <c r="C9" i="3"/>
  <c r="D9" i="3" s="1"/>
  <c r="C8" i="3"/>
  <c r="C7" i="3" s="1"/>
  <c r="D7" i="3" s="1"/>
  <c r="E38" i="3" l="1"/>
  <c r="C38" i="3"/>
  <c r="D38" i="3"/>
  <c r="E43" i="3"/>
  <c r="D43" i="3"/>
  <c r="C43" i="3"/>
  <c r="E81" i="3"/>
  <c r="D81" i="3"/>
  <c r="C81" i="3"/>
  <c r="G95" i="3"/>
  <c r="E83" i="3"/>
  <c r="D83" i="3"/>
  <c r="C83" i="3"/>
  <c r="E82" i="3"/>
  <c r="D82" i="3"/>
  <c r="C82" i="3"/>
  <c r="E41" i="3"/>
  <c r="D41" i="3"/>
  <c r="C41" i="3"/>
  <c r="D39" i="3"/>
  <c r="C39" i="3"/>
  <c r="E39" i="3"/>
  <c r="E40" i="3"/>
  <c r="D40" i="3"/>
  <c r="C40" i="3"/>
  <c r="E42" i="3"/>
  <c r="C42" i="3"/>
  <c r="D42" i="3"/>
  <c r="E64" i="3"/>
  <c r="D64" i="3"/>
  <c r="C64" i="3"/>
  <c r="E80" i="3"/>
  <c r="D80" i="3"/>
  <c r="C80" i="3"/>
  <c r="F53" i="3"/>
  <c r="R111" i="3"/>
  <c r="R116" i="3"/>
  <c r="R121" i="3"/>
  <c r="R126" i="3"/>
  <c r="R131" i="3"/>
  <c r="R136" i="3"/>
  <c r="F52" i="3"/>
  <c r="D8" i="3"/>
  <c r="C63" i="3"/>
  <c r="F54" i="3"/>
  <c r="E63" i="3"/>
  <c r="R112" i="3"/>
  <c r="R117" i="3"/>
  <c r="R122" i="3"/>
  <c r="R127" i="3"/>
  <c r="R132" i="3"/>
  <c r="R137" i="3"/>
  <c r="R108" i="3"/>
  <c r="R113" i="3"/>
  <c r="R118" i="3"/>
  <c r="R123" i="3"/>
  <c r="R128" i="3"/>
  <c r="R133" i="3"/>
  <c r="R138" i="3"/>
  <c r="R109" i="3"/>
  <c r="R114" i="3"/>
  <c r="R119" i="3"/>
  <c r="R124" i="3"/>
  <c r="R129" i="3"/>
  <c r="R134" i="3"/>
  <c r="R110" i="3"/>
  <c r="R115" i="3"/>
  <c r="R120" i="3"/>
  <c r="R125" i="3"/>
  <c r="R130" i="3"/>
  <c r="V135" i="3" l="1"/>
  <c r="V130" i="3"/>
  <c r="V125" i="3"/>
  <c r="V120" i="3"/>
  <c r="V115" i="3"/>
  <c r="V110" i="3"/>
  <c r="E61" i="3"/>
  <c r="D61" i="3"/>
  <c r="V134" i="3"/>
  <c r="V129" i="3"/>
  <c r="V124" i="3"/>
  <c r="V119" i="3"/>
  <c r="V114" i="3"/>
  <c r="V109" i="3"/>
  <c r="V138" i="3"/>
  <c r="V133" i="3"/>
  <c r="V128" i="3"/>
  <c r="V123" i="3"/>
  <c r="V118" i="3"/>
  <c r="V113" i="3"/>
  <c r="V108" i="3"/>
  <c r="V137" i="3"/>
  <c r="V132" i="3"/>
  <c r="V127" i="3"/>
  <c r="V122" i="3"/>
  <c r="V117" i="3"/>
  <c r="V112" i="3"/>
  <c r="V136" i="3"/>
  <c r="V131" i="3"/>
  <c r="V126" i="3"/>
  <c r="V121" i="3"/>
  <c r="V116" i="3"/>
  <c r="V111" i="3"/>
  <c r="C61" i="3"/>
  <c r="X135" i="3"/>
  <c r="X130" i="3"/>
  <c r="X125" i="3"/>
  <c r="X120" i="3"/>
  <c r="X115" i="3"/>
  <c r="X110" i="3"/>
  <c r="C62" i="3"/>
  <c r="X134" i="3"/>
  <c r="X129" i="3"/>
  <c r="X124" i="3"/>
  <c r="X119" i="3"/>
  <c r="X114" i="3"/>
  <c r="X109" i="3"/>
  <c r="X138" i="3"/>
  <c r="X133" i="3"/>
  <c r="X128" i="3"/>
  <c r="X123" i="3"/>
  <c r="X118" i="3"/>
  <c r="X113" i="3"/>
  <c r="X108" i="3"/>
  <c r="X137" i="3"/>
  <c r="X132" i="3"/>
  <c r="X127" i="3"/>
  <c r="X122" i="3"/>
  <c r="X117" i="3"/>
  <c r="X112" i="3"/>
  <c r="E62" i="3"/>
  <c r="X136" i="3"/>
  <c r="X131" i="3"/>
  <c r="X126" i="3"/>
  <c r="X121" i="3"/>
  <c r="X116" i="3"/>
  <c r="X111" i="3"/>
  <c r="D62" i="3"/>
  <c r="T135" i="3"/>
  <c r="T130" i="3"/>
  <c r="T125" i="3"/>
  <c r="T120" i="3"/>
  <c r="T115" i="3"/>
  <c r="T110" i="3"/>
  <c r="E60" i="3"/>
  <c r="D60" i="3"/>
  <c r="C60" i="3"/>
  <c r="T134" i="3"/>
  <c r="T129" i="3"/>
  <c r="T124" i="3"/>
  <c r="T119" i="3"/>
  <c r="T114" i="3"/>
  <c r="T109" i="3"/>
  <c r="T138" i="3"/>
  <c r="T133" i="3"/>
  <c r="T128" i="3"/>
  <c r="T123" i="3"/>
  <c r="T118" i="3"/>
  <c r="T113" i="3"/>
  <c r="T108" i="3"/>
  <c r="T137" i="3"/>
  <c r="T132" i="3"/>
  <c r="T127" i="3"/>
  <c r="T122" i="3"/>
  <c r="T117" i="3"/>
  <c r="T112" i="3"/>
  <c r="T136" i="3"/>
  <c r="T131" i="3"/>
  <c r="T126" i="3"/>
  <c r="T121" i="3"/>
  <c r="T116" i="3"/>
  <c r="T1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3" authorId="0" shapeId="0" xr:uid="{00000000-0006-0000-0400-000002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J14" authorId="0" shapeId="0" xr:uid="{00000000-0006-0000-0400-000003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4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400-000005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22" authorId="0" shapeId="0" xr:uid="{00000000-0006-0000-0400-00000600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400-000007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25000000}">
      <text>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text>
    </comment>
    <comment ref="L26" authorId="0" shapeId="0" xr:uid="{00000000-0006-0000-0400-000008000000}">
      <text>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26" authorId="0" shapeId="0" xr:uid="{00000000-0006-0000-0400-000009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N26" authorId="0" shapeId="0" xr:uid="{00000000-0006-0000-0400-00000A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O26" authorId="0" shapeId="0" xr:uid="{00000000-0006-0000-0400-00000B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0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D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0E000000}">
      <text>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S26" authorId="0" shapeId="0" xr:uid="{00000000-0006-0000-0400-00000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6" authorId="0" shapeId="0" xr:uid="{00000000-0006-0000-0400-00001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6" authorId="0" shapeId="0" xr:uid="{00000000-0006-0000-0400-000011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6" authorId="0" shapeId="0" xr:uid="{00000000-0006-0000-0400-00001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 authorId="0" shapeId="0" xr:uid="{00000000-0006-0000-0400-00001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 authorId="0" shapeId="0" xr:uid="{00000000-0006-0000-0400-000014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6" authorId="0" shapeId="0" xr:uid="{00000000-0006-0000-0400-000015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Z26" authorId="0" shapeId="0" xr:uid="{00000000-0006-0000-0400-000016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3.0.0</t>
        </r>
        <r>
          <rPr>
            <sz val="11"/>
            <color rgb="FF000000"/>
            <rFont val="Calibri"/>
          </rPr>
          <t>'</t>
        </r>
      </text>
    </comment>
    <comment ref="AA26" authorId="0" shapeId="0" xr:uid="{00000000-0006-0000-0400-000017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AB26" authorId="0" shapeId="0" xr:uid="{00000000-0006-0000-0400-000018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AC26" authorId="0" shapeId="0" xr:uid="{00000000-0006-0000-0400-000019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 authorId="0" shapeId="0" xr:uid="{00000000-0006-0000-0400-00001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E26" authorId="0" shapeId="0" xr:uid="{00000000-0006-0000-0400-00001B000000}">
      <text>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6" authorId="0" shapeId="0" xr:uid="{00000000-0006-0000-0400-00001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26" authorId="0" shapeId="0" xr:uid="{00000000-0006-0000-0400-00001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26" authorId="0" shapeId="0" xr:uid="{00000000-0006-0000-0400-00001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AI26" authorId="0" shapeId="0" xr:uid="{00000000-0006-0000-0400-00001F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J26" authorId="0" shapeId="0" xr:uid="{00000000-0006-0000-0400-000020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K26" authorId="0" shapeId="0" xr:uid="{00000000-0006-0000-0400-000021000000}">
      <text>
        <r>
          <rPr>
            <sz val="11"/>
            <rFont val="Calibri"/>
          </rPr>
          <t xml:space="preserve">Ensure </t>
        </r>
        <r>
          <rPr>
            <sz val="11"/>
            <color rgb="FF000000"/>
            <rFont val="Calibri"/>
          </rPr>
          <t>'</t>
        </r>
        <r>
          <rPr>
            <b/>
            <sz val="11"/>
            <color rgb="FF000000"/>
            <rFont val="Calibri"/>
          </rPr>
          <t>PK Init Hash Algorithm Configuration: PK Init Hash Algorithm SHA256</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L26" authorId="0" shapeId="0" xr:uid="{00000000-0006-0000-0400-000022000000}">
      <text>
        <r>
          <rPr>
            <sz val="11"/>
            <rFont val="Calibri"/>
          </rPr>
          <t xml:space="preserve">Ensure </t>
        </r>
        <r>
          <rPr>
            <sz val="11"/>
            <color rgb="FF000000"/>
            <rFont val="Calibri"/>
          </rPr>
          <t>'</t>
        </r>
        <r>
          <rPr>
            <b/>
            <sz val="11"/>
            <color rgb="FF000000"/>
            <rFont val="Calibri"/>
          </rPr>
          <t>PK Init Hash Algorithm Configuration: PK Init Hash Algorithm SHA384</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M26" authorId="0" shapeId="0" xr:uid="{00000000-0006-0000-0400-000023000000}">
      <text>
        <r>
          <rPr>
            <sz val="11"/>
            <rFont val="Calibri"/>
          </rPr>
          <t xml:space="preserve">Ensure </t>
        </r>
        <r>
          <rPr>
            <sz val="11"/>
            <color rgb="FF000000"/>
            <rFont val="Calibri"/>
          </rPr>
          <t>'</t>
        </r>
        <r>
          <rPr>
            <b/>
            <sz val="11"/>
            <color rgb="FF000000"/>
            <rFont val="Calibri"/>
          </rPr>
          <t>PK Init Hash Algorithm Configuration: PK Init Hash Algorithm SHA512</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N26" authorId="0" shapeId="0" xr:uid="{00000000-0006-0000-0400-000024000000}">
      <text>
        <r>
          <rPr>
            <sz val="11"/>
            <rFont val="Calibri"/>
          </rPr>
          <t xml:space="preserve">Ensure </t>
        </r>
        <r>
          <rPr>
            <sz val="11"/>
            <color rgb="FF000000"/>
            <rFont val="Calibri"/>
          </rPr>
          <t>'</t>
        </r>
        <r>
          <rPr>
            <b/>
            <sz val="11"/>
            <color rgb="FF000000"/>
            <rFont val="Calibri"/>
          </rPr>
          <t>PK Init Hash Algorithm Configuration: PK Init Hash Algorithm SHA1 PK Init Hash Algorithm SHA1</t>
        </r>
        <r>
          <rPr>
            <sz val="11"/>
            <color rgb="FF000000"/>
            <rFont val="Calibri"/>
          </rPr>
          <t>'</t>
        </r>
        <r>
          <rPr>
            <sz val="11"/>
            <color rgb="FF000000"/>
            <rFont val="Calibri"/>
          </rPr>
          <t xml:space="preserve"> is set to </t>
        </r>
        <r>
          <rPr>
            <sz val="11"/>
            <color rgb="FF000000"/>
            <rFont val="Calibri"/>
          </rPr>
          <t>'</t>
        </r>
        <r>
          <rPr>
            <b/>
            <sz val="11"/>
            <color rgb="FF000000"/>
            <rFont val="Calibri"/>
          </rPr>
          <t>Enabled: Not Supported</t>
        </r>
        <r>
          <rPr>
            <sz val="11"/>
            <color rgb="FF000000"/>
            <rFont val="Calibri"/>
          </rPr>
          <t>'</t>
        </r>
      </text>
    </comment>
    <comment ref="J28" authorId="0" shapeId="0" xr:uid="{00000000-0006-0000-0400-000026000000}">
      <text>
        <r>
          <rPr>
            <sz val="11"/>
            <rFont val="Calibri"/>
          </rPr>
          <t xml:space="preserve">Ensure </t>
        </r>
        <r>
          <rPr>
            <sz val="11"/>
            <color rgb="FF000000"/>
            <rFont val="Calibri"/>
          </rPr>
          <t>'</t>
        </r>
        <r>
          <rPr>
            <b/>
            <sz val="11"/>
            <color rgb="FF000000"/>
            <rFont val="Calibri"/>
          </rPr>
          <t>Allow Direct Memory Access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28" authorId="0" shapeId="0" xr:uid="{00000000-0006-0000-0400-000027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J32" authorId="0" shapeId="0" xr:uid="{00000000-0006-0000-0400-000028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 authorId="0" shapeId="0" xr:uid="{00000000-0006-0000-0400-000029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A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M32" authorId="0" shapeId="0" xr:uid="{00000000-0006-0000-0400-00002B000000}">
      <text>
        <r>
          <rPr>
            <sz val="11"/>
            <rFont val="Calibri"/>
          </rPr>
          <t xml:space="preserve">Ensure </t>
        </r>
        <r>
          <rPr>
            <sz val="11"/>
            <color rgb="FF000000"/>
            <rFont val="Calibri"/>
          </rPr>
          <t>'</t>
        </r>
        <r>
          <rPr>
            <b/>
            <sz val="11"/>
            <color rgb="FF000000"/>
            <rFont val="Calibri"/>
          </rPr>
          <t>Configure RPC connection settings: Protocol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N32" authorId="0" shapeId="0" xr:uid="{00000000-0006-0000-0400-00002C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RCP over TCP</t>
        </r>
        <r>
          <rPr>
            <sz val="11"/>
            <color rgb="FF000000"/>
            <rFont val="Calibri"/>
          </rPr>
          <t>'</t>
        </r>
      </text>
    </comment>
    <comment ref="O32" authorId="0" shapeId="0" xr:uid="{00000000-0006-0000-0400-00002D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text>
    </comment>
    <comment ref="P32" authorId="0" shapeId="0" xr:uid="{00000000-0006-0000-0400-00002E000000}">
      <text>
        <r>
          <rPr>
            <sz val="11"/>
            <rFont val="Calibri"/>
          </rPr>
          <t xml:space="preserve">Ensure </t>
        </r>
        <r>
          <rPr>
            <sz val="11"/>
            <color rgb="FF000000"/>
            <rFont val="Calibri"/>
          </rPr>
          <t>'</t>
        </r>
        <r>
          <rPr>
            <b/>
            <sz val="11"/>
            <color rgb="FF000000"/>
            <rFont val="Calibri"/>
          </rPr>
          <t>Configure RPC over TPC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Q32" authorId="0" shapeId="0" xr:uid="{00000000-0006-0000-0400-00002F000000}">
      <text>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R32" authorId="0" shapeId="0" xr:uid="{00000000-0006-0000-0400-00003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3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400-00003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33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 authorId="0" shapeId="0" xr:uid="{00000000-0006-0000-0400-000034000000}">
      <text>
        <r>
          <rPr>
            <sz val="11"/>
            <rFont val="Calibri"/>
          </rPr>
          <t xml:space="preserve">Ensure </t>
        </r>
        <r>
          <rPr>
            <sz val="11"/>
            <color rgb="FF000000"/>
            <rFont val="Calibri"/>
          </rPr>
          <t>'</t>
        </r>
        <r>
          <rPr>
            <b/>
            <sz val="11"/>
            <color rgb="FF000000"/>
            <rFont val="Calibri"/>
          </rPr>
          <t>Auth Rate Limiter Delay In Ms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W32" authorId="0" shapeId="0" xr:uid="{00000000-0006-0000-0400-000035000000}">
      <text>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6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37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2" authorId="0" shapeId="0" xr:uid="{00000000-0006-0000-0400-000038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39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 authorId="0" shapeId="0" xr:uid="{00000000-0006-0000-0400-00003A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32" authorId="0" shapeId="0" xr:uid="{00000000-0006-0000-0400-00003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AD32" authorId="0" shapeId="0" xr:uid="{00000000-0006-0000-0400-00003C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AE32" authorId="0" shapeId="0" xr:uid="{00000000-0006-0000-0400-00003D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J33" authorId="0" shapeId="0" xr:uid="{00000000-0006-0000-0400-00003E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3" authorId="0" shapeId="0" xr:uid="{00000000-0006-0000-0400-00003F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34" authorId="0" shapeId="0" xr:uid="{00000000-0006-0000-0400-00004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 authorId="0" shapeId="0" xr:uid="{00000000-0006-0000-0400-00004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 authorId="0" shapeId="0" xr:uid="{00000000-0006-0000-0400-000042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3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44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45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46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4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R34" authorId="0" shapeId="0" xr:uid="{00000000-0006-0000-0400-00004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S34" authorId="0" shapeId="0" xr:uid="{00000000-0006-0000-0400-000049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Force deny. Windows apps cannot be activated by voice while the screen is locked, and users cannot change it.</t>
        </r>
        <r>
          <rPr>
            <sz val="11"/>
            <color rgb="FF000000"/>
            <rFont val="Calibri"/>
          </rPr>
          <t>'</t>
        </r>
      </text>
    </comment>
    <comment ref="T34" authorId="0" shapeId="0" xr:uid="{00000000-0006-0000-0400-00004A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Ink workspace is enabled (feature is turned on), but the user cannot access it above the lock screen.</t>
        </r>
        <r>
          <rPr>
            <sz val="11"/>
            <color rgb="FF000000"/>
            <rFont val="Calibri"/>
          </rPr>
          <t>'</t>
        </r>
      </text>
    </comment>
    <comment ref="J35" authorId="0" shapeId="0" xr:uid="{00000000-0006-0000-0400-00004B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35" authorId="0" shapeId="0" xr:uid="{00000000-0006-0000-0400-00004C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35" authorId="0" shapeId="0" xr:uid="{00000000-0006-0000-0400-00004D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5" authorId="0" shapeId="0" xr:uid="{00000000-0006-0000-0400-00004E000000}">
      <text>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N35" authorId="0" shapeId="0" xr:uid="{00000000-0006-0000-0400-00004F00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text>
    </comment>
    <comment ref="O35" authorId="0" shapeId="0" xr:uid="{00000000-0006-0000-0400-000050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P35" authorId="0" shapeId="0" xr:uid="{00000000-0006-0000-0400-000051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Q35" authorId="0" shapeId="0" xr:uid="{00000000-0006-0000-0400-000052000000}">
      <text>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R35" authorId="0" shapeId="0" xr:uid="{00000000-0006-0000-0400-00005300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text>
    </comment>
    <comment ref="S35" authorId="0" shapeId="0" xr:uid="{00000000-0006-0000-0400-000054000000}">
      <text>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T35" authorId="0" shapeId="0" xr:uid="{00000000-0006-0000-0400-000055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text>
    </comment>
    <comment ref="U35" authorId="0" shapeId="0" xr:uid="{00000000-0006-0000-0400-000056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V35" authorId="0" shapeId="0" xr:uid="{00000000-0006-0000-0400-00005700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True: False</t>
        </r>
        <r>
          <rPr>
            <sz val="11"/>
            <color rgb="FF000000"/>
            <rFont val="Calibri"/>
          </rPr>
          <t>'</t>
        </r>
      </text>
    </comment>
    <comment ref="W35" authorId="0" shapeId="0" xr:uid="{00000000-0006-0000-0400-00005800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True: False</t>
        </r>
        <r>
          <rPr>
            <sz val="11"/>
            <color rgb="FF000000"/>
            <rFont val="Calibri"/>
          </rPr>
          <t>'</t>
        </r>
      </text>
    </comment>
    <comment ref="J36" authorId="0" shapeId="0" xr:uid="{00000000-0006-0000-0400-000059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K36" authorId="0" shapeId="0" xr:uid="{00000000-0006-0000-0400-00005A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L36" authorId="0" shapeId="0" xr:uid="{00000000-0006-0000-0400-00005B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J39" authorId="0" shapeId="0" xr:uid="{00000000-0006-0000-0400-00005C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39" authorId="0" shapeId="0" xr:uid="{00000000-0006-0000-0400-00005D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5E00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M39" authorId="0" shapeId="0" xr:uid="{00000000-0006-0000-0400-00005F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60000000}">
      <text>
        <r>
          <rPr>
            <sz val="11"/>
            <rFont val="Calibri"/>
          </rPr>
          <t xml:space="preserve">Ensure </t>
        </r>
        <r>
          <rPr>
            <sz val="11"/>
            <color rgb="FF000000"/>
            <rFont val="Calibri"/>
          </rPr>
          <t>'</t>
        </r>
        <r>
          <rPr>
            <b/>
            <sz val="11"/>
            <color rgb="FF000000"/>
            <rFont val="Calibri"/>
          </rPr>
          <t>Enable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61000000}">
      <text>
        <r>
          <rPr>
            <sz val="11"/>
            <rFont val="Calibri"/>
          </rPr>
          <t xml:space="preserve">Ensure </t>
        </r>
        <r>
          <rPr>
            <sz val="11"/>
            <color rgb="FF000000"/>
            <rFont val="Calibri"/>
          </rPr>
          <t>'</t>
        </r>
        <r>
          <rPr>
            <b/>
            <sz val="11"/>
            <color rgb="FF000000"/>
            <rFont val="Calibri"/>
          </rPr>
          <t>Enable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62000000}">
      <text>
        <r>
          <rPr>
            <sz val="11"/>
            <rFont val="Calibri"/>
          </rPr>
          <t xml:space="preserve">Ensure </t>
        </r>
        <r>
          <rPr>
            <sz val="11"/>
            <color rgb="FF000000"/>
            <rFont val="Calibri"/>
          </rPr>
          <t>'</t>
        </r>
        <r>
          <rPr>
            <b/>
            <sz val="11"/>
            <color rgb="FF000000"/>
            <rFont val="Calibri"/>
          </rPr>
          <t>Allow Game DVR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39" authorId="0" shapeId="0" xr:uid="{00000000-0006-0000-0400-000063000000}">
      <text>
        <r>
          <rPr>
            <sz val="11"/>
            <rFont val="Calibri"/>
          </rPr>
          <t xml:space="preserve">Ensure </t>
        </r>
        <r>
          <rPr>
            <sz val="11"/>
            <color rgb="FF000000"/>
            <rFont val="Calibri"/>
          </rPr>
          <t>'</t>
        </r>
        <r>
          <rPr>
            <b/>
            <sz val="11"/>
            <color rgb="FF000000"/>
            <rFont val="Calibri"/>
          </rPr>
          <t>Configure Xbox Accessory Management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64000000}">
      <text>
        <r>
          <rPr>
            <sz val="11"/>
            <rFont val="Calibri"/>
          </rPr>
          <t xml:space="preserve">Ensure </t>
        </r>
        <r>
          <rPr>
            <sz val="11"/>
            <color rgb="FF000000"/>
            <rFont val="Calibri"/>
          </rPr>
          <t>'</t>
        </r>
        <r>
          <rPr>
            <b/>
            <sz val="11"/>
            <color rgb="FF000000"/>
            <rFont val="Calibri"/>
          </rPr>
          <t>Configure Xbox Live Auth Manager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65000000}">
      <text>
        <r>
          <rPr>
            <sz val="11"/>
            <rFont val="Calibri"/>
          </rPr>
          <t xml:space="preserve">Ensure </t>
        </r>
        <r>
          <rPr>
            <sz val="11"/>
            <color rgb="FF000000"/>
            <rFont val="Calibri"/>
          </rPr>
          <t>'</t>
        </r>
        <r>
          <rPr>
            <b/>
            <sz val="11"/>
            <color rgb="FF000000"/>
            <rFont val="Calibri"/>
          </rPr>
          <t>Configure Xbox Live Game Save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66000000}">
      <text>
        <r>
          <rPr>
            <sz val="11"/>
            <rFont val="Calibri"/>
          </rPr>
          <t xml:space="preserve">Ensure </t>
        </r>
        <r>
          <rPr>
            <sz val="11"/>
            <color rgb="FF000000"/>
            <rFont val="Calibri"/>
          </rPr>
          <t>'</t>
        </r>
        <r>
          <rPr>
            <b/>
            <sz val="11"/>
            <color rgb="FF000000"/>
            <rFont val="Calibri"/>
          </rPr>
          <t>Configure Xbox Live Networking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67000000}">
      <text>
        <r>
          <rPr>
            <sz val="11"/>
            <rFont val="Calibri"/>
          </rPr>
          <t xml:space="preserve">Ensure </t>
        </r>
        <r>
          <rPr>
            <sz val="11"/>
            <color rgb="FF000000"/>
            <rFont val="Calibri"/>
          </rPr>
          <t>'</t>
        </r>
        <r>
          <rPr>
            <b/>
            <sz val="11"/>
            <color rgb="FF000000"/>
            <rFont val="Calibri"/>
          </rPr>
          <t>Enable Xbox Game Save 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68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69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5" authorId="0" shapeId="0" xr:uid="{00000000-0006-0000-0400-00006A000000}">
      <text>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46" authorId="0" shapeId="0" xr:uid="{00000000-0006-0000-0400-00006B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K46" authorId="0" shapeId="0" xr:uid="{00000000-0006-0000-0400-00006C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L46" authorId="0" shapeId="0" xr:uid="{00000000-0006-0000-0400-00006D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6E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J48" authorId="0" shapeId="0" xr:uid="{00000000-0006-0000-0400-00006F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70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8" authorId="0" shapeId="0" xr:uid="{00000000-0006-0000-0400-00007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8" authorId="0" shapeId="0" xr:uid="{00000000-0006-0000-0400-000072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8" authorId="0" shapeId="0" xr:uid="{00000000-0006-0000-0400-000073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8" authorId="0" shapeId="0" xr:uid="{00000000-0006-0000-0400-000074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P48" authorId="0" shapeId="0" xr:uid="{00000000-0006-0000-0400-00007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48" authorId="0" shapeId="0" xr:uid="{00000000-0006-0000-0400-000076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R48" authorId="0" shapeId="0" xr:uid="{00000000-0006-0000-0400-000077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S48" authorId="0" shapeId="0" xr:uid="{00000000-0006-0000-0400-000078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8" authorId="0" shapeId="0" xr:uid="{00000000-0006-0000-0400-000079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U48" authorId="0" shapeId="0" xr:uid="{00000000-0006-0000-0400-00007A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8" authorId="0" shapeId="0" xr:uid="{00000000-0006-0000-0400-00007B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8" authorId="0" shapeId="0" xr:uid="{00000000-0006-0000-0400-00007C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48" authorId="0" shapeId="0" xr:uid="{00000000-0006-0000-0400-00007D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text>
    </comment>
    <comment ref="Y48" authorId="0" shapeId="0" xr:uid="{00000000-0006-0000-0400-00007E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text>
    </comment>
    <comment ref="Z48" authorId="0" shapeId="0" xr:uid="{00000000-0006-0000-0400-00007F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A48" authorId="0" shapeId="0" xr:uid="{00000000-0006-0000-0400-00008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AB48" authorId="0" shapeId="0" xr:uid="{00000000-0006-0000-0400-000081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C48" authorId="0" shapeId="0" xr:uid="{00000000-0006-0000-0400-00008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D48" authorId="0" shapeId="0" xr:uid="{00000000-0006-0000-0400-000083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t>
        </r>
        <r>
          <rPr>
            <sz val="11"/>
            <color rgb="FF000000"/>
            <rFont val="Calibri"/>
          </rPr>
          <t>'</t>
        </r>
      </text>
    </comment>
    <comment ref="AE48" authorId="0" shapeId="0" xr:uid="{00000000-0006-0000-0400-000084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F48" authorId="0" shapeId="0" xr:uid="{00000000-0006-0000-0400-00008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G48" authorId="0" shapeId="0" xr:uid="{00000000-0006-0000-0400-000086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H48" authorId="0" shapeId="0" xr:uid="{00000000-0006-0000-0400-000087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I48" authorId="0" shapeId="0" xr:uid="{00000000-0006-0000-0400-00008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J48" authorId="0" shapeId="0" xr:uid="{00000000-0006-0000-0400-000089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K48" authorId="0" shapeId="0" xr:uid="{00000000-0006-0000-0400-00008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L48" authorId="0" shapeId="0" xr:uid="{00000000-0006-0000-0400-00008B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M48" authorId="0" shapeId="0" xr:uid="{00000000-0006-0000-0400-00008C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J54" authorId="0" shapeId="0" xr:uid="{00000000-0006-0000-0400-00008D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70" authorId="0" shapeId="0" xr:uid="{00000000-0006-0000-0400-00008E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K70" authorId="0" shapeId="0" xr:uid="{00000000-0006-0000-0400-000091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0" authorId="0" shapeId="0" xr:uid="{00000000-0006-0000-0400-000092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70" authorId="0" shapeId="0" xr:uid="{00000000-0006-0000-0400-000093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N70" authorId="0" shapeId="0" xr:uid="{00000000-0006-0000-0400-000094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0" authorId="0" shapeId="0" xr:uid="{00000000-0006-0000-0400-000095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0" authorId="0" shapeId="0" xr:uid="{00000000-0006-0000-0400-000096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Q70" authorId="0" shapeId="0" xr:uid="{00000000-0006-0000-0400-000097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R70" authorId="0" shapeId="0" xr:uid="{00000000-0006-0000-0400-00009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0" authorId="0" shapeId="0" xr:uid="{00000000-0006-0000-0400-00009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0" authorId="0" shapeId="0" xr:uid="{00000000-0006-0000-0400-00009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70" authorId="0" shapeId="0" xr:uid="{00000000-0006-0000-0400-00009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V70" authorId="0" shapeId="0" xr:uid="{00000000-0006-0000-0400-00009C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70" authorId="0" shapeId="0" xr:uid="{00000000-0006-0000-0400-00009D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70" authorId="0" shapeId="0" xr:uid="{00000000-0006-0000-0400-00009E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Y70" authorId="0" shapeId="0" xr:uid="{00000000-0006-0000-0400-00009F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Z70" authorId="0" shapeId="0" xr:uid="{00000000-0006-0000-0400-0000A0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A70" authorId="0" shapeId="0" xr:uid="{00000000-0006-0000-0400-0000A1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B70" authorId="0" shapeId="0" xr:uid="{00000000-0006-0000-0400-0000A2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70" authorId="0" shapeId="0" xr:uid="{00000000-0006-0000-0400-0000A3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70" authorId="0" shapeId="0" xr:uid="{00000000-0006-0000-0400-0000A4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E70" authorId="0" shapeId="0" xr:uid="{00000000-0006-0000-0400-0000A5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0" authorId="0" shapeId="0" xr:uid="{00000000-0006-0000-0400-0000A6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G70" authorId="0" shapeId="0" xr:uid="{00000000-0006-0000-0400-0000A700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H70" authorId="0" shapeId="0" xr:uid="{00000000-0006-0000-0400-0000A8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I70" authorId="0" shapeId="0" xr:uid="{00000000-0006-0000-0400-0000A900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J70" authorId="0" shapeId="0" xr:uid="{00000000-0006-0000-0400-0000AA00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K70" authorId="0" shapeId="0" xr:uid="{00000000-0006-0000-0400-0000AB00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L70" authorId="0" shapeId="0" xr:uid="{00000000-0006-0000-0400-0000AC00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M70" authorId="0" shapeId="0" xr:uid="{00000000-0006-0000-0400-0000AD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70" authorId="0" shapeId="0" xr:uid="{00000000-0006-0000-0400-0000AE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70" authorId="0" shapeId="0" xr:uid="{00000000-0006-0000-0400-00008F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70" authorId="0" shapeId="0" xr:uid="{00000000-0006-0000-0400-000090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AF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K71" authorId="0" shapeId="0" xr:uid="{00000000-0006-0000-0400-0000B0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L71" authorId="0" shapeId="0" xr:uid="{00000000-0006-0000-0400-0000B1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M71" authorId="0" shapeId="0" xr:uid="{00000000-0006-0000-0400-0000B200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N71" authorId="0" shapeId="0" xr:uid="{00000000-0006-0000-0400-0000B300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O71" authorId="0" shapeId="0" xr:uid="{00000000-0006-0000-0400-0000B400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J73" authorId="0" shapeId="0" xr:uid="{00000000-0006-0000-0400-0000B5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K73" authorId="0" shapeId="0" xr:uid="{00000000-0006-0000-0400-0000B6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B7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M73" authorId="0" shapeId="0" xr:uid="{00000000-0006-0000-0400-0000B8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76" authorId="0" shapeId="0" xr:uid="{00000000-0006-0000-0400-0000B9000000}">
      <text>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76" authorId="0" shapeId="0" xr:uid="{00000000-0006-0000-0400-0000BA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84" authorId="0" shapeId="0" xr:uid="{00000000-0006-0000-0400-0000BB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C3000000}">
      <text>
        <r>
          <rPr>
            <sz val="11"/>
            <rFont val="Calibri"/>
          </rPr>
          <t xml:space="preserve">Ensure </t>
        </r>
        <r>
          <rPr>
            <sz val="11"/>
            <color rgb="FF000000"/>
            <rFont val="Calibri"/>
          </rPr>
          <t>'</t>
        </r>
        <r>
          <rPr>
            <b/>
            <sz val="11"/>
            <color rgb="FF000000"/>
            <rFont val="Calibri"/>
          </rPr>
          <t>Turn off downloading of print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C4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C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C6000000}">
      <text>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O84" authorId="0" shapeId="0" xr:uid="{00000000-0006-0000-0400-0000C7000000}">
      <text>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P84" authorId="0" shapeId="0" xr:uid="{00000000-0006-0000-0400-0000C8000000}">
      <text>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Q84" authorId="0" shapeId="0" xr:uid="{00000000-0006-0000-0400-0000C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4" authorId="0" shapeId="0" xr:uid="{00000000-0006-0000-0400-0000CA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400-0000CB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4" authorId="0" shapeId="0" xr:uid="{00000000-0006-0000-0400-0000CC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4" authorId="0" shapeId="0" xr:uid="{00000000-0006-0000-0400-0000CD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4" authorId="0" shapeId="0" xr:uid="{00000000-0006-0000-0400-0000C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400-0000C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400-0000D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400-0000D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4" authorId="0" shapeId="0" xr:uid="{00000000-0006-0000-0400-0000D2000000}">
      <text>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A84" authorId="0" shapeId="0" xr:uid="{00000000-0006-0000-0400-0000D3000000}">
      <text>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B84" authorId="0" shapeId="0" xr:uid="{00000000-0006-0000-0400-0000D4000000}">
      <text>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C84" authorId="0" shapeId="0" xr:uid="{00000000-0006-0000-0400-0000D5000000}">
      <text>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D84" authorId="0" shapeId="0" xr:uid="{00000000-0006-0000-0400-0000D6000000}">
      <text>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E84" authorId="0" shapeId="0" xr:uid="{00000000-0006-0000-0400-0000D7000000}">
      <text>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F84" authorId="0" shapeId="0" xr:uid="{00000000-0006-0000-0400-0000D8000000}">
      <text>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G84" authorId="0" shapeId="0" xr:uid="{00000000-0006-0000-0400-0000D9000000}">
      <text>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H84" authorId="0" shapeId="0" xr:uid="{00000000-0006-0000-0400-0000DA000000}">
      <text>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I84" authorId="0" shapeId="0" xr:uid="{00000000-0006-0000-0400-0000DB000000}">
      <text>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J84" authorId="0" shapeId="0" xr:uid="{00000000-0006-0000-0400-0000DC000000}">
      <text>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K84" authorId="0" shapeId="0" xr:uid="{00000000-0006-0000-0400-0000DD000000}">
      <text>
        <r>
          <rPr>
            <sz val="11"/>
            <rFont val="Calibri"/>
          </rPr>
          <t xml:space="preserve">Ensure </t>
        </r>
        <r>
          <rPr>
            <sz val="11"/>
            <color rgb="FF000000"/>
            <rFont val="Calibri"/>
          </rPr>
          <t>'</t>
        </r>
        <r>
          <rPr>
            <b/>
            <sz val="11"/>
            <color rgb="FF000000"/>
            <rFont val="Calibri"/>
          </rPr>
          <t>Automatic prompting for file downloads: 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L84" authorId="0" shapeId="0" xr:uid="{00000000-0006-0000-0400-0000DE000000}">
      <text>
        <r>
          <rPr>
            <sz val="11"/>
            <rFont val="Calibri"/>
          </rPr>
          <t xml:space="preserve">Ensure </t>
        </r>
        <r>
          <rPr>
            <sz val="11"/>
            <color rgb="FF000000"/>
            <rFont val="Calibri"/>
          </rPr>
          <t>'</t>
        </r>
        <r>
          <rPr>
            <b/>
            <sz val="11"/>
            <color rgb="FF000000"/>
            <rFont val="Calibri"/>
          </rPr>
          <t>Don't run antimalware programs against ActiveX controls: 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M84" authorId="0" shapeId="0" xr:uid="{00000000-0006-0000-0400-0000DF000000}">
      <text>
        <r>
          <rPr>
            <sz val="11"/>
            <rFont val="Calibri"/>
          </rPr>
          <t xml:space="preserve">Ensure </t>
        </r>
        <r>
          <rPr>
            <sz val="11"/>
            <color rgb="FF000000"/>
            <rFont val="Calibri"/>
          </rPr>
          <t>'</t>
        </r>
        <r>
          <rPr>
            <b/>
            <sz val="11"/>
            <color rgb="FF000000"/>
            <rFont val="Calibri"/>
          </rPr>
          <t>Download signed ActiveX controls: 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N84" authorId="0" shapeId="0" xr:uid="{00000000-0006-0000-0400-0000E0000000}">
      <text>
        <r>
          <rPr>
            <sz val="11"/>
            <rFont val="Calibri"/>
          </rPr>
          <t xml:space="preserve">Ensure </t>
        </r>
        <r>
          <rPr>
            <sz val="11"/>
            <color rgb="FF000000"/>
            <rFont val="Calibri"/>
          </rPr>
          <t>'</t>
        </r>
        <r>
          <rPr>
            <b/>
            <sz val="11"/>
            <color rgb="FF000000"/>
            <rFont val="Calibri"/>
          </rPr>
          <t>Download unsigned ActiveX controls: 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O84" authorId="0" shapeId="0" xr:uid="{00000000-0006-0000-0400-0000E1000000}">
      <text>
        <r>
          <rPr>
            <sz val="11"/>
            <rFont val="Calibri"/>
          </rPr>
          <t xml:space="preserve">Ensure </t>
        </r>
        <r>
          <rPr>
            <sz val="11"/>
            <color rgb="FF000000"/>
            <rFont val="Calibri"/>
          </rPr>
          <t>'</t>
        </r>
        <r>
          <rPr>
            <b/>
            <sz val="11"/>
            <color rgb="FF000000"/>
            <rFont val="Calibri"/>
          </rPr>
          <t>Enable dragging of content from different domains across windows: 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P84" authorId="0" shapeId="0" xr:uid="{00000000-0006-0000-0400-0000E2000000}">
      <text>
        <r>
          <rPr>
            <sz val="11"/>
            <rFont val="Calibri"/>
          </rPr>
          <t xml:space="preserve">Ensure </t>
        </r>
        <r>
          <rPr>
            <sz val="11"/>
            <color rgb="FF000000"/>
            <rFont val="Calibri"/>
          </rPr>
          <t>'</t>
        </r>
        <r>
          <rPr>
            <b/>
            <sz val="11"/>
            <color rgb="FF000000"/>
            <rFont val="Calibri"/>
          </rPr>
          <t>Enable dragging of content from different domains within a window: 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Q84" authorId="0" shapeId="0" xr:uid="{00000000-0006-0000-0400-0000BC000000}">
      <text>
        <r>
          <rPr>
            <sz val="11"/>
            <rFont val="Calibri"/>
          </rPr>
          <t xml:space="preserve">Ensure </t>
        </r>
        <r>
          <rPr>
            <sz val="11"/>
            <color rgb="FF000000"/>
            <rFont val="Calibri"/>
          </rPr>
          <t>'</t>
        </r>
        <r>
          <rPr>
            <b/>
            <sz val="11"/>
            <color rgb="FF000000"/>
            <rFont val="Calibri"/>
          </rPr>
          <t>Include local path when user is uploading files to a server: 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R84" authorId="0" shapeId="0" xr:uid="{00000000-0006-0000-0400-0000BD000000}">
      <text>
        <r>
          <rPr>
            <sz val="11"/>
            <rFont val="Calibri"/>
          </rPr>
          <t xml:space="preserve">Ensure </t>
        </r>
        <r>
          <rPr>
            <sz val="11"/>
            <color rgb="FF000000"/>
            <rFont val="Calibri"/>
          </rPr>
          <t>'</t>
        </r>
        <r>
          <rPr>
            <b/>
            <sz val="11"/>
            <color rgb="FF000000"/>
            <rFont val="Calibri"/>
          </rPr>
          <t>Initialize and script ActiveX controls not marked as safe: 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S84" authorId="0" shapeId="0" xr:uid="{00000000-0006-0000-0400-0000BE000000}">
      <text>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text>
    </comment>
    <comment ref="AT84" authorId="0" shapeId="0" xr:uid="{00000000-0006-0000-0400-0000BF000000}">
      <text>
        <r>
          <rPr>
            <sz val="11"/>
            <rFont val="Calibri"/>
          </rPr>
          <t xml:space="preserve">Ensure </t>
        </r>
        <r>
          <rPr>
            <sz val="11"/>
            <color rgb="FF000000"/>
            <rFont val="Calibri"/>
          </rPr>
          <t>'</t>
        </r>
        <r>
          <rPr>
            <b/>
            <sz val="11"/>
            <color rgb="FF000000"/>
            <rFont val="Calibri"/>
          </rPr>
          <t>Launching applications and files in an IFRAME: 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U84" authorId="0" shapeId="0" xr:uid="{00000000-0006-0000-0400-0000C0000000}">
      <text>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 for user name and password</t>
        </r>
        <r>
          <rPr>
            <sz val="11"/>
            <color rgb="FF000000"/>
            <rFont val="Calibri"/>
          </rPr>
          <t>'</t>
        </r>
      </text>
    </comment>
    <comment ref="AV84" authorId="0" shapeId="0" xr:uid="{00000000-0006-0000-0400-0000C1000000}">
      <text>
        <r>
          <rPr>
            <sz val="11"/>
            <rFont val="Calibri"/>
          </rPr>
          <t xml:space="preserve">Ensure </t>
        </r>
        <r>
          <rPr>
            <sz val="11"/>
            <color rgb="FF000000"/>
            <rFont val="Calibri"/>
          </rPr>
          <t>'</t>
        </r>
        <r>
          <rPr>
            <b/>
            <sz val="11"/>
            <color rgb="FF000000"/>
            <rFont val="Calibri"/>
          </rPr>
          <t>Navigate windows and frames across different domains: 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W84" authorId="0" shapeId="0" xr:uid="{00000000-0006-0000-0400-0000C2000000}">
      <text>
        <r>
          <rPr>
            <sz val="11"/>
            <rFont val="Calibri"/>
          </rPr>
          <t xml:space="preserve">Ensure </t>
        </r>
        <r>
          <rPr>
            <sz val="11"/>
            <color rgb="FF000000"/>
            <rFont val="Calibri"/>
          </rPr>
          <t>'</t>
        </r>
        <r>
          <rPr>
            <b/>
            <sz val="11"/>
            <color rgb="FF000000"/>
            <rFont val="Calibri"/>
          </rPr>
          <t>Run .NET Framework-reliant components not signed with Authenticode: 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J90" authorId="0" shapeId="0" xr:uid="{00000000-0006-0000-0400-0000E3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E4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E5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E6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E7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E8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P90" authorId="0" shapeId="0" xr:uid="{00000000-0006-0000-0400-0000E9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Q90" authorId="0" shapeId="0" xr:uid="{00000000-0006-0000-0400-0000EA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R90" authorId="0" shapeId="0" xr:uid="{00000000-0006-0000-0400-0000EB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S90" authorId="0" shapeId="0" xr:uid="{00000000-0006-0000-0400-0000EC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T90" authorId="0" shapeId="0" xr:uid="{00000000-0006-0000-0400-0000ED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U90" authorId="0" shapeId="0" xr:uid="{00000000-0006-0000-0400-0000EE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V90" authorId="0" shapeId="0" xr:uid="{00000000-0006-0000-0400-0000EF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W90" authorId="0" shapeId="0" xr:uid="{00000000-0006-0000-0400-0000F0000000}">
      <text>
        <r>
          <rPr>
            <sz val="11"/>
            <rFont val="Calibri"/>
          </rPr>
          <t xml:space="preserve">Ensure </t>
        </r>
        <r>
          <rPr>
            <sz val="11"/>
            <color rgb="FF000000"/>
            <rFont val="Calibri"/>
          </rPr>
          <t>'</t>
        </r>
        <r>
          <rPr>
            <b/>
            <sz val="11"/>
            <color rgb="FF000000"/>
            <rFont val="Calibri"/>
          </rPr>
          <t>Cloud Extended Timeout</t>
        </r>
        <r>
          <rPr>
            <sz val="11"/>
            <color rgb="FF000000"/>
            <rFont val="Calibri"/>
          </rPr>
          <t>'</t>
        </r>
        <r>
          <rPr>
            <sz val="11"/>
            <color rgb="FF000000"/>
            <rFont val="Calibri"/>
          </rPr>
          <t xml:space="preserve"> is set to </t>
        </r>
        <r>
          <rPr>
            <sz val="11"/>
            <color rgb="FF000000"/>
            <rFont val="Calibri"/>
          </rPr>
          <t>'</t>
        </r>
        <r>
          <rPr>
            <b/>
            <sz val="11"/>
            <color rgb="FF000000"/>
            <rFont val="Calibri"/>
          </rPr>
          <t>50</t>
        </r>
        <r>
          <rPr>
            <sz val="11"/>
            <color rgb="FF000000"/>
            <rFont val="Calibri"/>
          </rPr>
          <t>'</t>
        </r>
      </text>
    </comment>
    <comment ref="X90" authorId="0" shapeId="0" xr:uid="{00000000-0006-0000-0400-0000F1000000}">
      <text>
        <r>
          <rPr>
            <sz val="11"/>
            <rFont val="Calibri"/>
          </rPr>
          <t xml:space="preserve">Ensure </t>
        </r>
        <r>
          <rPr>
            <sz val="11"/>
            <color rgb="FF000000"/>
            <rFont val="Calibri"/>
          </rPr>
          <t>'</t>
        </r>
        <r>
          <rPr>
            <b/>
            <sz val="11"/>
            <color rgb="FF000000"/>
            <rFont val="Calibri"/>
          </rPr>
          <t>Disable Local Admin Merge</t>
        </r>
        <r>
          <rPr>
            <sz val="11"/>
            <color rgb="FF000000"/>
            <rFont val="Calibri"/>
          </rPr>
          <t>'</t>
        </r>
        <r>
          <rPr>
            <sz val="11"/>
            <color rgb="FF000000"/>
            <rFont val="Calibri"/>
          </rPr>
          <t xml:space="preserve"> is set to </t>
        </r>
        <r>
          <rPr>
            <sz val="11"/>
            <color rgb="FF000000"/>
            <rFont val="Calibri"/>
          </rPr>
          <t>'</t>
        </r>
        <r>
          <rPr>
            <b/>
            <sz val="11"/>
            <color rgb="FF000000"/>
            <rFont val="Calibri"/>
          </rPr>
          <t>Disable Local Admin Merge</t>
        </r>
        <r>
          <rPr>
            <sz val="11"/>
            <color rgb="FF000000"/>
            <rFont val="Calibri"/>
          </rPr>
          <t>'</t>
        </r>
      </text>
    </comment>
    <comment ref="Y90" authorId="0" shapeId="0" xr:uid="{00000000-0006-0000-0400-0000F2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90" authorId="0" shapeId="0" xr:uid="{00000000-0006-0000-0400-0000F3000000}">
      <text>
        <r>
          <rPr>
            <sz val="11"/>
            <rFont val="Calibri"/>
          </rPr>
          <t xml:space="preserve">Ensure </t>
        </r>
        <r>
          <rPr>
            <sz val="11"/>
            <color rgb="FF000000"/>
            <rFont val="Calibri"/>
          </rPr>
          <t>'</t>
        </r>
        <r>
          <rPr>
            <b/>
            <sz val="11"/>
            <color rgb="FF000000"/>
            <rFont val="Calibri"/>
          </rPr>
          <t>Hide Exclusions From Local Admins</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local admins will no longer be able to see the exclusion list in Windows Security App or via PowerShell.</t>
        </r>
        <r>
          <rPr>
            <sz val="11"/>
            <color rgb="FF000000"/>
            <rFont val="Calibri"/>
          </rPr>
          <t>'</t>
        </r>
      </text>
    </comment>
    <comment ref="AA90" authorId="0" shapeId="0" xr:uid="{00000000-0006-0000-0400-0000F4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AB90" authorId="0" shapeId="0" xr:uid="{00000000-0006-0000-0400-0000F5000000}">
      <text>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text>
    </comment>
    <comment ref="AC90" authorId="0" shapeId="0" xr:uid="{00000000-0006-0000-0400-0000F6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D90" authorId="0" shapeId="0" xr:uid="{00000000-0006-0000-0400-0000F7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text>
    </comment>
    <comment ref="AE90" authorId="0" shapeId="0" xr:uid="{00000000-0006-0000-0400-0000F8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J91" authorId="0" shapeId="0" xr:uid="{00000000-0006-0000-0400-0000F9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J94" authorId="0" shapeId="0" xr:uid="{00000000-0006-0000-0400-0000F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FB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L94" authorId="0" shapeId="0" xr:uid="{00000000-0006-0000-0400-0000FC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FD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4" authorId="0" shapeId="0" xr:uid="{00000000-0006-0000-0400-0000FE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4" authorId="0" shapeId="0" xr:uid="{00000000-0006-0000-0400-0000FF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4" authorId="0" shapeId="0" xr:uid="{00000000-0006-0000-0400-00000001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Q94" authorId="0" shapeId="0" xr:uid="{00000000-0006-0000-0400-00000101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R94" authorId="0" shapeId="0" xr:uid="{00000000-0006-0000-0400-00000201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S94" authorId="0" shapeId="0" xr:uid="{00000000-0006-0000-0400-00000301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text>
    </comment>
    <comment ref="T94" authorId="0" shapeId="0" xr:uid="{00000000-0006-0000-0400-000004010000}">
      <text>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text>
    </comment>
    <comment ref="U94" authorId="0" shapeId="0" xr:uid="{00000000-0006-0000-0400-00000501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V94" authorId="0" shapeId="0" xr:uid="{00000000-0006-0000-0400-000006010000}">
      <text>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Hypervisor-Protected Code Integrity with UEFI lock.</t>
        </r>
        <r>
          <rPr>
            <sz val="11"/>
            <color rgb="FF000000"/>
            <rFont val="Calibri"/>
          </rPr>
          <t>'</t>
        </r>
      </text>
    </comment>
    <comment ref="J96" authorId="0" shapeId="0" xr:uid="{00000000-0006-0000-0400-00000701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K96" authorId="0" shapeId="0" xr:uid="{00000000-0006-0000-0400-00000801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L96" authorId="0" shapeId="0" xr:uid="{00000000-0006-0000-0400-00000901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M96" authorId="0" shapeId="0" xr:uid="{00000000-0006-0000-0400-00000A01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N96" authorId="0" shapeId="0" xr:uid="{00000000-0006-0000-0400-00000B01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O96" authorId="0" shapeId="0" xr:uid="{00000000-0006-0000-0400-00000C01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P96" authorId="0" shapeId="0" xr:uid="{00000000-0006-0000-0400-00000D01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Q96" authorId="0" shapeId="0" xr:uid="{00000000-0006-0000-0400-00000E01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R96" authorId="0" shapeId="0" xr:uid="{00000000-0006-0000-0400-00000F01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S96" authorId="0" shapeId="0" xr:uid="{00000000-0006-0000-0400-00001001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T96" authorId="0" shapeId="0" xr:uid="{00000000-0006-0000-0400-00001101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U96" authorId="0" shapeId="0" xr:uid="{00000000-0006-0000-0400-00001201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V96" authorId="0" shapeId="0" xr:uid="{00000000-0006-0000-0400-000013010000}">
      <text>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text>
    </comment>
    <comment ref="J106" authorId="0" shapeId="0" xr:uid="{00000000-0006-0000-0400-000014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6" authorId="0" shapeId="0" xr:uid="{00000000-0006-0000-0400-000015010000}">
      <text>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09" authorId="0" shapeId="0" xr:uid="{00000000-0006-0000-0400-000016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1701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21" authorId="0" shapeId="0" xr:uid="{00000000-0006-0000-0400-00001801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Auth Rate Limiter Delay In Ms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3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15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04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05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text>
    </comment>
    <comment ref="Z4" authorId="0" shapeId="0" xr:uid="{00000000-0006-0000-0500-000014000000}">
      <text>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Hypervisor-Protected Code Integrity with UEFI lock.</t>
        </r>
        <r>
          <rPr>
            <sz val="11"/>
            <color rgb="FF000000"/>
            <rFont val="Calibri"/>
          </rPr>
          <t>'</t>
        </r>
      </text>
    </comment>
    <comment ref="H8" authorId="0" shapeId="0" xr:uid="{00000000-0006-0000-0500-000016000000}">
      <text>
        <r>
          <rPr>
            <sz val="11"/>
            <rFont val="Calibri"/>
          </rPr>
          <t xml:space="preserve">Ensure </t>
        </r>
        <r>
          <rPr>
            <sz val="11"/>
            <color rgb="FF000000"/>
            <rFont val="Calibri"/>
          </rPr>
          <t>'</t>
        </r>
        <r>
          <rPr>
            <b/>
            <sz val="11"/>
            <color rgb="FF000000"/>
            <rFont val="Calibri"/>
          </rPr>
          <t>Allow Direct Memory Access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8" authorId="0" shapeId="0" xr:uid="{00000000-0006-0000-0500-00001700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J8" authorId="0" shapeId="0" xr:uid="{00000000-0006-0000-0500-00001800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K8" authorId="0" shapeId="0" xr:uid="{00000000-0006-0000-0500-00001900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L8" authorId="0" shapeId="0" xr:uid="{00000000-0006-0000-0500-00001A00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M8" authorId="0" shapeId="0" xr:uid="{00000000-0006-0000-0500-00001B00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N8" authorId="0" shapeId="0" xr:uid="{00000000-0006-0000-0500-00001C00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O8" authorId="0" shapeId="0" xr:uid="{00000000-0006-0000-0500-00001D00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P8" authorId="0" shapeId="0" xr:uid="{00000000-0006-0000-0500-00001E00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Q8" authorId="0" shapeId="0" xr:uid="{00000000-0006-0000-0500-00001F00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R8" authorId="0" shapeId="0" xr:uid="{00000000-0006-0000-0500-00002000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S8" authorId="0" shapeId="0" xr:uid="{00000000-0006-0000-0500-00002100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T8" authorId="0" shapeId="0" xr:uid="{00000000-0006-0000-0500-00002200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U8" authorId="0" shapeId="0" xr:uid="{00000000-0006-0000-0500-000023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H9" authorId="0" shapeId="0" xr:uid="{00000000-0006-0000-0500-00002400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H11" authorId="0" shapeId="0" xr:uid="{00000000-0006-0000-0500-000025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26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J11" authorId="0" shapeId="0" xr:uid="{00000000-0006-0000-0500-000027000000}">
      <text>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text>
    </comment>
    <comment ref="K11" authorId="0" shapeId="0" xr:uid="{00000000-0006-0000-0500-00002800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H14" authorId="0" shapeId="0" xr:uid="{00000000-0006-0000-0500-000029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14" authorId="0" shapeId="0" xr:uid="{00000000-0006-0000-0500-00002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B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4" authorId="0" shapeId="0" xr:uid="{00000000-0006-0000-0500-00002C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H16" authorId="0" shapeId="0" xr:uid="{00000000-0006-0000-0500-00002D000000}">
      <text>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I16" authorId="0" shapeId="0" xr:uid="{00000000-0006-0000-0500-00002E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16" authorId="0" shapeId="0" xr:uid="{00000000-0006-0000-0500-00002F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K16" authorId="0" shapeId="0" xr:uid="{00000000-0006-0000-0500-000030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L16" authorId="0" shapeId="0" xr:uid="{00000000-0006-0000-0500-000031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3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3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34000000}">
      <text>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6" authorId="0" shapeId="0" xr:uid="{00000000-0006-0000-0500-00003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3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3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3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3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3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3B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I18" authorId="0" shapeId="0" xr:uid="{00000000-0006-0000-0500-00003C00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J18" authorId="0" shapeId="0" xr:uid="{00000000-0006-0000-0500-00003D00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K18" authorId="0" shapeId="0" xr:uid="{00000000-0006-0000-0500-00003E00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L18" authorId="0" shapeId="0" xr:uid="{00000000-0006-0000-0500-00003F00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M18" authorId="0" shapeId="0" xr:uid="{00000000-0006-0000-0500-00004000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N18" authorId="0" shapeId="0" xr:uid="{00000000-0006-0000-0500-00004100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O18" authorId="0" shapeId="0" xr:uid="{00000000-0006-0000-0500-00004200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P18" authorId="0" shapeId="0" xr:uid="{00000000-0006-0000-0500-00004300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Q18" authorId="0" shapeId="0" xr:uid="{00000000-0006-0000-0500-00004400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R18" authorId="0" shapeId="0" xr:uid="{00000000-0006-0000-0500-00004500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S18" authorId="0" shapeId="0" xr:uid="{00000000-0006-0000-0500-00004600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T18" authorId="0" shapeId="0" xr:uid="{00000000-0006-0000-0500-00004700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U18" authorId="0" shapeId="0" xr:uid="{00000000-0006-0000-0500-00004800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H19" authorId="0" shapeId="0" xr:uid="{00000000-0006-0000-0500-000049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4A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20" authorId="0" shapeId="0" xr:uid="{00000000-0006-0000-0500-00004B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20" authorId="0" shapeId="0" xr:uid="{00000000-0006-0000-0500-00004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500-00004D000000}">
      <text>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text>
    </comment>
    <comment ref="L20" authorId="0" shapeId="0" xr:uid="{00000000-0006-0000-0500-00004E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M20" authorId="0" shapeId="0" xr:uid="{00000000-0006-0000-0500-00004F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N20" authorId="0" shapeId="0" xr:uid="{00000000-0006-0000-0500-000050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O20" authorId="0" shapeId="0" xr:uid="{00000000-0006-0000-0500-000051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3.0.0</t>
        </r>
        <r>
          <rPr>
            <sz val="11"/>
            <color rgb="FF000000"/>
            <rFont val="Calibri"/>
          </rPr>
          <t>'</t>
        </r>
      </text>
    </comment>
    <comment ref="P20" authorId="0" shapeId="0" xr:uid="{00000000-0006-0000-0500-000052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Q20" authorId="0" shapeId="0" xr:uid="{00000000-0006-0000-0500-000053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 authorId="0" shapeId="0" xr:uid="{00000000-0006-0000-0500-000054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S20" authorId="0" shapeId="0" xr:uid="{00000000-0006-0000-0500-000055000000}">
      <text>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T20" authorId="0" shapeId="0" xr:uid="{00000000-0006-0000-0500-000056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1" authorId="0" shapeId="0" xr:uid="{00000000-0006-0000-0500-000057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58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59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5A000000}">
      <text>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L21" authorId="0" shapeId="0" xr:uid="{00000000-0006-0000-0500-00005B00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1" authorId="0" shapeId="0" xr:uid="{00000000-0006-0000-0500-00005C000000}">
      <text>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4" authorId="0" shapeId="0" xr:uid="{00000000-0006-0000-0500-00005D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7" authorId="0" shapeId="0" xr:uid="{00000000-0006-0000-0500-00005E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5F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6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500-000061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62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500-000063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7" authorId="0" shapeId="0" xr:uid="{00000000-0006-0000-0500-000064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O27" authorId="0" shapeId="0" xr:uid="{00000000-0006-0000-0500-000065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H29" authorId="0" shapeId="0" xr:uid="{00000000-0006-0000-0500-000066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 authorId="0" shapeId="0" xr:uid="{00000000-0006-0000-0500-000067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9" authorId="0" shapeId="0" xr:uid="{00000000-0006-0000-0500-000068000000}">
      <text>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29" authorId="0" shapeId="0" xr:uid="{00000000-0006-0000-0500-000069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L29" authorId="0" shapeId="0" xr:uid="{00000000-0006-0000-0500-00006A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M29" authorId="0" shapeId="0" xr:uid="{00000000-0006-0000-0500-00006B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N29" authorId="0" shapeId="0" xr:uid="{00000000-0006-0000-0500-00006C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H31" authorId="0" shapeId="0" xr:uid="{00000000-0006-0000-0500-00006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75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 authorId="0" shapeId="0" xr:uid="{00000000-0006-0000-0500-000076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31" authorId="0" shapeId="0" xr:uid="{00000000-0006-0000-0500-00007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31" authorId="0" shapeId="0" xr:uid="{00000000-0006-0000-0500-00007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M31" authorId="0" shapeId="0" xr:uid="{00000000-0006-0000-0500-000079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N31" authorId="0" shapeId="0" xr:uid="{00000000-0006-0000-0500-00007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B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P31" authorId="0" shapeId="0" xr:uid="{00000000-0006-0000-0500-00007C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1" authorId="0" shapeId="0" xr:uid="{00000000-0006-0000-0500-00007D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1" authorId="0" shapeId="0" xr:uid="{00000000-0006-0000-0500-00007E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1" authorId="0" shapeId="0" xr:uid="{00000000-0006-0000-0500-00007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T31" authorId="0" shapeId="0" xr:uid="{00000000-0006-0000-0500-000080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U31" authorId="0" shapeId="0" xr:uid="{00000000-0006-0000-0500-00008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V31" authorId="0" shapeId="0" xr:uid="{00000000-0006-0000-0500-000082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W31" authorId="0" shapeId="0" xr:uid="{00000000-0006-0000-0500-000083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X31" authorId="0" shapeId="0" xr:uid="{00000000-0006-0000-0500-000084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t>
        </r>
        <r>
          <rPr>
            <sz val="11"/>
            <color rgb="FF000000"/>
            <rFont val="Calibri"/>
          </rPr>
          <t>'</t>
        </r>
      </text>
    </comment>
    <comment ref="Y31" authorId="0" shapeId="0" xr:uid="{00000000-0006-0000-0500-000085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Z31" authorId="0" shapeId="0" xr:uid="{00000000-0006-0000-0500-00008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A31" authorId="0" shapeId="0" xr:uid="{00000000-0006-0000-0500-00006E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B31" authorId="0" shapeId="0" xr:uid="{00000000-0006-0000-0500-00006F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C31" authorId="0" shapeId="0" xr:uid="{00000000-0006-0000-0500-00007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D31" authorId="0" shapeId="0" xr:uid="{00000000-0006-0000-0500-000071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E31" authorId="0" shapeId="0" xr:uid="{00000000-0006-0000-0500-000072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F31" authorId="0" shapeId="0" xr:uid="{00000000-0006-0000-0500-000073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AG31" authorId="0" shapeId="0" xr:uid="{00000000-0006-0000-0500-000074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H32" authorId="0" shapeId="0" xr:uid="{00000000-0006-0000-0500-000087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2" authorId="0" shapeId="0" xr:uid="{00000000-0006-0000-0500-00008800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H37" authorId="0" shapeId="0" xr:uid="{00000000-0006-0000-0500-00008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98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99000000}">
      <text>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K37" authorId="0" shapeId="0" xr:uid="{00000000-0006-0000-0500-00009A000000}">
      <text>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L37" authorId="0" shapeId="0" xr:uid="{00000000-0006-0000-0500-00009B000000}">
      <text>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37" authorId="0" shapeId="0" xr:uid="{00000000-0006-0000-0500-00009C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500-00009D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9E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500-00009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500-0000A0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500-0000A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500-0000A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500-0000A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500-0000A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500-0000A5000000}">
      <text>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W37" authorId="0" shapeId="0" xr:uid="{00000000-0006-0000-0500-0000A6000000}">
      <text>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X37" authorId="0" shapeId="0" xr:uid="{00000000-0006-0000-0500-0000A7000000}">
      <text>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Y37" authorId="0" shapeId="0" xr:uid="{00000000-0006-0000-0500-0000A8000000}">
      <text>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Z37" authorId="0" shapeId="0" xr:uid="{00000000-0006-0000-0500-0000A9000000}">
      <text>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A37" authorId="0" shapeId="0" xr:uid="{00000000-0006-0000-0500-0000AA000000}">
      <text>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B37" authorId="0" shapeId="0" xr:uid="{00000000-0006-0000-0500-0000AB000000}">
      <text>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C37" authorId="0" shapeId="0" xr:uid="{00000000-0006-0000-0500-0000AC000000}">
      <text>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D37" authorId="0" shapeId="0" xr:uid="{00000000-0006-0000-0500-0000AD000000}">
      <text>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E37" authorId="0" shapeId="0" xr:uid="{00000000-0006-0000-0500-0000AE000000}">
      <text>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F37" authorId="0" shapeId="0" xr:uid="{00000000-0006-0000-0500-0000AF000000}">
      <text>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G37" authorId="0" shapeId="0" xr:uid="{00000000-0006-0000-0500-0000B0000000}">
      <text>
        <r>
          <rPr>
            <sz val="11"/>
            <rFont val="Calibri"/>
          </rPr>
          <t xml:space="preserve">Ensure </t>
        </r>
        <r>
          <rPr>
            <sz val="11"/>
            <color rgb="FF000000"/>
            <rFont val="Calibri"/>
          </rPr>
          <t>'</t>
        </r>
        <r>
          <rPr>
            <b/>
            <sz val="11"/>
            <color rgb="FF000000"/>
            <rFont val="Calibri"/>
          </rPr>
          <t>Automatic prompting for file downloads: 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H37" authorId="0" shapeId="0" xr:uid="{00000000-0006-0000-0500-00008A000000}">
      <text>
        <r>
          <rPr>
            <sz val="11"/>
            <rFont val="Calibri"/>
          </rPr>
          <t xml:space="preserve">Ensure </t>
        </r>
        <r>
          <rPr>
            <sz val="11"/>
            <color rgb="FF000000"/>
            <rFont val="Calibri"/>
          </rPr>
          <t>'</t>
        </r>
        <r>
          <rPr>
            <b/>
            <sz val="11"/>
            <color rgb="FF000000"/>
            <rFont val="Calibri"/>
          </rPr>
          <t>Don't run antimalware programs against ActiveX controls: 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I37" authorId="0" shapeId="0" xr:uid="{00000000-0006-0000-0500-00008B000000}">
      <text>
        <r>
          <rPr>
            <sz val="11"/>
            <rFont val="Calibri"/>
          </rPr>
          <t xml:space="preserve">Ensure </t>
        </r>
        <r>
          <rPr>
            <sz val="11"/>
            <color rgb="FF000000"/>
            <rFont val="Calibri"/>
          </rPr>
          <t>'</t>
        </r>
        <r>
          <rPr>
            <b/>
            <sz val="11"/>
            <color rgb="FF000000"/>
            <rFont val="Calibri"/>
          </rPr>
          <t>Download signed ActiveX controls: 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J37" authorId="0" shapeId="0" xr:uid="{00000000-0006-0000-0500-00008C000000}">
      <text>
        <r>
          <rPr>
            <sz val="11"/>
            <rFont val="Calibri"/>
          </rPr>
          <t xml:space="preserve">Ensure </t>
        </r>
        <r>
          <rPr>
            <sz val="11"/>
            <color rgb="FF000000"/>
            <rFont val="Calibri"/>
          </rPr>
          <t>'</t>
        </r>
        <r>
          <rPr>
            <b/>
            <sz val="11"/>
            <color rgb="FF000000"/>
            <rFont val="Calibri"/>
          </rPr>
          <t>Download unsigned ActiveX controls: 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K37" authorId="0" shapeId="0" xr:uid="{00000000-0006-0000-0500-00008D000000}">
      <text>
        <r>
          <rPr>
            <sz val="11"/>
            <rFont val="Calibri"/>
          </rPr>
          <t xml:space="preserve">Ensure </t>
        </r>
        <r>
          <rPr>
            <sz val="11"/>
            <color rgb="FF000000"/>
            <rFont val="Calibri"/>
          </rPr>
          <t>'</t>
        </r>
        <r>
          <rPr>
            <b/>
            <sz val="11"/>
            <color rgb="FF000000"/>
            <rFont val="Calibri"/>
          </rPr>
          <t>Enable dragging of content from different domains across windows: 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L37" authorId="0" shapeId="0" xr:uid="{00000000-0006-0000-0500-00008E000000}">
      <text>
        <r>
          <rPr>
            <sz val="11"/>
            <rFont val="Calibri"/>
          </rPr>
          <t xml:space="preserve">Ensure </t>
        </r>
        <r>
          <rPr>
            <sz val="11"/>
            <color rgb="FF000000"/>
            <rFont val="Calibri"/>
          </rPr>
          <t>'</t>
        </r>
        <r>
          <rPr>
            <b/>
            <sz val="11"/>
            <color rgb="FF000000"/>
            <rFont val="Calibri"/>
          </rPr>
          <t>Enable dragging of content from different domains within a window: 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M37" authorId="0" shapeId="0" xr:uid="{00000000-0006-0000-0500-00008F000000}">
      <text>
        <r>
          <rPr>
            <sz val="11"/>
            <rFont val="Calibri"/>
          </rPr>
          <t xml:space="preserve">Ensure </t>
        </r>
        <r>
          <rPr>
            <sz val="11"/>
            <color rgb="FF000000"/>
            <rFont val="Calibri"/>
          </rPr>
          <t>'</t>
        </r>
        <r>
          <rPr>
            <b/>
            <sz val="11"/>
            <color rgb="FF000000"/>
            <rFont val="Calibri"/>
          </rPr>
          <t>Include local path when user is uploading files to a server: 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N37" authorId="0" shapeId="0" xr:uid="{00000000-0006-0000-0500-000090000000}">
      <text>
        <r>
          <rPr>
            <sz val="11"/>
            <rFont val="Calibri"/>
          </rPr>
          <t xml:space="preserve">Ensure </t>
        </r>
        <r>
          <rPr>
            <sz val="11"/>
            <color rgb="FF000000"/>
            <rFont val="Calibri"/>
          </rPr>
          <t>'</t>
        </r>
        <r>
          <rPr>
            <b/>
            <sz val="11"/>
            <color rgb="FF000000"/>
            <rFont val="Calibri"/>
          </rPr>
          <t>Initialize and script ActiveX controls not marked as safe: 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O37" authorId="0" shapeId="0" xr:uid="{00000000-0006-0000-0500-000091000000}">
      <text>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text>
    </comment>
    <comment ref="AP37" authorId="0" shapeId="0" xr:uid="{00000000-0006-0000-0500-000092000000}">
      <text>
        <r>
          <rPr>
            <sz val="11"/>
            <rFont val="Calibri"/>
          </rPr>
          <t xml:space="preserve">Ensure </t>
        </r>
        <r>
          <rPr>
            <sz val="11"/>
            <color rgb="FF000000"/>
            <rFont val="Calibri"/>
          </rPr>
          <t>'</t>
        </r>
        <r>
          <rPr>
            <b/>
            <sz val="11"/>
            <color rgb="FF000000"/>
            <rFont val="Calibri"/>
          </rPr>
          <t>Launching applications and files in an IFRAME: 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Q37" authorId="0" shapeId="0" xr:uid="{00000000-0006-0000-0500-000093000000}">
      <text>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 for user name and password</t>
        </r>
        <r>
          <rPr>
            <sz val="11"/>
            <color rgb="FF000000"/>
            <rFont val="Calibri"/>
          </rPr>
          <t>'</t>
        </r>
      </text>
    </comment>
    <comment ref="AR37" authorId="0" shapeId="0" xr:uid="{00000000-0006-0000-0500-000094000000}">
      <text>
        <r>
          <rPr>
            <sz val="11"/>
            <rFont val="Calibri"/>
          </rPr>
          <t xml:space="preserve">Ensure </t>
        </r>
        <r>
          <rPr>
            <sz val="11"/>
            <color rgb="FF000000"/>
            <rFont val="Calibri"/>
          </rPr>
          <t>'</t>
        </r>
        <r>
          <rPr>
            <b/>
            <sz val="11"/>
            <color rgb="FF000000"/>
            <rFont val="Calibri"/>
          </rPr>
          <t>Navigate windows and frames across different domains: 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S37" authorId="0" shapeId="0" xr:uid="{00000000-0006-0000-0500-000095000000}">
      <text>
        <r>
          <rPr>
            <sz val="11"/>
            <rFont val="Calibri"/>
          </rPr>
          <t xml:space="preserve">Ensure </t>
        </r>
        <r>
          <rPr>
            <sz val="11"/>
            <color rgb="FF000000"/>
            <rFont val="Calibri"/>
          </rPr>
          <t>'</t>
        </r>
        <r>
          <rPr>
            <b/>
            <sz val="11"/>
            <color rgb="FF000000"/>
            <rFont val="Calibri"/>
          </rPr>
          <t>Run .NET Framework-reliant components not signed with Authenticode: 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T37" authorId="0" shapeId="0" xr:uid="{00000000-0006-0000-0500-000096000000}">
      <text>
        <r>
          <rPr>
            <sz val="11"/>
            <rFont val="Calibri"/>
          </rPr>
          <t xml:space="preserve">Ensure </t>
        </r>
        <r>
          <rPr>
            <sz val="11"/>
            <color rgb="FF000000"/>
            <rFont val="Calibri"/>
          </rPr>
          <t>'</t>
        </r>
        <r>
          <rPr>
            <b/>
            <sz val="11"/>
            <color rgb="FF000000"/>
            <rFont val="Calibri"/>
          </rPr>
          <t>Run .NET Framework-reliant components signed with Authenticode: 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U37" authorId="0" shapeId="0" xr:uid="{00000000-0006-0000-0500-000097000000}">
      <text>
        <r>
          <rPr>
            <sz val="11"/>
            <rFont val="Calibri"/>
          </rPr>
          <t xml:space="preserve">Ensure </t>
        </r>
        <r>
          <rPr>
            <sz val="11"/>
            <color rgb="FF000000"/>
            <rFont val="Calibri"/>
          </rPr>
          <t>'</t>
        </r>
        <r>
          <rPr>
            <b/>
            <sz val="11"/>
            <color rgb="FF000000"/>
            <rFont val="Calibri"/>
          </rPr>
          <t>Show security warning for potentially unsafe files: Launching programs and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text>
    </comment>
    <comment ref="H44" authorId="0" shapeId="0" xr:uid="{00000000-0006-0000-0500-0000B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44" authorId="0" shapeId="0" xr:uid="{00000000-0006-0000-0500-0000B2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500-0000B3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4" authorId="0" shapeId="0" xr:uid="{00000000-0006-0000-0500-0000B4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4" authorId="0" shapeId="0" xr:uid="{00000000-0006-0000-0500-0000B5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600-000010000000}">
      <text>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J7" authorId="0" shapeId="0" xr:uid="{00000000-0006-0000-0600-00001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E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 authorId="0" shapeId="0" xr:uid="{00000000-0006-0000-0600-00001F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7" authorId="0" shapeId="0" xr:uid="{00000000-0006-0000-0600-000020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N7" authorId="0" shapeId="0" xr:uid="{00000000-0006-0000-0600-00002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O7" authorId="0" shapeId="0" xr:uid="{00000000-0006-0000-0600-00002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P7" authorId="0" shapeId="0" xr:uid="{00000000-0006-0000-0600-000023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Q7" authorId="0" shapeId="0" xr:uid="{00000000-0006-0000-0600-00002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 authorId="0" shapeId="0" xr:uid="{00000000-0006-0000-0600-000025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S7" authorId="0" shapeId="0" xr:uid="{00000000-0006-0000-0600-000026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7" authorId="0" shapeId="0" xr:uid="{00000000-0006-0000-0600-000027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7" authorId="0" shapeId="0" xr:uid="{00000000-0006-0000-0600-000028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 authorId="0" shapeId="0" xr:uid="{00000000-0006-0000-0600-000029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W7" authorId="0" shapeId="0" xr:uid="{00000000-0006-0000-0600-00002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X7" authorId="0" shapeId="0" xr:uid="{00000000-0006-0000-0600-000012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Y7" authorId="0" shapeId="0" xr:uid="{00000000-0006-0000-0600-000013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Z7" authorId="0" shapeId="0" xr:uid="{00000000-0006-0000-0600-000014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t>
        </r>
        <r>
          <rPr>
            <sz val="11"/>
            <color rgb="FF000000"/>
            <rFont val="Calibri"/>
          </rPr>
          <t>'</t>
        </r>
      </text>
    </comment>
    <comment ref="AA7" authorId="0" shapeId="0" xr:uid="{00000000-0006-0000-0600-000015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B7" authorId="0" shapeId="0" xr:uid="{00000000-0006-0000-0600-00001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C7" authorId="0" shapeId="0" xr:uid="{00000000-0006-0000-0600-000017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D7" authorId="0" shapeId="0" xr:uid="{00000000-0006-0000-0600-000018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E7" authorId="0" shapeId="0" xr:uid="{00000000-0006-0000-0600-00001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F7" authorId="0" shapeId="0" xr:uid="{00000000-0006-0000-0600-00001A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G7" authorId="0" shapeId="0" xr:uid="{00000000-0006-0000-0600-00001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H7" authorId="0" shapeId="0" xr:uid="{00000000-0006-0000-0600-00001C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I7" authorId="0" shapeId="0" xr:uid="{00000000-0006-0000-0600-00001D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J12" authorId="0" shapeId="0" xr:uid="{00000000-0006-0000-0600-00002B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2" authorId="0" shapeId="0" xr:uid="{00000000-0006-0000-0600-00002C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2" authorId="0" shapeId="0" xr:uid="{00000000-0006-0000-0600-00002D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E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2" authorId="0" shapeId="0" xr:uid="{00000000-0006-0000-0600-00002F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2" authorId="0" shapeId="0" xr:uid="{00000000-0006-0000-0600-000030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31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32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2" authorId="0" shapeId="0" xr:uid="{00000000-0006-0000-0600-000033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2" authorId="0" shapeId="0" xr:uid="{00000000-0006-0000-0600-00003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T12" authorId="0" shapeId="0" xr:uid="{00000000-0006-0000-0600-000035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U12" authorId="0" shapeId="0" xr:uid="{00000000-0006-0000-0600-000036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Force deny. Windows apps cannot be activated by voice while the screen is locked, and users cannot change it.</t>
        </r>
        <r>
          <rPr>
            <sz val="11"/>
            <color rgb="FF000000"/>
            <rFont val="Calibri"/>
          </rPr>
          <t>'</t>
        </r>
      </text>
    </comment>
    <comment ref="V12" authorId="0" shapeId="0" xr:uid="{00000000-0006-0000-0600-000037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Ink workspace is enabled (feature is turned on), but the user cannot access it above the lock screen.</t>
        </r>
        <r>
          <rPr>
            <sz val="11"/>
            <color rgb="FF000000"/>
            <rFont val="Calibri"/>
          </rPr>
          <t>'</t>
        </r>
      </text>
    </comment>
    <comment ref="J23" authorId="0" shapeId="0" xr:uid="{00000000-0006-0000-0600-000038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K23" authorId="0" shapeId="0" xr:uid="{00000000-0006-0000-0600-000047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L23" authorId="0" shapeId="0" xr:uid="{00000000-0006-0000-0600-000048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M23" authorId="0" shapeId="0" xr:uid="{00000000-0006-0000-0600-000049000000}">
      <text>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23" authorId="0" shapeId="0" xr:uid="{00000000-0006-0000-0600-00004A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O23" authorId="0" shapeId="0" xr:uid="{00000000-0006-0000-0600-00004B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23" authorId="0" shapeId="0" xr:uid="{00000000-0006-0000-0600-00004C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4D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R23" authorId="0" shapeId="0" xr:uid="{00000000-0006-0000-0600-00004E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4F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23" authorId="0" shapeId="0" xr:uid="{00000000-0006-0000-0600-000050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U23" authorId="0" shapeId="0" xr:uid="{00000000-0006-0000-0600-000051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V23" authorId="0" shapeId="0" xr:uid="{00000000-0006-0000-0600-000052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23" authorId="0" shapeId="0" xr:uid="{00000000-0006-0000-0600-000053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23" authorId="0" shapeId="0" xr:uid="{00000000-0006-0000-0600-000054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23" authorId="0" shapeId="0" xr:uid="{00000000-0006-0000-0600-000055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Z23" authorId="0" shapeId="0" xr:uid="{00000000-0006-0000-0600-000056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57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23" authorId="0" shapeId="0" xr:uid="{00000000-0006-0000-0600-000058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23" authorId="0" shapeId="0" xr:uid="{00000000-0006-0000-0600-000059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D23" authorId="0" shapeId="0" xr:uid="{00000000-0006-0000-0600-00005A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E23" authorId="0" shapeId="0" xr:uid="{00000000-0006-0000-0600-00005B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F23" authorId="0" shapeId="0" xr:uid="{00000000-0006-0000-0600-00005C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G23" authorId="0" shapeId="0" xr:uid="{00000000-0006-0000-0600-00005D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23" authorId="0" shapeId="0" xr:uid="{00000000-0006-0000-0600-00005E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I23" authorId="0" shapeId="0" xr:uid="{00000000-0006-0000-0600-00005F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J23" authorId="0" shapeId="0" xr:uid="{00000000-0006-0000-0600-000039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K23" authorId="0" shapeId="0" xr:uid="{00000000-0006-0000-0600-00003A00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L23" authorId="0" shapeId="0" xr:uid="{00000000-0006-0000-0600-00003B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M23" authorId="0" shapeId="0" xr:uid="{00000000-0006-0000-0600-00003C00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N23" authorId="0" shapeId="0" xr:uid="{00000000-0006-0000-0600-00003D00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O23" authorId="0" shapeId="0" xr:uid="{00000000-0006-0000-0600-00003E00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P23" authorId="0" shapeId="0" xr:uid="{00000000-0006-0000-0600-00003F00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Q23" authorId="0" shapeId="0" xr:uid="{00000000-0006-0000-0600-00004000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R23" authorId="0" shapeId="0" xr:uid="{00000000-0006-0000-0600-00004100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S23" authorId="0" shapeId="0" xr:uid="{00000000-0006-0000-0600-00004200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T23" authorId="0" shapeId="0" xr:uid="{00000000-0006-0000-0600-000043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3" authorId="0" shapeId="0" xr:uid="{00000000-0006-0000-0600-000044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23" authorId="0" shapeId="0" xr:uid="{00000000-0006-0000-0600-000045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23" authorId="0" shapeId="0" xr:uid="{00000000-0006-0000-0600-000046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 authorId="0" shapeId="0" xr:uid="{00000000-0006-0000-0600-000060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K24" authorId="0" shapeId="0" xr:uid="{00000000-0006-0000-0600-000061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2" authorId="0" shapeId="0" xr:uid="{00000000-0006-0000-0600-000062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2" authorId="0" shapeId="0" xr:uid="{00000000-0006-0000-0600-000063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37" authorId="0" shapeId="0" xr:uid="{00000000-0006-0000-0600-000064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37" authorId="0" shapeId="0" xr:uid="{00000000-0006-0000-0600-00006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6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M37" authorId="0" shapeId="0" xr:uid="{00000000-0006-0000-0600-000067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N37" authorId="0" shapeId="0" xr:uid="{00000000-0006-0000-0600-000068000000}">
      <text>
        <r>
          <rPr>
            <sz val="11"/>
            <rFont val="Calibri"/>
          </rPr>
          <t xml:space="preserve">Ensure </t>
        </r>
        <r>
          <rPr>
            <sz val="11"/>
            <color rgb="FF000000"/>
            <rFont val="Calibri"/>
          </rPr>
          <t>'</t>
        </r>
        <r>
          <rPr>
            <b/>
            <sz val="11"/>
            <color rgb="FF000000"/>
            <rFont val="Calibri"/>
          </rPr>
          <t>Allow Game DVR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37" authorId="0" shapeId="0" xr:uid="{00000000-0006-0000-0600-000069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6A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6B000000}">
      <text>
        <r>
          <rPr>
            <sz val="11"/>
            <rFont val="Calibri"/>
          </rPr>
          <t xml:space="preserve">Ensure </t>
        </r>
        <r>
          <rPr>
            <sz val="11"/>
            <color rgb="FF000000"/>
            <rFont val="Calibri"/>
          </rPr>
          <t>'</t>
        </r>
        <r>
          <rPr>
            <b/>
            <sz val="11"/>
            <color rgb="FF000000"/>
            <rFont val="Calibri"/>
          </rPr>
          <t>Configure Xbox Accessory Management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6C000000}">
      <text>
        <r>
          <rPr>
            <sz val="11"/>
            <rFont val="Calibri"/>
          </rPr>
          <t xml:space="preserve">Ensure </t>
        </r>
        <r>
          <rPr>
            <sz val="11"/>
            <color rgb="FF000000"/>
            <rFont val="Calibri"/>
          </rPr>
          <t>'</t>
        </r>
        <r>
          <rPr>
            <b/>
            <sz val="11"/>
            <color rgb="FF000000"/>
            <rFont val="Calibri"/>
          </rPr>
          <t>Configure Xbox Live Auth Manager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6D000000}">
      <text>
        <r>
          <rPr>
            <sz val="11"/>
            <rFont val="Calibri"/>
          </rPr>
          <t xml:space="preserve">Ensure </t>
        </r>
        <r>
          <rPr>
            <sz val="11"/>
            <color rgb="FF000000"/>
            <rFont val="Calibri"/>
          </rPr>
          <t>'</t>
        </r>
        <r>
          <rPr>
            <b/>
            <sz val="11"/>
            <color rgb="FF000000"/>
            <rFont val="Calibri"/>
          </rPr>
          <t>Configure Xbox Live Game Save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6E000000}">
      <text>
        <r>
          <rPr>
            <sz val="11"/>
            <rFont val="Calibri"/>
          </rPr>
          <t xml:space="preserve">Ensure </t>
        </r>
        <r>
          <rPr>
            <sz val="11"/>
            <color rgb="FF000000"/>
            <rFont val="Calibri"/>
          </rPr>
          <t>'</t>
        </r>
        <r>
          <rPr>
            <b/>
            <sz val="11"/>
            <color rgb="FF000000"/>
            <rFont val="Calibri"/>
          </rPr>
          <t>Configure Xbox Live Networking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6F000000}">
      <text>
        <r>
          <rPr>
            <sz val="11"/>
            <rFont val="Calibri"/>
          </rPr>
          <t xml:space="preserve">Ensure </t>
        </r>
        <r>
          <rPr>
            <sz val="11"/>
            <color rgb="FF000000"/>
            <rFont val="Calibri"/>
          </rPr>
          <t>'</t>
        </r>
        <r>
          <rPr>
            <b/>
            <sz val="11"/>
            <color rgb="FF000000"/>
            <rFont val="Calibri"/>
          </rPr>
          <t>Enable Xbox Game Save 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70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71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600-000072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3" authorId="0" shapeId="0" xr:uid="{00000000-0006-0000-0600-000073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N43" authorId="0" shapeId="0" xr:uid="{00000000-0006-0000-0600-000074000000}">
      <text>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text>
    </comment>
    <comment ref="O43" authorId="0" shapeId="0" xr:uid="{00000000-0006-0000-0600-000075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J48" authorId="0" shapeId="0" xr:uid="{00000000-0006-0000-0600-000076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8" authorId="0" shapeId="0" xr:uid="{00000000-0006-0000-0600-000077000000}">
      <text>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48" authorId="0" shapeId="0" xr:uid="{00000000-0006-0000-0600-000078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M48" authorId="0" shapeId="0" xr:uid="{00000000-0006-0000-0600-000079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N48" authorId="0" shapeId="0" xr:uid="{00000000-0006-0000-0600-00007A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B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88" authorId="0" shapeId="0" xr:uid="{00000000-0006-0000-0600-00007C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88" authorId="0" shapeId="0" xr:uid="{00000000-0006-0000-0600-00007D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8" authorId="0" shapeId="0" xr:uid="{00000000-0006-0000-0600-00007E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8" authorId="0" shapeId="0" xr:uid="{00000000-0006-0000-0600-00007F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8" authorId="0" shapeId="0" xr:uid="{00000000-0006-0000-0600-000080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8" authorId="0" shapeId="0" xr:uid="{00000000-0006-0000-0600-000081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Q88" authorId="0" shapeId="0" xr:uid="{00000000-0006-0000-0600-000082000000}">
      <text>
        <r>
          <rPr>
            <sz val="11"/>
            <rFont val="Calibri"/>
          </rPr>
          <t xml:space="preserve">Ensure </t>
        </r>
        <r>
          <rPr>
            <sz val="11"/>
            <color rgb="FF000000"/>
            <rFont val="Calibri"/>
          </rPr>
          <t>'</t>
        </r>
        <r>
          <rPr>
            <b/>
            <sz val="11"/>
            <color rgb="FF000000"/>
            <rFont val="Calibri"/>
          </rPr>
          <t>Configure RPC connection settings: Protocol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R88" authorId="0" shapeId="0" xr:uid="{00000000-0006-0000-0600-000083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RCP over TCP</t>
        </r>
        <r>
          <rPr>
            <sz val="11"/>
            <color rgb="FF000000"/>
            <rFont val="Calibri"/>
          </rPr>
          <t>'</t>
        </r>
      </text>
    </comment>
    <comment ref="S88" authorId="0" shapeId="0" xr:uid="{00000000-0006-0000-0600-000084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text>
    </comment>
    <comment ref="T88" authorId="0" shapeId="0" xr:uid="{00000000-0006-0000-0600-000085000000}">
      <text>
        <r>
          <rPr>
            <sz val="11"/>
            <rFont val="Calibri"/>
          </rPr>
          <t xml:space="preserve">Ensure </t>
        </r>
        <r>
          <rPr>
            <sz val="11"/>
            <color rgb="FF000000"/>
            <rFont val="Calibri"/>
          </rPr>
          <t>'</t>
        </r>
        <r>
          <rPr>
            <b/>
            <sz val="11"/>
            <color rgb="FF000000"/>
            <rFont val="Calibri"/>
          </rPr>
          <t>Configure RPC over TPC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U88" authorId="0" shapeId="0" xr:uid="{00000000-0006-0000-0600-000086000000}">
      <text>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V88" authorId="0" shapeId="0" xr:uid="{00000000-0006-0000-0600-000087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W88" authorId="0" shapeId="0" xr:uid="{00000000-0006-0000-0600-000088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X88" authorId="0" shapeId="0" xr:uid="{00000000-0006-0000-0600-000089000000}">
      <text>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Y88" authorId="0" shapeId="0" xr:uid="{00000000-0006-0000-0600-00008A000000}">
      <text>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Z88" authorId="0" shapeId="0" xr:uid="{00000000-0006-0000-0600-00008B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AA88" authorId="0" shapeId="0" xr:uid="{00000000-0006-0000-0600-00008C00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88" authorId="0" shapeId="0" xr:uid="{00000000-0006-0000-0600-00008D000000}">
      <text>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1" authorId="0" shapeId="0" xr:uid="{00000000-0006-0000-0600-00008E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91" authorId="0" shapeId="0" xr:uid="{00000000-0006-0000-0600-00008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600-000090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1" authorId="0" shapeId="0" xr:uid="{00000000-0006-0000-0600-000091000000}">
      <text>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text>
    </comment>
    <comment ref="N91" authorId="0" shapeId="0" xr:uid="{00000000-0006-0000-0600-000092000000}">
      <text>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O91" authorId="0" shapeId="0" xr:uid="{00000000-0006-0000-0600-000093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P91" authorId="0" shapeId="0" xr:uid="{00000000-0006-0000-0600-000094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Q91" authorId="0" shapeId="0" xr:uid="{00000000-0006-0000-0600-000095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96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1" authorId="0" shapeId="0" xr:uid="{00000000-0006-0000-0600-00009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1" authorId="0" shapeId="0" xr:uid="{00000000-0006-0000-0600-000098000000}">
      <text>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U91" authorId="0" shapeId="0" xr:uid="{00000000-0006-0000-0600-00009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1" authorId="0" shapeId="0" xr:uid="{00000000-0006-0000-0600-00009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1" authorId="0" shapeId="0" xr:uid="{00000000-0006-0000-0600-00009B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9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9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1" authorId="0" shapeId="0" xr:uid="{00000000-0006-0000-0600-00009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1" authorId="0" shapeId="0" xr:uid="{00000000-0006-0000-0600-00009F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AB91" authorId="0" shapeId="0" xr:uid="{00000000-0006-0000-0600-0000A0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3.0.0</t>
        </r>
        <r>
          <rPr>
            <sz val="11"/>
            <color rgb="FF000000"/>
            <rFont val="Calibri"/>
          </rPr>
          <t>'</t>
        </r>
      </text>
    </comment>
    <comment ref="AC91" authorId="0" shapeId="0" xr:uid="{00000000-0006-0000-0600-0000A1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AD91" authorId="0" shapeId="0" xr:uid="{00000000-0006-0000-0600-0000A2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AE91" authorId="0" shapeId="0" xr:uid="{00000000-0006-0000-0600-0000A3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1" authorId="0" shapeId="0" xr:uid="{00000000-0006-0000-0600-0000A4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91" authorId="0" shapeId="0" xr:uid="{00000000-0006-0000-0600-0000A5000000}">
      <text>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91" authorId="0" shapeId="0" xr:uid="{00000000-0006-0000-0600-0000A6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I91" authorId="0" shapeId="0" xr:uid="{00000000-0006-0000-0600-0000A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J91" authorId="0" shapeId="0" xr:uid="{00000000-0006-0000-0600-0000A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AK91" authorId="0" shapeId="0" xr:uid="{00000000-0006-0000-0600-0000A9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L91" authorId="0" shapeId="0" xr:uid="{00000000-0006-0000-0600-0000AA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M91" authorId="0" shapeId="0" xr:uid="{00000000-0006-0000-0600-0000AB000000}">
      <text>
        <r>
          <rPr>
            <sz val="11"/>
            <rFont val="Calibri"/>
          </rPr>
          <t xml:space="preserve">Ensure </t>
        </r>
        <r>
          <rPr>
            <sz val="11"/>
            <color rgb="FF000000"/>
            <rFont val="Calibri"/>
          </rPr>
          <t>'</t>
        </r>
        <r>
          <rPr>
            <b/>
            <sz val="11"/>
            <color rgb="FF000000"/>
            <rFont val="Calibri"/>
          </rPr>
          <t>PK Init Hash Algorithm Configuration: PK Init Hash Algorithm SHA256</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N91" authorId="0" shapeId="0" xr:uid="{00000000-0006-0000-0600-0000AC000000}">
      <text>
        <r>
          <rPr>
            <sz val="11"/>
            <rFont val="Calibri"/>
          </rPr>
          <t xml:space="preserve">Ensure </t>
        </r>
        <r>
          <rPr>
            <sz val="11"/>
            <color rgb="FF000000"/>
            <rFont val="Calibri"/>
          </rPr>
          <t>'</t>
        </r>
        <r>
          <rPr>
            <b/>
            <sz val="11"/>
            <color rgb="FF000000"/>
            <rFont val="Calibri"/>
          </rPr>
          <t>PK Init Hash Algorithm Configuration: PK Init Hash Algorithm SHA384</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O91" authorId="0" shapeId="0" xr:uid="{00000000-0006-0000-0600-0000AD000000}">
      <text>
        <r>
          <rPr>
            <sz val="11"/>
            <rFont val="Calibri"/>
          </rPr>
          <t xml:space="preserve">Ensure </t>
        </r>
        <r>
          <rPr>
            <sz val="11"/>
            <color rgb="FF000000"/>
            <rFont val="Calibri"/>
          </rPr>
          <t>'</t>
        </r>
        <r>
          <rPr>
            <b/>
            <sz val="11"/>
            <color rgb="FF000000"/>
            <rFont val="Calibri"/>
          </rPr>
          <t>PK Init Hash Algorithm Configuration: PK Init Hash Algorithm SHA512</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P91" authorId="0" shapeId="0" xr:uid="{00000000-0006-0000-0600-0000AE000000}">
      <text>
        <r>
          <rPr>
            <sz val="11"/>
            <rFont val="Calibri"/>
          </rPr>
          <t xml:space="preserve">Ensure </t>
        </r>
        <r>
          <rPr>
            <sz val="11"/>
            <color rgb="FF000000"/>
            <rFont val="Calibri"/>
          </rPr>
          <t>'</t>
        </r>
        <r>
          <rPr>
            <b/>
            <sz val="11"/>
            <color rgb="FF000000"/>
            <rFont val="Calibri"/>
          </rPr>
          <t>PK Init Hash Algorithm Configuration: PK Init Hash Algorithm SHA1 PK Init Hash Algorithm SHA1</t>
        </r>
        <r>
          <rPr>
            <sz val="11"/>
            <color rgb="FF000000"/>
            <rFont val="Calibri"/>
          </rPr>
          <t>'</t>
        </r>
        <r>
          <rPr>
            <sz val="11"/>
            <color rgb="FF000000"/>
            <rFont val="Calibri"/>
          </rPr>
          <t xml:space="preserve"> is set to </t>
        </r>
        <r>
          <rPr>
            <sz val="11"/>
            <color rgb="FF000000"/>
            <rFont val="Calibri"/>
          </rPr>
          <t>'</t>
        </r>
        <r>
          <rPr>
            <b/>
            <sz val="11"/>
            <color rgb="FF000000"/>
            <rFont val="Calibri"/>
          </rPr>
          <t>Enabled: Not Supported</t>
        </r>
        <r>
          <rPr>
            <sz val="11"/>
            <color rgb="FF000000"/>
            <rFont val="Calibri"/>
          </rPr>
          <t>'</t>
        </r>
      </text>
    </comment>
    <comment ref="J99" authorId="0" shapeId="0" xr:uid="{00000000-0006-0000-0600-0000AF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9" authorId="0" shapeId="0" xr:uid="{00000000-0006-0000-0600-0000B0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9" authorId="0" shapeId="0" xr:uid="{00000000-0006-0000-0600-0000B1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B2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B3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9" authorId="0" shapeId="0" xr:uid="{00000000-0006-0000-0600-0000B4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P99" authorId="0" shapeId="0" xr:uid="{00000000-0006-0000-0600-0000B5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Q99" authorId="0" shapeId="0" xr:uid="{00000000-0006-0000-0600-0000B6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R99" authorId="0" shapeId="0" xr:uid="{00000000-0006-0000-0600-0000B7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S99" authorId="0" shapeId="0" xr:uid="{00000000-0006-0000-0600-0000B8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T99" authorId="0" shapeId="0" xr:uid="{00000000-0006-0000-0600-0000B9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U99" authorId="0" shapeId="0" xr:uid="{00000000-0006-0000-0600-0000BA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V99" authorId="0" shapeId="0" xr:uid="{00000000-0006-0000-0600-0000BB00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W99" authorId="0" shapeId="0" xr:uid="{00000000-0006-0000-0600-0000BC00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X99" authorId="0" shapeId="0" xr:uid="{00000000-0006-0000-0600-0000BD00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Y99" authorId="0" shapeId="0" xr:uid="{00000000-0006-0000-0600-0000BE00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Z99" authorId="0" shapeId="0" xr:uid="{00000000-0006-0000-0600-0000BF00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A99" authorId="0" shapeId="0" xr:uid="{00000000-0006-0000-0600-0000C000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B99" authorId="0" shapeId="0" xr:uid="{00000000-0006-0000-0600-0000C100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C99" authorId="0" shapeId="0" xr:uid="{00000000-0006-0000-0600-0000C200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D99" authorId="0" shapeId="0" xr:uid="{00000000-0006-0000-0600-0000C300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AE99" authorId="0" shapeId="0" xr:uid="{00000000-0006-0000-0600-0000C400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F99" authorId="0" shapeId="0" xr:uid="{00000000-0006-0000-0600-0000C500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G99" authorId="0" shapeId="0" xr:uid="{00000000-0006-0000-0600-0000C600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AH99" authorId="0" shapeId="0" xr:uid="{00000000-0006-0000-0600-0000C7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AI99" authorId="0" shapeId="0" xr:uid="{00000000-0006-0000-0600-0000C8000000}">
      <text>
        <r>
          <rPr>
            <sz val="11"/>
            <rFont val="Calibri"/>
          </rPr>
          <t xml:space="preserve">Ensure </t>
        </r>
        <r>
          <rPr>
            <sz val="11"/>
            <color rgb="FF000000"/>
            <rFont val="Calibri"/>
          </rPr>
          <t>'</t>
        </r>
        <r>
          <rPr>
            <b/>
            <sz val="11"/>
            <color rgb="FF000000"/>
            <rFont val="Calibri"/>
          </rPr>
          <t>Cloud Extended Timeout</t>
        </r>
        <r>
          <rPr>
            <sz val="11"/>
            <color rgb="FF000000"/>
            <rFont val="Calibri"/>
          </rPr>
          <t>'</t>
        </r>
        <r>
          <rPr>
            <sz val="11"/>
            <color rgb="FF000000"/>
            <rFont val="Calibri"/>
          </rPr>
          <t xml:space="preserve"> is set to </t>
        </r>
        <r>
          <rPr>
            <sz val="11"/>
            <color rgb="FF000000"/>
            <rFont val="Calibri"/>
          </rPr>
          <t>'</t>
        </r>
        <r>
          <rPr>
            <b/>
            <sz val="11"/>
            <color rgb="FF000000"/>
            <rFont val="Calibri"/>
          </rPr>
          <t>50</t>
        </r>
        <r>
          <rPr>
            <sz val="11"/>
            <color rgb="FF000000"/>
            <rFont val="Calibri"/>
          </rPr>
          <t>'</t>
        </r>
      </text>
    </comment>
    <comment ref="AJ99" authorId="0" shapeId="0" xr:uid="{00000000-0006-0000-0600-0000C9000000}">
      <text>
        <r>
          <rPr>
            <sz val="11"/>
            <rFont val="Calibri"/>
          </rPr>
          <t xml:space="preserve">Ensure </t>
        </r>
        <r>
          <rPr>
            <sz val="11"/>
            <color rgb="FF000000"/>
            <rFont val="Calibri"/>
          </rPr>
          <t>'</t>
        </r>
        <r>
          <rPr>
            <b/>
            <sz val="11"/>
            <color rgb="FF000000"/>
            <rFont val="Calibri"/>
          </rPr>
          <t>Disable Local Admin Merge</t>
        </r>
        <r>
          <rPr>
            <sz val="11"/>
            <color rgb="FF000000"/>
            <rFont val="Calibri"/>
          </rPr>
          <t>'</t>
        </r>
        <r>
          <rPr>
            <sz val="11"/>
            <color rgb="FF000000"/>
            <rFont val="Calibri"/>
          </rPr>
          <t xml:space="preserve"> is set to </t>
        </r>
        <r>
          <rPr>
            <sz val="11"/>
            <color rgb="FF000000"/>
            <rFont val="Calibri"/>
          </rPr>
          <t>'</t>
        </r>
        <r>
          <rPr>
            <b/>
            <sz val="11"/>
            <color rgb="FF000000"/>
            <rFont val="Calibri"/>
          </rPr>
          <t>Disable Local Admin Merge</t>
        </r>
        <r>
          <rPr>
            <sz val="11"/>
            <color rgb="FF000000"/>
            <rFont val="Calibri"/>
          </rPr>
          <t>'</t>
        </r>
      </text>
    </comment>
    <comment ref="AK99" authorId="0" shapeId="0" xr:uid="{00000000-0006-0000-0600-0000CA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L99" authorId="0" shapeId="0" xr:uid="{00000000-0006-0000-0600-0000CB000000}">
      <text>
        <r>
          <rPr>
            <sz val="11"/>
            <rFont val="Calibri"/>
          </rPr>
          <t xml:space="preserve">Ensure </t>
        </r>
        <r>
          <rPr>
            <sz val="11"/>
            <color rgb="FF000000"/>
            <rFont val="Calibri"/>
          </rPr>
          <t>'</t>
        </r>
        <r>
          <rPr>
            <b/>
            <sz val="11"/>
            <color rgb="FF000000"/>
            <rFont val="Calibri"/>
          </rPr>
          <t>Hide Exclusions From Local Admins</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local admins will no longer be able to see the exclusion list in Windows Security App or via PowerShell.</t>
        </r>
        <r>
          <rPr>
            <sz val="11"/>
            <color rgb="FF000000"/>
            <rFont val="Calibri"/>
          </rPr>
          <t>'</t>
        </r>
      </text>
    </comment>
    <comment ref="AM99" authorId="0" shapeId="0" xr:uid="{00000000-0006-0000-0600-0000CC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AN99" authorId="0" shapeId="0" xr:uid="{00000000-0006-0000-0600-0000CD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AO99" authorId="0" shapeId="0" xr:uid="{00000000-0006-0000-0600-0000CE000000}">
      <text>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text>
    </comment>
    <comment ref="AP99" authorId="0" shapeId="0" xr:uid="{00000000-0006-0000-0600-0000CF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Q99" authorId="0" shapeId="0" xr:uid="{00000000-0006-0000-0600-0000D0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text>
    </comment>
    <comment ref="AR99" authorId="0" shapeId="0" xr:uid="{00000000-0006-0000-0600-0000D1000000}">
      <text>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text>
    </comment>
    <comment ref="AS99" authorId="0" shapeId="0" xr:uid="{00000000-0006-0000-0600-0000D2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J100" authorId="0" shapeId="0" xr:uid="{00000000-0006-0000-0600-0000D3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D4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0" authorId="0" shapeId="0" xr:uid="{00000000-0006-0000-0600-0000D5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00" authorId="0" shapeId="0" xr:uid="{00000000-0006-0000-0600-0000D6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N100" authorId="0" shapeId="0" xr:uid="{00000000-0006-0000-0600-0000D700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J101" authorId="0" shapeId="0" xr:uid="{00000000-0006-0000-0600-0000D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1" authorId="0" shapeId="0" xr:uid="{00000000-0006-0000-0600-0000D9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DA000000}">
      <text>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M101" authorId="0" shapeId="0" xr:uid="{00000000-0006-0000-0600-0000DB000000}">
      <text>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N101" authorId="0" shapeId="0" xr:uid="{00000000-0006-0000-0600-0000DC000000}">
      <text>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O101" authorId="0" shapeId="0" xr:uid="{00000000-0006-0000-0600-0000DD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1" authorId="0" shapeId="0" xr:uid="{00000000-0006-0000-0600-0000D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600-0000DF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1" authorId="0" shapeId="0" xr:uid="{00000000-0006-0000-0600-0000E0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1" authorId="0" shapeId="0" xr:uid="{00000000-0006-0000-0600-0000E1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1" authorId="0" shapeId="0" xr:uid="{00000000-0006-0000-0600-0000E2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1" authorId="0" shapeId="0" xr:uid="{00000000-0006-0000-0600-0000E3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600-0000E4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1" authorId="0" shapeId="0" xr:uid="{00000000-0006-0000-0600-0000E5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1" authorId="0" shapeId="0" xr:uid="{00000000-0006-0000-0600-0000E6000000}">
      <text>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Y101" authorId="0" shapeId="0" xr:uid="{00000000-0006-0000-0600-0000E7000000}">
      <text>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Z101" authorId="0" shapeId="0" xr:uid="{00000000-0006-0000-0600-0000E8000000}">
      <text>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A101" authorId="0" shapeId="0" xr:uid="{00000000-0006-0000-0600-0000E9000000}">
      <text>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B101" authorId="0" shapeId="0" xr:uid="{00000000-0006-0000-0600-0000EA000000}">
      <text>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C101" authorId="0" shapeId="0" xr:uid="{00000000-0006-0000-0600-0000EB000000}">
      <text>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D101" authorId="0" shapeId="0" xr:uid="{00000000-0006-0000-0600-0000EC000000}">
      <text>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E101" authorId="0" shapeId="0" xr:uid="{00000000-0006-0000-0600-0000ED000000}">
      <text>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F101" authorId="0" shapeId="0" xr:uid="{00000000-0006-0000-0600-0000EE000000}">
      <text>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G101" authorId="0" shapeId="0" xr:uid="{00000000-0006-0000-0600-0000EF000000}">
      <text>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H101" authorId="0" shapeId="0" xr:uid="{00000000-0006-0000-0600-0000F0000000}">
      <text>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I101" authorId="0" shapeId="0" xr:uid="{00000000-0006-0000-0600-0000F1000000}">
      <text>
        <r>
          <rPr>
            <sz val="11"/>
            <rFont val="Calibri"/>
          </rPr>
          <t xml:space="preserve">Ensure </t>
        </r>
        <r>
          <rPr>
            <sz val="11"/>
            <color rgb="FF000000"/>
            <rFont val="Calibri"/>
          </rPr>
          <t>'</t>
        </r>
        <r>
          <rPr>
            <b/>
            <sz val="11"/>
            <color rgb="FF000000"/>
            <rFont val="Calibri"/>
          </rPr>
          <t>Automatic prompting for file downloads: 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J101" authorId="0" shapeId="0" xr:uid="{00000000-0006-0000-0600-0000F2000000}">
      <text>
        <r>
          <rPr>
            <sz val="11"/>
            <rFont val="Calibri"/>
          </rPr>
          <t xml:space="preserve">Ensure </t>
        </r>
        <r>
          <rPr>
            <sz val="11"/>
            <color rgb="FF000000"/>
            <rFont val="Calibri"/>
          </rPr>
          <t>'</t>
        </r>
        <r>
          <rPr>
            <b/>
            <sz val="11"/>
            <color rgb="FF000000"/>
            <rFont val="Calibri"/>
          </rPr>
          <t>Don't run antimalware programs against ActiveX controls: 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K101" authorId="0" shapeId="0" xr:uid="{00000000-0006-0000-0600-0000F3000000}">
      <text>
        <r>
          <rPr>
            <sz val="11"/>
            <rFont val="Calibri"/>
          </rPr>
          <t xml:space="preserve">Ensure </t>
        </r>
        <r>
          <rPr>
            <sz val="11"/>
            <color rgb="FF000000"/>
            <rFont val="Calibri"/>
          </rPr>
          <t>'</t>
        </r>
        <r>
          <rPr>
            <b/>
            <sz val="11"/>
            <color rgb="FF000000"/>
            <rFont val="Calibri"/>
          </rPr>
          <t>Download signed ActiveX controls: 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L101" authorId="0" shapeId="0" xr:uid="{00000000-0006-0000-0600-0000F4000000}">
      <text>
        <r>
          <rPr>
            <sz val="11"/>
            <rFont val="Calibri"/>
          </rPr>
          <t xml:space="preserve">Ensure </t>
        </r>
        <r>
          <rPr>
            <sz val="11"/>
            <color rgb="FF000000"/>
            <rFont val="Calibri"/>
          </rPr>
          <t>'</t>
        </r>
        <r>
          <rPr>
            <b/>
            <sz val="11"/>
            <color rgb="FF000000"/>
            <rFont val="Calibri"/>
          </rPr>
          <t>Download unsigned ActiveX controls: 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M101" authorId="0" shapeId="0" xr:uid="{00000000-0006-0000-0600-0000F5000000}">
      <text>
        <r>
          <rPr>
            <sz val="11"/>
            <rFont val="Calibri"/>
          </rPr>
          <t xml:space="preserve">Ensure </t>
        </r>
        <r>
          <rPr>
            <sz val="11"/>
            <color rgb="FF000000"/>
            <rFont val="Calibri"/>
          </rPr>
          <t>'</t>
        </r>
        <r>
          <rPr>
            <b/>
            <sz val="11"/>
            <color rgb="FF000000"/>
            <rFont val="Calibri"/>
          </rPr>
          <t>Enable dragging of content from different domains across windows: 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N101" authorId="0" shapeId="0" xr:uid="{00000000-0006-0000-0600-0000F6000000}">
      <text>
        <r>
          <rPr>
            <sz val="11"/>
            <rFont val="Calibri"/>
          </rPr>
          <t xml:space="preserve">Ensure </t>
        </r>
        <r>
          <rPr>
            <sz val="11"/>
            <color rgb="FF000000"/>
            <rFont val="Calibri"/>
          </rPr>
          <t>'</t>
        </r>
        <r>
          <rPr>
            <b/>
            <sz val="11"/>
            <color rgb="FF000000"/>
            <rFont val="Calibri"/>
          </rPr>
          <t>Enable dragging of content from different domains within a window: 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O101" authorId="0" shapeId="0" xr:uid="{00000000-0006-0000-0600-0000F7000000}">
      <text>
        <r>
          <rPr>
            <sz val="11"/>
            <rFont val="Calibri"/>
          </rPr>
          <t xml:space="preserve">Ensure </t>
        </r>
        <r>
          <rPr>
            <sz val="11"/>
            <color rgb="FF000000"/>
            <rFont val="Calibri"/>
          </rPr>
          <t>'</t>
        </r>
        <r>
          <rPr>
            <b/>
            <sz val="11"/>
            <color rgb="FF000000"/>
            <rFont val="Calibri"/>
          </rPr>
          <t>Include local path when user is uploading files to a server: 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P101" authorId="0" shapeId="0" xr:uid="{00000000-0006-0000-0600-0000F8000000}">
      <text>
        <r>
          <rPr>
            <sz val="11"/>
            <rFont val="Calibri"/>
          </rPr>
          <t xml:space="preserve">Ensure </t>
        </r>
        <r>
          <rPr>
            <sz val="11"/>
            <color rgb="FF000000"/>
            <rFont val="Calibri"/>
          </rPr>
          <t>'</t>
        </r>
        <r>
          <rPr>
            <b/>
            <sz val="11"/>
            <color rgb="FF000000"/>
            <rFont val="Calibri"/>
          </rPr>
          <t>Initialize and script ActiveX controls not marked as safe: 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Q101" authorId="0" shapeId="0" xr:uid="{00000000-0006-0000-0600-0000F9000000}">
      <text>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text>
    </comment>
    <comment ref="AR101" authorId="0" shapeId="0" xr:uid="{00000000-0006-0000-0600-0000FA000000}">
      <text>
        <r>
          <rPr>
            <sz val="11"/>
            <rFont val="Calibri"/>
          </rPr>
          <t xml:space="preserve">Ensure </t>
        </r>
        <r>
          <rPr>
            <sz val="11"/>
            <color rgb="FF000000"/>
            <rFont val="Calibri"/>
          </rPr>
          <t>'</t>
        </r>
        <r>
          <rPr>
            <b/>
            <sz val="11"/>
            <color rgb="FF000000"/>
            <rFont val="Calibri"/>
          </rPr>
          <t>Launching applications and files in an IFRAME: 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S101" authorId="0" shapeId="0" xr:uid="{00000000-0006-0000-0600-0000FB000000}">
      <text>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 for user name and password</t>
        </r>
        <r>
          <rPr>
            <sz val="11"/>
            <color rgb="FF000000"/>
            <rFont val="Calibri"/>
          </rPr>
          <t>'</t>
        </r>
      </text>
    </comment>
    <comment ref="AT101" authorId="0" shapeId="0" xr:uid="{00000000-0006-0000-0600-0000FC000000}">
      <text>
        <r>
          <rPr>
            <sz val="11"/>
            <rFont val="Calibri"/>
          </rPr>
          <t xml:space="preserve">Ensure </t>
        </r>
        <r>
          <rPr>
            <sz val="11"/>
            <color rgb="FF000000"/>
            <rFont val="Calibri"/>
          </rPr>
          <t>'</t>
        </r>
        <r>
          <rPr>
            <b/>
            <sz val="11"/>
            <color rgb="FF000000"/>
            <rFont val="Calibri"/>
          </rPr>
          <t>Navigate windows and frames across different domains: 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U101" authorId="0" shapeId="0" xr:uid="{00000000-0006-0000-0600-0000FD000000}">
      <text>
        <r>
          <rPr>
            <sz val="11"/>
            <rFont val="Calibri"/>
          </rPr>
          <t xml:space="preserve">Ensure </t>
        </r>
        <r>
          <rPr>
            <sz val="11"/>
            <color rgb="FF000000"/>
            <rFont val="Calibri"/>
          </rPr>
          <t>'</t>
        </r>
        <r>
          <rPr>
            <b/>
            <sz val="11"/>
            <color rgb="FF000000"/>
            <rFont val="Calibri"/>
          </rPr>
          <t>Run .NET Framework-reliant components not signed with Authenticode: 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V101" authorId="0" shapeId="0" xr:uid="{00000000-0006-0000-0600-0000FE000000}">
      <text>
        <r>
          <rPr>
            <sz val="11"/>
            <rFont val="Calibri"/>
          </rPr>
          <t xml:space="preserve">Ensure </t>
        </r>
        <r>
          <rPr>
            <sz val="11"/>
            <color rgb="FF000000"/>
            <rFont val="Calibri"/>
          </rPr>
          <t>'</t>
        </r>
        <r>
          <rPr>
            <b/>
            <sz val="11"/>
            <color rgb="FF000000"/>
            <rFont val="Calibri"/>
          </rPr>
          <t>Run .NET Framework-reliant components signed with Authenticode: 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W101" authorId="0" shapeId="0" xr:uid="{00000000-0006-0000-0600-0000FF000000}">
      <text>
        <r>
          <rPr>
            <sz val="11"/>
            <rFont val="Calibri"/>
          </rPr>
          <t xml:space="preserve">Ensure </t>
        </r>
        <r>
          <rPr>
            <sz val="11"/>
            <color rgb="FF000000"/>
            <rFont val="Calibri"/>
          </rPr>
          <t>'</t>
        </r>
        <r>
          <rPr>
            <b/>
            <sz val="11"/>
            <color rgb="FF000000"/>
            <rFont val="Calibri"/>
          </rPr>
          <t>Show security warning for potentially unsafe files: Launching programs and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9" authorId="0" shapeId="0" xr:uid="{00000000-0006-0000-0700-000022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Auth Rate Limiter Delay In Ms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Force deny. Windows apps cannot be activated by voice while the screen is locked, and users cannot change it.</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Ink workspace is enabled (feature is turned on), but the user cannot access it above the lock screen.</t>
        </r>
        <r>
          <rPr>
            <sz val="11"/>
            <color rgb="FF000000"/>
            <rFont val="Calibri"/>
          </rPr>
          <t>'</t>
        </r>
      </text>
    </comment>
    <comment ref="AO89" authorId="0" shapeId="0" xr:uid="{00000000-0006-0000-0700-000021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H90" authorId="0" shapeId="0" xr:uid="{00000000-0006-0000-0700-000023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0" authorId="0" shapeId="0" xr:uid="{00000000-0006-0000-0700-00002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H93" authorId="0" shapeId="0" xr:uid="{00000000-0006-0000-0700-000025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3" authorId="0" shapeId="0" xr:uid="{00000000-0006-0000-0700-000026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7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3" authorId="0" shapeId="0" xr:uid="{00000000-0006-0000-0700-000028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L93" authorId="0" shapeId="0" xr:uid="{00000000-0006-0000-0700-000029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M93" authorId="0" shapeId="0" xr:uid="{00000000-0006-0000-0700-00002A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93" authorId="0" shapeId="0" xr:uid="{00000000-0006-0000-0700-00002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O93" authorId="0" shapeId="0" xr:uid="{00000000-0006-0000-0700-00002C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P93" authorId="0" shapeId="0" xr:uid="{00000000-0006-0000-0700-00002D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2E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R93" authorId="0" shapeId="0" xr:uid="{00000000-0006-0000-0700-00002F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0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3" authorId="0" shapeId="0" xr:uid="{00000000-0006-0000-0700-000031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3" authorId="0" shapeId="0" xr:uid="{00000000-0006-0000-0700-000032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text>
    </comment>
    <comment ref="V93" authorId="0" shapeId="0" xr:uid="{00000000-0006-0000-0700-000033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text>
    </comment>
    <comment ref="W93" authorId="0" shapeId="0" xr:uid="{00000000-0006-0000-0700-000034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X93" authorId="0" shapeId="0" xr:uid="{00000000-0006-0000-0700-000035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Y93" authorId="0" shapeId="0" xr:uid="{00000000-0006-0000-0700-000036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Z93" authorId="0" shapeId="0" xr:uid="{00000000-0006-0000-0700-000037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A93" authorId="0" shapeId="0" xr:uid="{00000000-0006-0000-0700-000038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AB93" authorId="0" shapeId="0" xr:uid="{00000000-0006-0000-0700-000039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AC93" authorId="0" shapeId="0" xr:uid="{00000000-0006-0000-0700-00003A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t>
        </r>
        <r>
          <rPr>
            <sz val="11"/>
            <color rgb="FF000000"/>
            <rFont val="Calibri"/>
          </rPr>
          <t>'</t>
        </r>
      </text>
    </comment>
    <comment ref="AD93" authorId="0" shapeId="0" xr:uid="{00000000-0006-0000-0700-00003B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E93" authorId="0" shapeId="0" xr:uid="{00000000-0006-0000-0700-00003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F93" authorId="0" shapeId="0" xr:uid="{00000000-0006-0000-0700-00003D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G93" authorId="0" shapeId="0" xr:uid="{00000000-0006-0000-0700-00003E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H93" authorId="0" shapeId="0" xr:uid="{00000000-0006-0000-0700-00003F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I93" authorId="0" shapeId="0" xr:uid="{00000000-0006-0000-0700-000040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J93" authorId="0" shapeId="0" xr:uid="{00000000-0006-0000-0700-000041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K93" authorId="0" shapeId="0" xr:uid="{00000000-0006-0000-0700-000042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L93" authorId="0" shapeId="0" xr:uid="{00000000-0006-0000-0700-000043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H110" authorId="0" shapeId="0" xr:uid="{00000000-0006-0000-0700-000044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110" authorId="0" shapeId="0" xr:uid="{00000000-0006-0000-0700-00004500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11" authorId="0" shapeId="0" xr:uid="{00000000-0006-0000-0700-000046000000}">
      <text>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text>
    </comment>
    <comment ref="I111" authorId="0" shapeId="0" xr:uid="{00000000-0006-0000-0700-000047000000}">
      <text>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J111" authorId="0" shapeId="0" xr:uid="{00000000-0006-0000-0700-000048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K111" authorId="0" shapeId="0" xr:uid="{00000000-0006-0000-0700-000049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L111" authorId="0" shapeId="0" xr:uid="{00000000-0006-0000-0700-00004A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4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4D000000}">
      <text>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11" authorId="0" shapeId="0" xr:uid="{00000000-0006-0000-0700-00004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1" authorId="0" shapeId="0" xr:uid="{00000000-0006-0000-0700-00004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5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1" authorId="0" shapeId="0" xr:uid="{00000000-0006-0000-0700-00005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1" authorId="0" shapeId="0" xr:uid="{00000000-0006-0000-0700-000052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3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V111" authorId="0" shapeId="0" xr:uid="{00000000-0006-0000-0700-000054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3.0.0</t>
        </r>
        <r>
          <rPr>
            <sz val="11"/>
            <color rgb="FF000000"/>
            <rFont val="Calibri"/>
          </rPr>
          <t>'</t>
        </r>
      </text>
    </comment>
    <comment ref="W111" authorId="0" shapeId="0" xr:uid="{00000000-0006-0000-0700-000055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X111" authorId="0" shapeId="0" xr:uid="{00000000-0006-0000-0700-000056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Y111" authorId="0" shapeId="0" xr:uid="{00000000-0006-0000-0700-000057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1" authorId="0" shapeId="0" xr:uid="{00000000-0006-0000-0700-00005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111" authorId="0" shapeId="0" xr:uid="{00000000-0006-0000-0700-000059000000}">
      <text>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11" authorId="0" shapeId="0" xr:uid="{00000000-0006-0000-0700-00005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11" authorId="0" shapeId="0" xr:uid="{00000000-0006-0000-0700-00005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11" authorId="0" shapeId="0" xr:uid="{00000000-0006-0000-0700-00005C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E111" authorId="0" shapeId="0" xr:uid="{00000000-0006-0000-0700-00005D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F111" authorId="0" shapeId="0" xr:uid="{00000000-0006-0000-0700-00005E000000}">
      <text>
        <r>
          <rPr>
            <sz val="11"/>
            <rFont val="Calibri"/>
          </rPr>
          <t xml:space="preserve">Ensure </t>
        </r>
        <r>
          <rPr>
            <sz val="11"/>
            <color rgb="FF000000"/>
            <rFont val="Calibri"/>
          </rPr>
          <t>'</t>
        </r>
        <r>
          <rPr>
            <b/>
            <sz val="11"/>
            <color rgb="FF000000"/>
            <rFont val="Calibri"/>
          </rPr>
          <t>PK Init Hash Algorithm Configuration: PK Init Hash Algorithm SHA256</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G111" authorId="0" shapeId="0" xr:uid="{00000000-0006-0000-0700-00005F000000}">
      <text>
        <r>
          <rPr>
            <sz val="11"/>
            <rFont val="Calibri"/>
          </rPr>
          <t xml:space="preserve">Ensure </t>
        </r>
        <r>
          <rPr>
            <sz val="11"/>
            <color rgb="FF000000"/>
            <rFont val="Calibri"/>
          </rPr>
          <t>'</t>
        </r>
        <r>
          <rPr>
            <b/>
            <sz val="11"/>
            <color rgb="FF000000"/>
            <rFont val="Calibri"/>
          </rPr>
          <t>PK Init Hash Algorithm Configuration: PK Init Hash Algorithm SHA384</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H111" authorId="0" shapeId="0" xr:uid="{00000000-0006-0000-0700-000060000000}">
      <text>
        <r>
          <rPr>
            <sz val="11"/>
            <rFont val="Calibri"/>
          </rPr>
          <t xml:space="preserve">Ensure </t>
        </r>
        <r>
          <rPr>
            <sz val="11"/>
            <color rgb="FF000000"/>
            <rFont val="Calibri"/>
          </rPr>
          <t>'</t>
        </r>
        <r>
          <rPr>
            <b/>
            <sz val="11"/>
            <color rgb="FF000000"/>
            <rFont val="Calibri"/>
          </rPr>
          <t>PK Init Hash Algorithm Configuration: PK Init Hash Algorithm SHA512</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text>
    </comment>
    <comment ref="AI111" authorId="0" shapeId="0" xr:uid="{00000000-0006-0000-0700-000061000000}">
      <text>
        <r>
          <rPr>
            <sz val="11"/>
            <rFont val="Calibri"/>
          </rPr>
          <t xml:space="preserve">Ensure </t>
        </r>
        <r>
          <rPr>
            <sz val="11"/>
            <color rgb="FF000000"/>
            <rFont val="Calibri"/>
          </rPr>
          <t>'</t>
        </r>
        <r>
          <rPr>
            <b/>
            <sz val="11"/>
            <color rgb="FF000000"/>
            <rFont val="Calibri"/>
          </rPr>
          <t>PK Init Hash Algorithm Configuration: PK Init Hash Algorithm SHA1 PK Init Hash Algorithm SHA1</t>
        </r>
        <r>
          <rPr>
            <sz val="11"/>
            <color rgb="FF000000"/>
            <rFont val="Calibri"/>
          </rPr>
          <t>'</t>
        </r>
        <r>
          <rPr>
            <sz val="11"/>
            <color rgb="FF000000"/>
            <rFont val="Calibri"/>
          </rPr>
          <t xml:space="preserve"> is set to </t>
        </r>
        <r>
          <rPr>
            <sz val="11"/>
            <color rgb="FF000000"/>
            <rFont val="Calibri"/>
          </rPr>
          <t>'</t>
        </r>
        <r>
          <rPr>
            <b/>
            <sz val="11"/>
            <color rgb="FF000000"/>
            <rFont val="Calibri"/>
          </rPr>
          <t>Enabled: Not Supported</t>
        </r>
        <r>
          <rPr>
            <sz val="11"/>
            <color rgb="FF000000"/>
            <rFont val="Calibri"/>
          </rPr>
          <t>'</t>
        </r>
      </text>
    </comment>
    <comment ref="H134" authorId="0" shapeId="0" xr:uid="{00000000-0006-0000-0700-000062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134" authorId="0" shapeId="0" xr:uid="{00000000-0006-0000-0700-000063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134" authorId="0" shapeId="0" xr:uid="{00000000-0006-0000-0700-000064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34" authorId="0" shapeId="0" xr:uid="{00000000-0006-0000-0700-00006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4" authorId="0" shapeId="0" xr:uid="{00000000-0006-0000-0700-00006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4" authorId="0" shapeId="0" xr:uid="{00000000-0006-0000-0700-000067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4" authorId="0" shapeId="0" xr:uid="{00000000-0006-0000-0700-000068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O134" authorId="0" shapeId="0" xr:uid="{00000000-0006-0000-0700-000069000000}">
      <text>
        <r>
          <rPr>
            <sz val="11"/>
            <rFont val="Calibri"/>
          </rPr>
          <t xml:space="preserve">Ensure </t>
        </r>
        <r>
          <rPr>
            <sz val="11"/>
            <color rgb="FF000000"/>
            <rFont val="Calibri"/>
          </rPr>
          <t>'</t>
        </r>
        <r>
          <rPr>
            <b/>
            <sz val="11"/>
            <color rgb="FF000000"/>
            <rFont val="Calibri"/>
          </rPr>
          <t>Configure RPC connection settings: Protocol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P134" authorId="0" shapeId="0" xr:uid="{00000000-0006-0000-0700-00006A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RCP over TCP</t>
        </r>
        <r>
          <rPr>
            <sz val="11"/>
            <color rgb="FF000000"/>
            <rFont val="Calibri"/>
          </rPr>
          <t>'</t>
        </r>
      </text>
    </comment>
    <comment ref="Q134" authorId="0" shapeId="0" xr:uid="{00000000-0006-0000-0700-00006B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text>
    </comment>
    <comment ref="R134" authorId="0" shapeId="0" xr:uid="{00000000-0006-0000-0700-00006C000000}">
      <text>
        <r>
          <rPr>
            <sz val="11"/>
            <rFont val="Calibri"/>
          </rPr>
          <t xml:space="preserve">Ensure </t>
        </r>
        <r>
          <rPr>
            <sz val="11"/>
            <color rgb="FF000000"/>
            <rFont val="Calibri"/>
          </rPr>
          <t>'</t>
        </r>
        <r>
          <rPr>
            <b/>
            <sz val="11"/>
            <color rgb="FF000000"/>
            <rFont val="Calibri"/>
          </rPr>
          <t>Configure RPC over TPC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S134" authorId="0" shapeId="0" xr:uid="{00000000-0006-0000-0700-00006D000000}">
      <text>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T134" authorId="0" shapeId="0" xr:uid="{00000000-0006-0000-0700-00006E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U134" authorId="0" shapeId="0" xr:uid="{00000000-0006-0000-0700-00006F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V134" authorId="0" shapeId="0" xr:uid="{00000000-0006-0000-0700-000070000000}">
      <text>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W134" authorId="0" shapeId="0" xr:uid="{00000000-0006-0000-0700-000071000000}">
      <text>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X134" authorId="0" shapeId="0" xr:uid="{00000000-0006-0000-0700-000072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Y134" authorId="0" shapeId="0" xr:uid="{00000000-0006-0000-0700-00007300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134" authorId="0" shapeId="0" xr:uid="{00000000-0006-0000-0700-000074000000}">
      <text>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42" authorId="0" shapeId="0" xr:uid="{00000000-0006-0000-0700-000075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142" authorId="0" shapeId="0" xr:uid="{00000000-0006-0000-0700-00007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D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7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7F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142" authorId="0" shapeId="0" xr:uid="{00000000-0006-0000-0700-00008000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N142" authorId="0" shapeId="0" xr:uid="{00000000-0006-0000-0700-000081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142" authorId="0" shapeId="0" xr:uid="{00000000-0006-0000-0700-000082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text>
    </comment>
    <comment ref="P142" authorId="0" shapeId="0" xr:uid="{00000000-0006-0000-0700-000083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Q142" authorId="0" shapeId="0" xr:uid="{00000000-0006-0000-0700-000084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R142" authorId="0" shapeId="0" xr:uid="{00000000-0006-0000-0700-000085000000}">
      <text>
        <r>
          <rPr>
            <sz val="11"/>
            <rFont val="Calibri"/>
          </rPr>
          <t xml:space="preserve">Ensure </t>
        </r>
        <r>
          <rPr>
            <sz val="11"/>
            <color rgb="FF000000"/>
            <rFont val="Calibri"/>
          </rPr>
          <t>'</t>
        </r>
        <r>
          <rPr>
            <b/>
            <sz val="11"/>
            <color rgb="FF000000"/>
            <rFont val="Calibri"/>
          </rPr>
          <t>Turn off downloading of print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2" authorId="0" shapeId="0" xr:uid="{00000000-0006-0000-0700-000086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2" authorId="0" shapeId="0" xr:uid="{00000000-0006-0000-0700-000087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42" authorId="0" shapeId="0" xr:uid="{00000000-0006-0000-0700-000088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2" authorId="0" shapeId="0" xr:uid="{00000000-0006-0000-0700-000089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2" authorId="0" shapeId="0" xr:uid="{00000000-0006-0000-0700-00008A000000}">
      <text>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X142" authorId="0" shapeId="0" xr:uid="{00000000-0006-0000-0700-00008B000000}">
      <text>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Y142" authorId="0" shapeId="0" xr:uid="{00000000-0006-0000-0700-00008C000000}">
      <text>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Z142" authorId="0" shapeId="0" xr:uid="{00000000-0006-0000-0700-00008D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2" authorId="0" shapeId="0" xr:uid="{00000000-0006-0000-0700-00008E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2" authorId="0" shapeId="0" xr:uid="{00000000-0006-0000-0700-00008F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2" authorId="0" shapeId="0" xr:uid="{00000000-0006-0000-0700-00009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42" authorId="0" shapeId="0" xr:uid="{00000000-0006-0000-0700-000091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2" authorId="0" shapeId="0" xr:uid="{00000000-0006-0000-0700-000092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9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2" authorId="0" shapeId="0" xr:uid="{00000000-0006-0000-0700-000094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2" authorId="0" shapeId="0" xr:uid="{00000000-0006-0000-0700-000095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96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97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42" authorId="0" shapeId="0" xr:uid="{00000000-0006-0000-0700-000098000000}">
      <text>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L142" authorId="0" shapeId="0" xr:uid="{00000000-0006-0000-0700-000099000000}">
      <text>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M142" authorId="0" shapeId="0" xr:uid="{00000000-0006-0000-0700-00009A000000}">
      <text>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N142" authorId="0" shapeId="0" xr:uid="{00000000-0006-0000-0700-00009B000000}">
      <text>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O142" authorId="0" shapeId="0" xr:uid="{00000000-0006-0000-0700-00009C000000}">
      <text>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P142" authorId="0" shapeId="0" xr:uid="{00000000-0006-0000-0700-000076000000}">
      <text>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text>
    </comment>
    <comment ref="AQ142" authorId="0" shapeId="0" xr:uid="{00000000-0006-0000-0700-000077000000}">
      <text>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R142" authorId="0" shapeId="0" xr:uid="{00000000-0006-0000-0700-000078000000}">
      <text>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S142" authorId="0" shapeId="0" xr:uid="{00000000-0006-0000-0700-000079000000}">
      <text>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T142" authorId="0" shapeId="0" xr:uid="{00000000-0006-0000-0700-00007A000000}">
      <text>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AU142" authorId="0" shapeId="0" xr:uid="{00000000-0006-0000-0700-00007B000000}">
      <text>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text>
    </comment>
    <comment ref="H157" authorId="0" shapeId="0" xr:uid="{00000000-0006-0000-0700-00009D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I157" authorId="0" shapeId="0" xr:uid="{00000000-0006-0000-0700-00009E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157" authorId="0" shapeId="0" xr:uid="{00000000-0006-0000-0700-00009F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K157" authorId="0" shapeId="0" xr:uid="{00000000-0006-0000-0700-0000A0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165" authorId="0" shapeId="0" xr:uid="{00000000-0006-0000-0700-0000A1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I165" authorId="0" shapeId="0" xr:uid="{00000000-0006-0000-0700-0000A2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J165" authorId="0" shapeId="0" xr:uid="{00000000-0006-0000-0700-0000A3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K165" authorId="0" shapeId="0" xr:uid="{00000000-0006-0000-0700-0000A4000000}">
      <text>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165" authorId="0" shapeId="0" xr:uid="{00000000-0006-0000-0700-0000A5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M165" authorId="0" shapeId="0" xr:uid="{00000000-0006-0000-0700-0000A6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165" authorId="0" shapeId="0" xr:uid="{00000000-0006-0000-0700-0000A7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165" authorId="0" shapeId="0" xr:uid="{00000000-0006-0000-0700-0000A8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P165" authorId="0" shapeId="0" xr:uid="{00000000-0006-0000-0700-0000A9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165" authorId="0" shapeId="0" xr:uid="{00000000-0006-0000-0700-0000AA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165" authorId="0" shapeId="0" xr:uid="{00000000-0006-0000-0700-0000AB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S165" authorId="0" shapeId="0" xr:uid="{00000000-0006-0000-0700-0000AC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T165" authorId="0" shapeId="0" xr:uid="{00000000-0006-0000-0700-0000AD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165" authorId="0" shapeId="0" xr:uid="{00000000-0006-0000-0700-0000AE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165" authorId="0" shapeId="0" xr:uid="{00000000-0006-0000-0700-0000AF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W165" authorId="0" shapeId="0" xr:uid="{00000000-0006-0000-0700-0000B0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65" authorId="0" shapeId="0" xr:uid="{00000000-0006-0000-0700-0000B1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165" authorId="0" shapeId="0" xr:uid="{00000000-0006-0000-0700-0000B2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165" authorId="0" shapeId="0" xr:uid="{00000000-0006-0000-0700-0000B3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A165" authorId="0" shapeId="0" xr:uid="{00000000-0006-0000-0700-0000B4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B165" authorId="0" shapeId="0" xr:uid="{00000000-0006-0000-0700-0000B5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C165" authorId="0" shapeId="0" xr:uid="{00000000-0006-0000-0700-0000B6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165" authorId="0" shapeId="0" xr:uid="{00000000-0006-0000-0700-0000B7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165" authorId="0" shapeId="0" xr:uid="{00000000-0006-0000-0700-0000B8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F165" authorId="0" shapeId="0" xr:uid="{00000000-0006-0000-0700-0000B9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165" authorId="0" shapeId="0" xr:uid="{00000000-0006-0000-0700-0000BA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H165" authorId="0" shapeId="0" xr:uid="{00000000-0006-0000-0700-0000BB00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I165" authorId="0" shapeId="0" xr:uid="{00000000-0006-0000-0700-0000BC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J165" authorId="0" shapeId="0" xr:uid="{00000000-0006-0000-0700-0000BD00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K165" authorId="0" shapeId="0" xr:uid="{00000000-0006-0000-0700-0000BE00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L165" authorId="0" shapeId="0" xr:uid="{00000000-0006-0000-0700-0000BF00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M165" authorId="0" shapeId="0" xr:uid="{00000000-0006-0000-0700-0000C000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N165" authorId="0" shapeId="0" xr:uid="{00000000-0006-0000-0700-0000C100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O165" authorId="0" shapeId="0" xr:uid="{00000000-0006-0000-0700-0000C200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AP165" authorId="0" shapeId="0" xr:uid="{00000000-0006-0000-0700-0000C300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Q165" authorId="0" shapeId="0" xr:uid="{00000000-0006-0000-0700-0000C4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5" authorId="0" shapeId="0" xr:uid="{00000000-0006-0000-0700-0000C5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65" authorId="0" shapeId="0" xr:uid="{00000000-0006-0000-0700-0000C6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65" authorId="0" shapeId="0" xr:uid="{00000000-0006-0000-0700-0000C7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8" authorId="0" shapeId="0" xr:uid="{00000000-0006-0000-0700-0000C8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168" authorId="0" shapeId="0" xr:uid="{00000000-0006-0000-0700-0000C9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8" authorId="0" shapeId="0" xr:uid="{00000000-0006-0000-0700-0000CA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8" authorId="0" shapeId="0" xr:uid="{00000000-0006-0000-0700-0000CB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8" authorId="0" shapeId="0" xr:uid="{00000000-0006-0000-0700-0000CC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8" authorId="0" shapeId="0" xr:uid="{00000000-0006-0000-0700-0000CD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68" authorId="0" shapeId="0" xr:uid="{00000000-0006-0000-0700-0000CE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O168" authorId="0" shapeId="0" xr:uid="{00000000-0006-0000-0700-0000CF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P168" authorId="0" shapeId="0" xr:uid="{00000000-0006-0000-0700-0000D0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Q168" authorId="0" shapeId="0" xr:uid="{00000000-0006-0000-0700-0000D1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R168" authorId="0" shapeId="0" xr:uid="{00000000-0006-0000-0700-0000D2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S168" authorId="0" shapeId="0" xr:uid="{00000000-0006-0000-0700-0000D3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T168" authorId="0" shapeId="0" xr:uid="{00000000-0006-0000-0700-0000D4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U168" authorId="0" shapeId="0" xr:uid="{00000000-0006-0000-0700-0000D5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V168" authorId="0" shapeId="0" xr:uid="{00000000-0006-0000-0700-0000D6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W168" authorId="0" shapeId="0" xr:uid="{00000000-0006-0000-0700-0000D7000000}">
      <text>
        <r>
          <rPr>
            <sz val="11"/>
            <rFont val="Calibri"/>
          </rPr>
          <t xml:space="preserve">Ensure </t>
        </r>
        <r>
          <rPr>
            <sz val="11"/>
            <color rgb="FF000000"/>
            <rFont val="Calibri"/>
          </rPr>
          <t>'</t>
        </r>
        <r>
          <rPr>
            <b/>
            <sz val="11"/>
            <color rgb="FF000000"/>
            <rFont val="Calibri"/>
          </rPr>
          <t>Cloud Extended Timeout</t>
        </r>
        <r>
          <rPr>
            <sz val="11"/>
            <color rgb="FF000000"/>
            <rFont val="Calibri"/>
          </rPr>
          <t>'</t>
        </r>
        <r>
          <rPr>
            <sz val="11"/>
            <color rgb="FF000000"/>
            <rFont val="Calibri"/>
          </rPr>
          <t xml:space="preserve"> is set to </t>
        </r>
        <r>
          <rPr>
            <sz val="11"/>
            <color rgb="FF000000"/>
            <rFont val="Calibri"/>
          </rPr>
          <t>'</t>
        </r>
        <r>
          <rPr>
            <b/>
            <sz val="11"/>
            <color rgb="FF000000"/>
            <rFont val="Calibri"/>
          </rPr>
          <t>50</t>
        </r>
        <r>
          <rPr>
            <sz val="11"/>
            <color rgb="FF000000"/>
            <rFont val="Calibri"/>
          </rPr>
          <t>'</t>
        </r>
      </text>
    </comment>
    <comment ref="X168" authorId="0" shapeId="0" xr:uid="{00000000-0006-0000-0700-0000D8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168" authorId="0" shapeId="0" xr:uid="{00000000-0006-0000-0700-0000D9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Z168" authorId="0" shapeId="0" xr:uid="{00000000-0006-0000-0700-0000DA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AA168" authorId="0" shapeId="0" xr:uid="{00000000-0006-0000-0700-0000DB000000}">
      <text>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text>
    </comment>
    <comment ref="AB168" authorId="0" shapeId="0" xr:uid="{00000000-0006-0000-0700-0000DC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C168" authorId="0" shapeId="0" xr:uid="{00000000-0006-0000-0700-0000DD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text>
    </comment>
    <comment ref="AD168" authorId="0" shapeId="0" xr:uid="{00000000-0006-0000-0700-0000DE000000}">
      <text>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text>
    </comment>
    <comment ref="AE168" authorId="0" shapeId="0" xr:uid="{00000000-0006-0000-0700-0000DF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H52" authorId="0" shapeId="0" xr:uid="{00000000-0006-0000-0800-000003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G53" authorId="0" shapeId="0" xr:uid="{00000000-0006-0000-0800-000004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H53" authorId="0" shapeId="0" xr:uid="{00000000-0006-0000-0800-000005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I53" authorId="0" shapeId="0" xr:uid="{00000000-0006-0000-0800-000006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G54" authorId="0" shapeId="0" xr:uid="{00000000-0006-0000-0800-000007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H54" authorId="0" shapeId="0" xr:uid="{00000000-0006-0000-0800-00000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0D000000}">
      <text>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J54" authorId="0" shapeId="0" xr:uid="{00000000-0006-0000-0800-000008000000}">
      <text>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K54" authorId="0" shapeId="0" xr:uid="{00000000-0006-0000-0800-000009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3.0.0</t>
        </r>
        <r>
          <rPr>
            <sz val="11"/>
            <color rgb="FF000000"/>
            <rFont val="Calibri"/>
          </rPr>
          <t>'</t>
        </r>
      </text>
    </comment>
    <comment ref="L54" authorId="0" shapeId="0" xr:uid="{00000000-0006-0000-0800-00000A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M54" authorId="0" shapeId="0" xr:uid="{00000000-0006-0000-0800-00000B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3" authorId="0" shapeId="0" xr:uid="{00000000-0006-0000-0800-00000E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H63" authorId="0" shapeId="0" xr:uid="{00000000-0006-0000-0800-00000F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G64" authorId="0" shapeId="0" xr:uid="{00000000-0006-0000-0800-000010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4" authorId="0" shapeId="0" xr:uid="{00000000-0006-0000-0800-000015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4" authorId="0" shapeId="0" xr:uid="{00000000-0006-0000-0800-00001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J64" authorId="0" shapeId="0" xr:uid="{00000000-0006-0000-0800-000017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K64" authorId="0" shapeId="0" xr:uid="{00000000-0006-0000-0800-000018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64" authorId="0" shapeId="0" xr:uid="{00000000-0006-0000-0800-000019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64" authorId="0" shapeId="0" xr:uid="{00000000-0006-0000-0800-00001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N64" authorId="0" shapeId="0" xr:uid="{00000000-0006-0000-0800-000011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O64" authorId="0" shapeId="0" xr:uid="{00000000-0006-0000-0800-00001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4" authorId="0" shapeId="0" xr:uid="{00000000-0006-0000-0800-000013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Q64" authorId="0" shapeId="0" xr:uid="{00000000-0006-0000-0800-000014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0" authorId="0" shapeId="0" xr:uid="{00000000-0006-0000-0800-00001B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0" authorId="0" shapeId="0" xr:uid="{00000000-0006-0000-0800-00001C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D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0" authorId="0" shapeId="0" xr:uid="{00000000-0006-0000-0800-00001E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K80" authorId="0" shapeId="0" xr:uid="{00000000-0006-0000-0800-00001F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L80" authorId="0" shapeId="0" xr:uid="{00000000-0006-0000-0800-000020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M80" authorId="0" shapeId="0" xr:uid="{00000000-0006-0000-0800-000021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N80" authorId="0" shapeId="0" xr:uid="{00000000-0006-0000-0800-000022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O80" authorId="0" shapeId="0" xr:uid="{00000000-0006-0000-0800-000023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P80" authorId="0" shapeId="0" xr:uid="{00000000-0006-0000-0800-000024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Q80" authorId="0" shapeId="0" xr:uid="{00000000-0006-0000-0800-000025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G100" authorId="0" shapeId="0" xr:uid="{00000000-0006-0000-0800-000026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2" authorId="0" shapeId="0" xr:uid="{00000000-0006-0000-0A00-00000E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text>
    </comment>
    <comment ref="U202" authorId="0" shapeId="0" xr:uid="{00000000-0006-0000-0A00-00000D00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text>
    </comment>
    <comment ref="H205" authorId="0" shapeId="0" xr:uid="{00000000-0006-0000-0A00-00000F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5" authorId="0" shapeId="0" xr:uid="{00000000-0006-0000-0A00-000010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A00-000011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5" authorId="0" shapeId="0" xr:uid="{00000000-0006-0000-0A00-000012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text>
    </comment>
    <comment ref="L205" authorId="0" shapeId="0" xr:uid="{00000000-0006-0000-0A00-000013000000}">
      <text>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text>
    </comment>
    <comment ref="M205" authorId="0" shapeId="0" xr:uid="{00000000-0006-0000-0A00-000014000000}">
      <text>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205" authorId="0" shapeId="0" xr:uid="{00000000-0006-0000-0A00-000015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text>
    </comment>
    <comment ref="O205" authorId="0" shapeId="0" xr:uid="{00000000-0006-0000-0A00-000016000000}">
      <text>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text>
    </comment>
    <comment ref="P205" authorId="0" shapeId="0" xr:uid="{00000000-0006-0000-0A00-000017000000}">
      <text>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text>
    </comment>
    <comment ref="Q205" authorId="0" shapeId="0" xr:uid="{00000000-0006-0000-0A00-000018000000}">
      <text>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text>
    </comment>
    <comment ref="R205" authorId="0" shapeId="0" xr:uid="{00000000-0006-0000-0A00-000019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text>
    </comment>
    <comment ref="H206" authorId="0" shapeId="0" xr:uid="{00000000-0006-0000-0A00-00001A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text>
    </comment>
    <comment ref="H207" authorId="0" shapeId="0" xr:uid="{00000000-0006-0000-0A00-00001B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7" authorId="0" shapeId="0" xr:uid="{00000000-0006-0000-0A00-00001C000000}">
      <text>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text>
    </comment>
    <comment ref="H210" authorId="0" shapeId="0" xr:uid="{00000000-0006-0000-0A00-00001D000000}">
      <text>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I210" authorId="0" shapeId="0" xr:uid="{00000000-0006-0000-0A00-00001E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J210" authorId="0" shapeId="0" xr:uid="{00000000-0006-0000-0A00-00001F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K210" authorId="0" shapeId="0" xr:uid="{00000000-0006-0000-0A00-000020000000}">
      <text>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L210" authorId="0" shapeId="0" xr:uid="{00000000-0006-0000-0A00-000021000000}">
      <text>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text>
    </comment>
    <comment ref="M210" authorId="0" shapeId="0" xr:uid="{00000000-0006-0000-0A00-000022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H211" authorId="0" shapeId="0" xr:uid="{00000000-0006-0000-0A00-000023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I211" authorId="0" shapeId="0" xr:uid="{00000000-0006-0000-0A00-000024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J211" authorId="0" shapeId="0" xr:uid="{00000000-0006-0000-0A00-000025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text>
    </comment>
    <comment ref="H212" authorId="0" shapeId="0" xr:uid="{00000000-0006-0000-0A00-000026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H214" authorId="0" shapeId="0" xr:uid="{00000000-0006-0000-0A00-000027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H231" authorId="0" shapeId="0" xr:uid="{00000000-0006-0000-0A00-000028000000}">
      <text>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I231" authorId="0" shapeId="0" xr:uid="{00000000-0006-0000-0A00-000029000000}">
      <text>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J231" authorId="0" shapeId="0" xr:uid="{00000000-0006-0000-0A00-00002A000000}">
      <text>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K231" authorId="0" shapeId="0" xr:uid="{00000000-0006-0000-0A00-00002B000000}">
      <text>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L231" authorId="0" shapeId="0" xr:uid="{00000000-0006-0000-0A00-00002C000000}">
      <text>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M231" authorId="0" shapeId="0" xr:uid="{00000000-0006-0000-0A00-00002D000000}">
      <text>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N231" authorId="0" shapeId="0" xr:uid="{00000000-0006-0000-0A00-00002E000000}">
      <text>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O231" authorId="0" shapeId="0" xr:uid="{00000000-0006-0000-0A00-00002F000000}">
      <text>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P231" authorId="0" shapeId="0" xr:uid="{00000000-0006-0000-0A00-000030000000}">
      <text>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text>
    </comment>
    <comment ref="Q231" authorId="0" shapeId="0" xr:uid="{00000000-0006-0000-0A00-000031000000}">
      <text>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R231" authorId="0" shapeId="0" xr:uid="{00000000-0006-0000-0A00-000032000000}">
      <text>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S231" authorId="0" shapeId="0" xr:uid="{00000000-0006-0000-0A00-000033000000}">
      <text>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text>
    </comment>
    <comment ref="H238" authorId="0" shapeId="0" xr:uid="{00000000-0006-0000-0A00-000034000000}">
      <text>
        <r>
          <rPr>
            <sz val="11"/>
            <rFont val="Calibri"/>
          </rPr>
          <t xml:space="preserve">Ensure </t>
        </r>
        <r>
          <rPr>
            <sz val="11"/>
            <color rgb="FF000000"/>
            <rFont val="Calibri"/>
          </rPr>
          <t>'</t>
        </r>
        <r>
          <rPr>
            <b/>
            <sz val="11"/>
            <color rgb="FF000000"/>
            <rFont val="Calibri"/>
          </rPr>
          <t>Disable Local Admin Merge</t>
        </r>
        <r>
          <rPr>
            <sz val="11"/>
            <color rgb="FF000000"/>
            <rFont val="Calibri"/>
          </rPr>
          <t>'</t>
        </r>
        <r>
          <rPr>
            <sz val="11"/>
            <color rgb="FF000000"/>
            <rFont val="Calibri"/>
          </rPr>
          <t xml:space="preserve"> is set to </t>
        </r>
        <r>
          <rPr>
            <sz val="11"/>
            <color rgb="FF000000"/>
            <rFont val="Calibri"/>
          </rPr>
          <t>'</t>
        </r>
        <r>
          <rPr>
            <b/>
            <sz val="11"/>
            <color rgb="FF000000"/>
            <rFont val="Calibri"/>
          </rPr>
          <t>Disable Local Admin Merge</t>
        </r>
        <r>
          <rPr>
            <sz val="11"/>
            <color rgb="FF000000"/>
            <rFont val="Calibri"/>
          </rPr>
          <t>'</t>
        </r>
      </text>
    </comment>
    <comment ref="I238" authorId="0" shapeId="0" xr:uid="{00000000-0006-0000-0A00-000035000000}">
      <text>
        <r>
          <rPr>
            <sz val="11"/>
            <rFont val="Calibri"/>
          </rPr>
          <t xml:space="preserve">Ensure </t>
        </r>
        <r>
          <rPr>
            <sz val="11"/>
            <color rgb="FF000000"/>
            <rFont val="Calibri"/>
          </rPr>
          <t>'</t>
        </r>
        <r>
          <rPr>
            <b/>
            <sz val="11"/>
            <color rgb="FF000000"/>
            <rFont val="Calibri"/>
          </rPr>
          <t>Hide Exclusions From Local Admins</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local admins will no longer be able to see the exclusion list in Windows Security App or via PowerShell.</t>
        </r>
        <r>
          <rPr>
            <sz val="11"/>
            <color rgb="FF000000"/>
            <rFont val="Calibri"/>
          </rPr>
          <t>'</t>
        </r>
      </text>
    </comment>
    <comment ref="H242" authorId="0" shapeId="0" xr:uid="{00000000-0006-0000-0A00-000036000000}">
      <text>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242" authorId="0" shapeId="0" xr:uid="{00000000-0006-0000-0A00-00003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2" authorId="0" shapeId="0" xr:uid="{00000000-0006-0000-0A00-000038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K242" authorId="0" shapeId="0" xr:uid="{00000000-0006-0000-0A00-000039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3.0.0</t>
        </r>
        <r>
          <rPr>
            <sz val="11"/>
            <color rgb="FF000000"/>
            <rFont val="Calibri"/>
          </rPr>
          <t>'</t>
        </r>
      </text>
    </comment>
    <comment ref="L242" authorId="0" shapeId="0" xr:uid="{00000000-0006-0000-0A00-00003A000000}">
      <text>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text>
    </comment>
    <comment ref="M242" authorId="0" shapeId="0" xr:uid="{00000000-0006-0000-0A00-00003B000000}">
      <text>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text>
    </comment>
    <comment ref="N242" authorId="0" shapeId="0" xr:uid="{00000000-0006-0000-0A00-00003C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3D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text>
    </comment>
    <comment ref="I244" authorId="0" shapeId="0" xr:uid="{00000000-0006-0000-0A00-00003E00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J244" authorId="0" shapeId="0" xr:uid="{00000000-0006-0000-0A00-00003F000000}">
      <text>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Hypervisor-Protected Code Integrity with UEFI lock.</t>
        </r>
        <r>
          <rPr>
            <sz val="11"/>
            <color rgb="FF000000"/>
            <rFont val="Calibri"/>
          </rPr>
          <t>'</t>
        </r>
      </text>
    </comment>
    <comment ref="H249" authorId="0" shapeId="0" xr:uid="{00000000-0006-0000-0A00-000040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49" authorId="0" shapeId="0" xr:uid="{00000000-0006-0000-0A00-000041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H308" authorId="0" shapeId="0" xr:uid="{00000000-0006-0000-0A00-000042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I308" authorId="0" shapeId="0" xr:uid="{00000000-0006-0000-0A00-00004A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308" authorId="0" shapeId="0" xr:uid="{00000000-0006-0000-0A00-00004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K308" authorId="0" shapeId="0" xr:uid="{00000000-0006-0000-0A00-00004C000000}">
      <text>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text>
    </comment>
    <comment ref="L308" authorId="0" shapeId="0" xr:uid="{00000000-0006-0000-0A00-00004D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4E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N308" authorId="0" shapeId="0" xr:uid="{00000000-0006-0000-0A00-00004F000000}">
      <text>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A00-000050000000}">
      <text>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08" authorId="0" shapeId="0" xr:uid="{00000000-0006-0000-0A00-000051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08" authorId="0" shapeId="0" xr:uid="{00000000-0006-0000-0A00-00005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text>
    </comment>
    <comment ref="R308" authorId="0" shapeId="0" xr:uid="{00000000-0006-0000-0A00-000053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S308" authorId="0" shapeId="0" xr:uid="{00000000-0006-0000-0A00-00005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T308" authorId="0" shapeId="0" xr:uid="{00000000-0006-0000-0A00-000055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t>
        </r>
        <r>
          <rPr>
            <sz val="11"/>
            <color rgb="FF000000"/>
            <rFont val="Calibri"/>
          </rPr>
          <t>'</t>
        </r>
      </text>
    </comment>
    <comment ref="U308" authorId="0" shapeId="0" xr:uid="{00000000-0006-0000-0A00-000056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V308" authorId="0" shapeId="0" xr:uid="{00000000-0006-0000-0A00-00004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W308" authorId="0" shapeId="0" xr:uid="{00000000-0006-0000-0A00-000044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X308" authorId="0" shapeId="0" xr:uid="{00000000-0006-0000-0A00-000045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Y308" authorId="0" shapeId="0" xr:uid="{00000000-0006-0000-0A00-000046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Z308" authorId="0" shapeId="0" xr:uid="{00000000-0006-0000-0A00-000047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A308" authorId="0" shapeId="0" xr:uid="{00000000-0006-0000-0A00-000048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text>
    </comment>
    <comment ref="AB308" authorId="0" shapeId="0" xr:uid="{00000000-0006-0000-0A00-000049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H312" authorId="0" shapeId="0" xr:uid="{00000000-0006-0000-0A00-000057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H315" authorId="0" shapeId="0" xr:uid="{00000000-0006-0000-0A00-000058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H319" authorId="0" shapeId="0" xr:uid="{00000000-0006-0000-0A00-000059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H345" authorId="0" shapeId="0" xr:uid="{00000000-0006-0000-0A00-00005A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text>
    </comment>
    <comment ref="I345" authorId="0" shapeId="0" xr:uid="{00000000-0006-0000-0A00-00005B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text>
    </comment>
    <comment ref="J345" authorId="0" shapeId="0" xr:uid="{00000000-0006-0000-0A00-00005C000000}">
      <text>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5" authorId="0" shapeId="0" xr:uid="{00000000-0006-0000-0A00-00005D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L345" authorId="0" shapeId="0" xr:uid="{00000000-0006-0000-0A00-00005E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text>
    </comment>
    <comment ref="M345" authorId="0" shapeId="0" xr:uid="{00000000-0006-0000-0A00-00005F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text>
    </comment>
    <comment ref="N345" authorId="0" shapeId="0" xr:uid="{00000000-0006-0000-0A00-000060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O345" authorId="0" shapeId="0" xr:uid="{00000000-0006-0000-0A00-000061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text>
    </comment>
    <comment ref="H356" authorId="0" shapeId="0" xr:uid="{00000000-0006-0000-0A00-000062000000}">
      <text>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356" authorId="0" shapeId="0" xr:uid="{00000000-0006-0000-0A00-00006C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J356" authorId="0" shapeId="0" xr:uid="{00000000-0006-0000-0A00-00006D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356" authorId="0" shapeId="0" xr:uid="{00000000-0006-0000-0A00-00006E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A00-00006F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M356" authorId="0" shapeId="0" xr:uid="{00000000-0006-0000-0A00-00007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356" authorId="0" shapeId="0" xr:uid="{00000000-0006-0000-0A00-000071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72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P356" authorId="0" shapeId="0" xr:uid="{00000000-0006-0000-0A00-000073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Q356" authorId="0" shapeId="0" xr:uid="{00000000-0006-0000-0A00-000074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A00-000075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356" authorId="0" shapeId="0" xr:uid="{00000000-0006-0000-0A00-000076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356" authorId="0" shapeId="0" xr:uid="{00000000-0006-0000-0A00-000077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U356" authorId="0" shapeId="0" xr:uid="{00000000-0006-0000-0A00-000078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356" authorId="0" shapeId="0" xr:uid="{00000000-0006-0000-0A00-000079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A00-00007A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X356" authorId="0" shapeId="0" xr:uid="{00000000-0006-0000-0A00-00007B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Y356" authorId="0" shapeId="0" xr:uid="{00000000-0006-0000-0A00-00007C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Z356" authorId="0" shapeId="0" xr:uid="{00000000-0006-0000-0A00-00007D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A356" authorId="0" shapeId="0" xr:uid="{00000000-0006-0000-0A00-00007E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356" authorId="0" shapeId="0" xr:uid="{00000000-0006-0000-0A00-00007F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356" authorId="0" shapeId="0" xr:uid="{00000000-0006-0000-0A00-000063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D356" authorId="0" shapeId="0" xr:uid="{00000000-0006-0000-0A00-000064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356" authorId="0" shapeId="0" xr:uid="{00000000-0006-0000-0A00-000065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text>
    </comment>
    <comment ref="AF356" authorId="0" shapeId="0" xr:uid="{00000000-0006-0000-0A00-00006600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G356" authorId="0" shapeId="0" xr:uid="{00000000-0006-0000-0A00-000067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H356" authorId="0" shapeId="0" xr:uid="{00000000-0006-0000-0A00-00006800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AI356" authorId="0" shapeId="0" xr:uid="{00000000-0006-0000-0A00-00006900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J356" authorId="0" shapeId="0" xr:uid="{00000000-0006-0000-0A00-00006A00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text>
    </comment>
    <comment ref="AK356" authorId="0" shapeId="0" xr:uid="{00000000-0006-0000-0A00-00006B00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text>
    </comment>
    <comment ref="H368" authorId="0" shapeId="0" xr:uid="{00000000-0006-0000-0A00-000080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I368" authorId="0" shapeId="0" xr:uid="{00000000-0006-0000-0A00-000081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J368" authorId="0" shapeId="0" xr:uid="{00000000-0006-0000-0A00-000082000000}">
      <text>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K368" authorId="0" shapeId="0" xr:uid="{00000000-0006-0000-0A00-00008300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L368" authorId="0" shapeId="0" xr:uid="{00000000-0006-0000-0A00-00008400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 ref="M368" authorId="0" shapeId="0" xr:uid="{00000000-0006-0000-0A00-00008500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text>
    </comment>
  </commentList>
</comments>
</file>

<file path=xl/sharedStrings.xml><?xml version="1.0" encoding="utf-8"?>
<sst xmlns="http://schemas.openxmlformats.org/spreadsheetml/2006/main" count="15603" uniqueCount="6817">
  <si>
    <t>Section</t>
  </si>
  <si>
    <t>Id</t>
  </si>
  <si>
    <t>Title</t>
  </si>
  <si>
    <t>MoSCoW</t>
  </si>
  <si>
    <t>OpsImpact</t>
  </si>
  <si>
    <t>Phase</t>
  </si>
  <si>
    <t>ImplStatus</t>
  </si>
  <si>
    <t>Notes</t>
  </si>
  <si>
    <t>Remediation</t>
  </si>
  <si>
    <t>Description</t>
  </si>
  <si>
    <t>SectionUrl</t>
  </si>
  <si>
    <t>CspUrl</t>
  </si>
  <si>
    <t>CspDevice</t>
  </si>
  <si>
    <t>GpmName</t>
  </si>
  <si>
    <t>GpmFriendlyName</t>
  </si>
  <si>
    <t>GpmLocation</t>
  </si>
  <si>
    <t>GpmPath</t>
  </si>
  <si>
    <t>GpmRegKeyName</t>
  </si>
  <si>
    <t>GpmRegValueName</t>
  </si>
  <si>
    <t>GpmAdmxFileName</t>
  </si>
  <si>
    <t>Status</t>
  </si>
  <si>
    <t>LogID</t>
  </si>
  <si>
    <t>Personalization</t>
  </si>
  <si>
    <t>1.1.1.1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</si>
  <si>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</si>
  <si>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Unassigned</t>
  </si>
  <si>
    <t>Unassessed</t>
  </si>
  <si>
    <t>Pending</t>
  </si>
  <si>
    <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</si>
  <si>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</si>
  <si>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can't be invoked on the lock screen.</t>
    </r>
  </si>
  <si>
    <t>https://learn.microsoft.com/en-us/intune/device-security/security-baselines/ref-windows-mdm-settings?pivots=mdm-24h2#control-panel--personalization-1</t>
  </si>
  <si>
    <t>https://learn.microsoft.com/en-us/windows/client-management/mdm/policy-csp-devicelock?WT.mc_id=Portal-fx#preventenablinglockscreencamera</t>
  </si>
  <si>
    <t>./Device/Vendor/MSFT/Policy/Config/DeviceLock/PreventEnablingLockScreenCamera</t>
  </si>
  <si>
    <t>CPL_Personalization_NoLockScreenCamera</t>
  </si>
  <si>
    <t>Prevent enabling lock screen camera</t>
  </si>
  <si>
    <t>Computer Configuration</t>
  </si>
  <si>
    <t>Control Panel &gt; Personalization</t>
  </si>
  <si>
    <t>Software\Policies\Microsoft\Windows\Personalization</t>
  </si>
  <si>
    <t>NoLockScreenCamera</t>
  </si>
  <si>
    <t>ControlPanelDisplay.admx</t>
  </si>
  <si>
    <t>1.1.1.2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</si>
  <si>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</si>
  <si>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</si>
  <si>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</si>
  <si>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https://learn.microsoft.com/en-us/windows/client-management/mdm/policy-csp-devicelock?WT.mc_id=Portal-fx#preventlockscreenslideshow</t>
  </si>
  <si>
    <t>./Device/Vendor/MSFT/Policy/Config/DeviceLock/PreventLockScreenSlideShow</t>
  </si>
  <si>
    <t>CPL_Personalization_NoLockScreenSlideshow</t>
  </si>
  <si>
    <t>Prevent enabling lock screen slide show</t>
  </si>
  <si>
    <t>NoLockScreenSlideshow</t>
  </si>
  <si>
    <t>MS Security Guide</t>
  </si>
  <si>
    <t>1.2.1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</si>
  <si>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</si>
  <si>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Templates\MS Security Guide\Apply UAC restrictions to local accounts on network logons</t>
    </r>
  </si>
  <si>
    <t>https://learn.microsoft.com/en-us/intune/device-security/security-baselines/ref-windows-mdm-settings?pivots=mdm-24h2#ms-security-guide-1</t>
  </si>
  <si>
    <t>https://learn.microsoft.com/en-us/windows/client-management/mdm/policy-csp-mssecurityguide?WT.mc_id=Portal-fx#applyuacrestrictionstolocalaccountsonnetworklogon</t>
  </si>
  <si>
    <t>./Device/Vendor/MSFT/Policy/Config/MSSecurityGuide/ApplyUACRestrictionsToLocalAccountsOnNetworkLogon</t>
  </si>
  <si>
    <t>Pol_SecGuide_0201_LATFP</t>
  </si>
  <si>
    <t>SecGuide.admx</t>
  </si>
  <si>
    <t>1.2.2.1</t>
  </si>
  <si>
    <r>
      <rPr>
        <sz val="11"/>
        <rFont val="Calibri"/>
      </rPr>
      <t xml:space="preserve">Ensure </t>
    </r>
    <r>
      <rPr>
        <sz val="11"/>
        <color rgb="FF000000"/>
        <rFont val="Calibri"/>
      </rPr>
      <t>'</t>
    </r>
    <r>
      <rPr>
        <b/>
        <sz val="11"/>
        <color rgb="FF000000"/>
        <rFont val="Calibri"/>
      </rPr>
      <t>Configure SMB v1 client driver: Configure MrxSmb10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</si>
  <si>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Settings Catalog path to </t>
    </r>
    <r>
      <rPr>
        <b/>
        <sz val="11"/>
        <color rgb="FF000000"/>
        <rFont val="Calibri"/>
      </rPr>
      <t>Enabled: Disable driver (recommended)</t>
    </r>
    <r>
      <rPr>
        <sz val="11"/>
        <color rgb="FF000000"/>
        <rFont val="Calibri"/>
      </rPr>
      <t xml:space="preserve">: </t>
    </r>
    <r>
      <rPr>
        <sz val="11"/>
        <color rgb="FF000000"/>
        <rFont val="Calibri"/>
      </rPr>
      <t xml:space="preserve">
</t>
    </r>
    <r>
      <rPr>
        <sz val="11"/>
        <color rgb="FF006096"/>
        <rFont val="Roboto Condensed"/>
      </rPr>
      <t>Administrative Templates\MS Security Guide\Configure SMB v1 client driver: Configure MrxSmb10 driver</t>
    </r>
  </si>
  <si>
    <t>https://learn.microsoft.com/en-us/windows/client-management/mdm/policy-csp-mssecurityguide?WT.mc_id=Portal-fx#configuresmbv1clientdriver</t>
  </si>
  <si>
    <t>./Device/Vendor/MSFT/Policy/Config/MSSecurityGuide/ConfigureSMBV1ClientDriver</t>
  </si>
  <si>
    <t>Pol_SecGuide_0002_SMBv1_ClientDriver</t>
  </si>
  <si>
    <t>1.2.3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</si>
  <si>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</si>
  <si>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Templates\MS Security Guide\Configure SMB v1 server</t>
    </r>
  </si>
  <si>
    <t>https://learn.microsoft.com/en-us/windows/client-management/mdm/policy-csp-mssecurityguide?WT.mc_id=Portal-fx#configuresmbv1server</t>
  </si>
  <si>
    <t>./Device/Vendor/MSFT/Policy/Config/MSSecurityGuide/ConfigureSMBV1Server</t>
  </si>
  <si>
    <t>Pol_SecGuide_0001_SMBv1_Server</t>
  </si>
  <si>
    <t>1.2.4</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</si>
  <si>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</si>
  <si>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Templates\MS Security Guide\Enable Structured Exception Handling Overwrite Protection (SEHOP)</t>
    </r>
  </si>
  <si>
    <t>https://learn.microsoft.com/en-us/windows/client-management/mdm/policy-csp-mssecurityguide?WT.mc_id=Portal-fx#enablestructuredexceptionhandlingoverwriteprotection</t>
  </si>
  <si>
    <t>./Device/Vendor/MSFT/Policy/Config/MSSecurityGuide/EnableStructuredExceptionHandlingOverwriteProtection</t>
  </si>
  <si>
    <t>Pol_SecGuide_0102_SEHOP</t>
  </si>
  <si>
    <t>1.2.5</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</si>
  <si>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</si>
  <si>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Templates\MS Security Guide\WDigest Authentication (disabling may require KB2871997)</t>
    </r>
  </si>
  <si>
    <t>https://learn.microsoft.com/en-us/windows/client-management/mdm/policy-csp-mssecurityguide?WT.mc_id=Portal-fx#wdigestauthentication</t>
  </si>
  <si>
    <t>./Device/Vendor/MSFT/Policy/Config/MSSecurityGuide/WDigestAuthentication</t>
  </si>
  <si>
    <t>Pol_SecGuide_0202_WDigestAuthn</t>
  </si>
  <si>
    <t>MSS (Legacy)</t>
  </si>
  <si>
    <t>1.3.1.1</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</si>
  <si>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 DisableIPSourceRouting IPv6</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</si>
  <si>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Settings Catalog path to </t>
    </r>
    <r>
      <rPr>
        <b/>
        <sz val="11"/>
        <color rgb="FF000000"/>
        <rFont val="Calibri"/>
      </rPr>
      <t>Enabled: Highest protection, source routing is completely disabled</t>
    </r>
    <r>
      <rPr>
        <sz val="11"/>
        <color rgb="FF000000"/>
        <rFont val="Calibri"/>
      </rPr>
      <t xml:space="preserve">: </t>
    </r>
    <r>
      <rPr>
        <sz val="11"/>
        <color rgb="FF000000"/>
        <rFont val="Calibri"/>
      </rPr>
      <t xml:space="preserve">
</t>
    </r>
    <r>
      <rPr>
        <sz val="11"/>
        <color rgb="FF006096"/>
        <rFont val="Roboto Condensed"/>
      </rPr>
      <t>Administrative Templates\MSS (Legacy)\MSS: (DisableIPSourceRouting IPv6) IP source routing protection level (protects against packet spoofing): DisableIPSourceRouting IPv6</t>
    </r>
  </si>
  <si>
    <r>
      <rPr>
        <sz val="11"/>
        <color rgb="FF000000"/>
        <rFont val="Calibri"/>
      </rPr>
      <t>IPv6 source routing protection level (protects against packet spoofing).</t>
    </r>
  </si>
  <si>
    <t>https://learn.microsoft.com/en-us/intune/device-security/security-baselines/ref-windows-mdm-settings?pivots=mdm-24h2#mss-legacy-1</t>
  </si>
  <si>
    <t>https://learn.microsoft.com/en-us/windows/client-management/mdm/policy-csp-msslegacy?WT.mc_id=Portal-fx#ipv6sourceroutingprotectionlevel</t>
  </si>
  <si>
    <t>./Device/Vendor/MSFT/Policy/Config/MSSLegacy/IPv6SourceRoutingProtectionLevel</t>
  </si>
  <si>
    <t>Pol_MSS_DisableIPSourceRoutingIPv6</t>
  </si>
  <si>
    <t>mss-legacy.admx</t>
  </si>
  <si>
    <t>1.3.2.1</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</si>
  <si>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 DisableIPSourceRouting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</si>
  <si>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Settings Catalog path to </t>
    </r>
    <r>
      <rPr>
        <b/>
        <sz val="11"/>
        <color rgb="FF000000"/>
        <rFont val="Calibri"/>
      </rPr>
      <t>Enabled: Highest protection, source routing is completely disabled</t>
    </r>
    <r>
      <rPr>
        <sz val="11"/>
        <color rgb="FF000000"/>
        <rFont val="Calibri"/>
      </rPr>
      <t xml:space="preserve">: </t>
    </r>
    <r>
      <rPr>
        <sz val="11"/>
        <color rgb="FF000000"/>
        <rFont val="Calibri"/>
      </rPr>
      <t xml:space="preserve">
</t>
    </r>
    <r>
      <rPr>
        <sz val="11"/>
        <color rgb="FF006096"/>
        <rFont val="Roboto Condensed"/>
      </rPr>
      <t>Administrative Templates\MSS (Legacy)\MSS: (DisableIPSourceRouting) IP source routing protection level (protects against packet spoofing): DisableIPSourceRouting</t>
    </r>
  </si>
  <si>
    <r>
      <rPr>
        <sz val="11"/>
        <color rgb="FF000000"/>
        <rFont val="Calibri"/>
      </rPr>
      <t>IP source routing protection level (protects against packet spoofing).</t>
    </r>
  </si>
  <si>
    <t>https://learn.microsoft.com/en-us/windows/client-management/mdm/policy-csp-msslegacy?WT.mc_id=Portal-fx#ipsourceroutingprotectionlevel</t>
  </si>
  <si>
    <t>./Device/Vendor/MSFT/Policy/Config/MSSLegacy/IPSourceRoutingProtectionLevel</t>
  </si>
  <si>
    <t>Pol_MSS_DisableIPSourceRouting</t>
  </si>
  <si>
    <t>1.3.3</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</si>
  <si>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</si>
  <si>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Templates\MSS (Legacy)\MSS: (EnableICMPRedirect) Allow ICMP redirects to override OSPF generated routes</t>
    </r>
  </si>
  <si>
    <r>
      <rPr>
        <sz val="11"/>
        <color rgb="FF000000"/>
        <rFont val="Calibri"/>
      </rPr>
      <t>Allow ICMP redirects to override OSPF generated routes.</t>
    </r>
  </si>
  <si>
    <t>https://learn.microsoft.com/en-us/windows/client-management/mdm/policy-csp-msslegacy?WT.mc_id=Portal-fx#allowicmpredirectstooverrideospfgeneratedroutes</t>
  </si>
  <si>
    <t>./Device/Vendor/MSFT/Policy/Config/MSSLegacy/AllowICMPRedirectsToOverrideOSPFGeneratedRoutes</t>
  </si>
  <si>
    <t>Pol_MSS_EnableICMPRedirect</t>
  </si>
  <si>
    <t>1.3.4</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</si>
  <si>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</si>
  <si>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Templates\MSS (Legacy)\MSS: (NoNameReleaseOnDemand) Allow the computer to ignore NetBIOS name release requests except from WINS servers</t>
    </r>
  </si>
  <si>
    <r>
      <rPr>
        <sz val="11"/>
        <color rgb="FF000000"/>
        <rFont val="Calibri"/>
      </rPr>
      <t>Allow the computer to ignore NetBIOS name release requests except from WINS servers.</t>
    </r>
  </si>
  <si>
    <t>https://learn.microsoft.com/en-us/windows/client-management/mdm/policy-csp-msslegacy?WT.mc_id=Portal-fx#allowthecomputertoignorenetbiosnamereleaserequestsexceptfromwinsservers</t>
  </si>
  <si>
    <t>./Device/Vendor/MSFT/Policy/Config/MSSLegacy/AllowTheComputerToIgnoreNetBIOSNameReleaseRequestsExceptFromWINSServers</t>
  </si>
  <si>
    <t>Pol_MSS_NoNameReleaseOnDemand</t>
  </si>
  <si>
    <t>DNS Client</t>
  </si>
  <si>
    <t>1.4.1.1</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</si>
  <si>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</si>
  <si>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Templates\Network\DNS Client\Turn off multicast name resolution</t>
    </r>
  </si>
  <si>
    <r>
      <rPr>
        <sz val="11"/>
        <color rgb="FF000000"/>
        <rFont val="Calibri"/>
      </rPr>
      <t>Specifies that link local multicast name resolution (LLMNR) is disabled on the DNS client.LLMNR is a secondary name resolution protocol. With LLMNR, queries are sent using multicast over a local network link on a single subnet from a DNS client to another DNS client on the same subnet that also has LLMNR enabled. LLMNR doesn't require a DNS server or DNS client configuration, and provides name resolution in scenarios in which conventional DNS name resolution isn't possible.-  If you enable this policy setting, LLMNR will be disabled on all available network adapters on the DNS client.</t>
    </r>
    <r>
      <rPr>
        <sz val="11"/>
        <color rgb="FF000000"/>
        <rFont val="Calibri"/>
      </rPr>
      <t xml:space="preserve">
</t>
    </r>
    <r>
      <rPr>
        <sz val="11"/>
        <color rgb="FF000000"/>
        <rFont val="Calibri"/>
      </rPr>
      <t>-  If you disable this policy setting, or you don't configure this policy setting, LLMNR will be enabled on all available network adapters.</t>
    </r>
  </si>
  <si>
    <t>https://learn.microsoft.com/en-us/intune/device-security/security-baselines/ref-windows-mdm-settings?pivots=mdm-24h2#network--dns-client-1</t>
  </si>
  <si>
    <t>https://learn.microsoft.com/en-us/windows/client-management/mdm/policy-csp-admx-dnsclient?WT.mc_id=Portal-fx#turn_off_multicast</t>
  </si>
  <si>
    <t>./Device/Vendor/MSFT/Policy/Config/ADMX_DnsClient/Turn_Off_Multicast</t>
  </si>
  <si>
    <t>Turn_Off_Multicast</t>
  </si>
  <si>
    <t>Turn off multicast name resolution</t>
  </si>
  <si>
    <t>Network &gt; DNS Client</t>
  </si>
  <si>
    <t>Software\Policies\Microsoft\Windows NT\DNSClient</t>
  </si>
  <si>
    <t>EnableMulticast</t>
  </si>
  <si>
    <t>DnsClient.admx</t>
  </si>
  <si>
    <t>Network Connections</t>
  </si>
  <si>
    <t>1.4.2.1</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</si>
  <si>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</si>
  <si>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Templates\Network\Network Connections\Prohibit use of Internet Connection Sharing on your DNS domain network</t>
    </r>
  </si>
  <si>
    <t>https://learn.microsoft.com/en-us/intune/device-security/security-baselines/ref-windows-mdm-settings?pivots=mdm-24h2#network--network-connections-1</t>
  </si>
  <si>
    <t>https://learn.microsoft.com/en-us/windows/client-management/mdm/policy-csp-admx-networkconnections?WT.mc_id=Portal-fx#nc-showsharedaccessui</t>
  </si>
  <si>
    <t>Network Provider</t>
  </si>
  <si>
    <t>1.4.3.1.1</t>
  </si>
  <si>
    <r>
      <rPr>
        <sz val="11"/>
        <rFont val="Calibri"/>
      </rPr>
      <t xml:space="preserve">Ensure </t>
    </r>
    <r>
      <rPr>
        <sz val="11"/>
        <color rgb="FF000000"/>
        <rFont val="Calibri"/>
      </rPr>
      <t>'</t>
    </r>
    <r>
      <rPr>
        <b/>
        <sz val="11"/>
        <color rgb="FF000000"/>
        <rFont val="Calibri"/>
      </rPr>
      <t>Hardened UNC Paths: 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Name Value \\*\SYSVOL RequireMutualAuthentication=1,RequireIntegrity=1 \\*\NETLOGON RequireMutualAuthentication=1,RequireIntegrity=1</t>
    </r>
    <r>
      <rPr>
        <sz val="11"/>
        <color rgb="FF000000"/>
        <rFont val="Calibri"/>
      </rPr>
      <t>'</t>
    </r>
  </si>
  <si>
    <r>
      <rPr>
        <sz val="11"/>
        <color rgb="FF000000"/>
        <rFont val="Calibri"/>
      </rPr>
      <t xml:space="preserve">Set the following Settings Catalog path to </t>
    </r>
    <r>
      <rPr>
        <b/>
        <sz val="11"/>
        <color rgb="FF000000"/>
        <rFont val="Calibri"/>
      </rPr>
      <t>Enabled: Name Value \\*\SYSVOL RequireMutualAuthentication=1,RequireIntegrity=1 \\*\NETLOGON RequireMutualAuthentication=1,RequireIntegrity=1</t>
    </r>
    <r>
      <rPr>
        <sz val="11"/>
        <color rgb="FF000000"/>
        <rFont val="Calibri"/>
      </rPr>
      <t xml:space="preserve">: </t>
    </r>
    <r>
      <rPr>
        <sz val="11"/>
        <color rgb="FF000000"/>
        <rFont val="Calibri"/>
      </rPr>
      <t xml:space="preserve">
</t>
    </r>
    <r>
      <rPr>
        <sz val="11"/>
        <color rgb="FF006096"/>
        <rFont val="Roboto Condensed"/>
      </rPr>
      <t>Administrative Templates\Network\Network Provider\Hardened UNC Paths: Hardened UNC Paths</t>
    </r>
  </si>
  <si>
    <r>
      <rPr>
        <sz val="11"/>
        <color rgb="FF000000"/>
        <rFont val="Calibri"/>
      </rPr>
      <t xml:space="preserve">This policy setting configures secure access to UNC paths.If you enable this policy, Windows only allows access to the specified UNC paths after fulfilling additional security requirements.For more information, see MS15-011: Vulnerability in Group Policy could allow remote code execution </t>
    </r>
    <r>
      <rPr>
        <sz val="11"/>
        <color rgb="FF0000FF"/>
        <rFont val="Calibri"/>
      </rPr>
      <t>(https://support.microsoft.com/kb/3000483)</t>
    </r>
    <r>
      <rPr>
        <sz val="11"/>
        <color rgb="FF000000"/>
        <rFont val="Calibri"/>
      </rPr>
      <t>.</t>
    </r>
  </si>
  <si>
    <t>https://learn.microsoft.com/en-us/intune/device-security/security-baselines/ref-windows-mdm-settings?pivots=mdm-24h2#network--network-provider-1</t>
  </si>
  <si>
    <t>https://learn.microsoft.com/en-us/windows/client-management/mdm/policy-csp-connectivity?WT.mc_id=Portal-fx#hardeneduncpaths</t>
  </si>
  <si>
    <t>./Device/Vendor/MSFT/Policy/Config/Connectivity/HardenedUNCPaths</t>
  </si>
  <si>
    <t>Pol_HardenedPaths</t>
  </si>
  <si>
    <t>Hardened UNC Paths</t>
  </si>
  <si>
    <t>Network &gt; Network Provider</t>
  </si>
  <si>
    <t>Software\Policies\Microsoft\Windows\NetworkProvider\HardenedPaths</t>
  </si>
  <si>
    <t>NetworkProvider.admx</t>
  </si>
  <si>
    <t>Windows Connection Manager</t>
  </si>
  <si>
    <t>1.4.4.1</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</si>
  <si>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</si>
  <si>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Templates\Network\Windows Connection Manager\Prohibit connection to non-domain networks when connected to domain authenticated network</t>
    </r>
  </si>
  <si>
    <r>
      <rPr>
        <sz val="11"/>
        <color rgb="FF000000"/>
        <rFont val="Calibri"/>
      </rPr>
      <t>This policy setting prevents computers from connecting to both a domain based network and a non-domain based network at the same time.- If this policy setting is enabled, the computer responds to automatic and manual network connection attempts based on the following circumstances:Automatic connection attempts-  When the computer is already connected to a domain based network, all automatic connection attempts to non-domain networks are blocked.</t>
    </r>
    <r>
      <rPr>
        <sz val="11"/>
        <color rgb="FF000000"/>
        <rFont val="Calibri"/>
      </rPr>
      <t xml:space="preserve">
</t>
    </r>
    <r>
      <rPr>
        <sz val="11"/>
        <color rgb="FF000000"/>
        <rFont val="Calibri"/>
      </rPr>
      <t>-  When the computer is already connected to a non-domain based network, automatic connection attempts to domain based networks are blocked.Manual connection attempts-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t>
    </r>
    <r>
      <rPr>
        <sz val="11"/>
        <color rgb="FF000000"/>
        <rFont val="Calibri"/>
      </rPr>
      <t xml:space="preserve">
</t>
    </r>
    <r>
      <rPr>
        <sz val="11"/>
        <color rgb="FF000000"/>
        <rFont val="Calibri"/>
      </rPr>
      <t>-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r>
      <rPr>
        <sz val="11"/>
        <color rgb="FF000000"/>
        <rFont val="Calibri"/>
      </rPr>
      <t xml:space="preserve">
</t>
    </r>
    <r>
      <rPr>
        <sz val="11"/>
        <color rgb="FF000000"/>
        <rFont val="Calibri"/>
      </rPr>
      <t>-  If this policy setting isn't configured or is disabled, computers are allowed to connect simultaneously to both domain and non-domain networks.</t>
    </r>
  </si>
  <si>
    <t>https://learn.microsoft.com/en-us/intune/device-security/security-baselines/ref-windows-mdm-settings?pivots=mdm-24h2#network--windows-connection-manager-1</t>
  </si>
  <si>
    <t>https://learn.microsoft.com/en-us/windows/client-management/mdm/policy-csp-windowsconnectionmanager?WT.mc_id=Portal-fx#prohitconnectiontonondomainnetworkswhenconnectedtodomainauthenticatednetwork</t>
  </si>
  <si>
    <t>./Device/Vendor/MSFT/Policy/Config/WindowsConnectionManager/ProhitConnectionToNonDomainNetworksWhenConnectedToDomainAuthenticatedNetwork</t>
  </si>
  <si>
    <t>WCM_BlockNonDomain</t>
  </si>
  <si>
    <t>Prohibit connection to non-domain networks when connected to domain authenticated network</t>
  </si>
  <si>
    <t>Network &gt; Windows Connection Manager</t>
  </si>
  <si>
    <t>Software\Policies\Microsoft\Windows\WcmSvc\GroupPolicy</t>
  </si>
  <si>
    <t>fBlockNonDomain</t>
  </si>
  <si>
    <t>WCM.admx</t>
  </si>
  <si>
    <t>Printers</t>
  </si>
  <si>
    <t>1.5.1.1</t>
  </si>
  <si>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</si>
  <si>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Settings Catalog path to </t>
    </r>
    <r>
      <rPr>
        <b/>
        <sz val="11"/>
        <color rgb="FF000000"/>
        <rFont val="Calibri"/>
      </rPr>
      <t>Enabled: Redirection Guard Enabled</t>
    </r>
    <r>
      <rPr>
        <sz val="11"/>
        <color rgb="FF000000"/>
        <rFont val="Calibri"/>
      </rPr>
      <t xml:space="preserve">: </t>
    </r>
    <r>
      <rPr>
        <sz val="11"/>
        <color rgb="FF000000"/>
        <rFont val="Calibri"/>
      </rPr>
      <t xml:space="preserve">
</t>
    </r>
    <r>
      <rPr>
        <sz val="11"/>
        <color rgb="FF006096"/>
        <rFont val="Roboto Condensed"/>
      </rPr>
      <t>Administrative Templates\Printers\Configure Redirection Guard: Redirection Guard Options</t>
    </r>
  </si>
  <si>
    <r>
      <rPr>
        <sz val="11"/>
        <color rgb="FF000000"/>
        <rFont val="Calibri"/>
      </rPr>
      <t>Determines whether Redirection Guard is enabled for the print spooler.You can enable this setting to configure the Redirection Guard policy being applied to spooler.-  If you disable or don't configure this policy setting, Redirection Guard will default to being 'Enabled'.</t>
    </r>
    <r>
      <rPr>
        <sz val="11"/>
        <color rgb="FF000000"/>
        <rFont val="Calibri"/>
      </rPr>
      <t xml:space="preserve">
</t>
    </r>
    <r>
      <rPr>
        <sz val="11"/>
        <color rgb="FF000000"/>
        <rFont val="Calibri"/>
      </rPr>
      <t>-  If you enable this setting you may select the following options:</t>
    </r>
    <r>
      <rPr>
        <sz val="11"/>
        <color rgb="FF000000"/>
        <rFont val="Calibri"/>
      </rPr>
      <t xml:space="preserve">
</t>
    </r>
    <r>
      <rPr>
        <sz val="11"/>
        <color rgb="FF000000"/>
        <rFont val="Calibri"/>
      </rPr>
      <t>-  Enabled: Redirection Guard will prevent any file redirections from being followed.</t>
    </r>
    <r>
      <rPr>
        <sz val="11"/>
        <color rgb="FF000000"/>
        <rFont val="Calibri"/>
      </rPr>
      <t xml:space="preserve">
</t>
    </r>
    <r>
      <rPr>
        <sz val="11"/>
        <color rgb="FF000000"/>
        <rFont val="Calibri"/>
      </rPr>
      <t>-  Disabled: Redirection Guard won't be enabled and file redirections may be used within the spooler process.</t>
    </r>
    <r>
      <rPr>
        <sz val="11"/>
        <color rgb="FF000000"/>
        <rFont val="Calibri"/>
      </rPr>
      <t xml:space="preserve">
</t>
    </r>
    <r>
      <rPr>
        <sz val="11"/>
        <color rgb="FF000000"/>
        <rFont val="Calibri"/>
      </rPr>
      <t>-  Audit: Redirection Guard will log events as though it were enabled but won't actually prevent file redirections from being used within the spooler.The following are the supported values:- 0: Redirection guard disabled.</t>
    </r>
    <r>
      <rPr>
        <sz val="11"/>
        <color rgb="FF000000"/>
        <rFont val="Calibri"/>
      </rPr>
      <t xml:space="preserve">
</t>
    </r>
    <r>
      <rPr>
        <sz val="11"/>
        <color rgb="FF000000"/>
        <rFont val="Calibri"/>
      </rPr>
      <t>- 1 (Default): Redirection guard enabled.</t>
    </r>
    <r>
      <rPr>
        <sz val="11"/>
        <color rgb="FF000000"/>
        <rFont val="Calibri"/>
      </rPr>
      <t xml:space="preserve">
</t>
    </r>
    <r>
      <rPr>
        <sz val="11"/>
        <color rgb="FF000000"/>
        <rFont val="Calibri"/>
      </rPr>
      <t>- 2: Redirection guard audit mode.</t>
    </r>
  </si>
  <si>
    <t>https://learn.microsoft.com/en-us/intune/device-security/security-baselines/ref-windows-mdm-settings?pivots=mdm-24h2#printers-1</t>
  </si>
  <si>
    <t>https://learn.microsoft.com/en-us/windows/client-management/mdm/policy-csp-printers?WT.mc_id=Portal-fx#configureredirectionguardpolicy</t>
  </si>
  <si>
    <t>./Device/Vendor/MSFT/Policy/Config/Printers/ConfigureRedirectionGuardPolicy</t>
  </si>
  <si>
    <t>ConfigureRedirectionGuardPolicy</t>
  </si>
  <si>
    <t>Configure Redirection Guard</t>
  </si>
  <si>
    <t>Software\Policies\Microsoft\Windows NT\Printers</t>
  </si>
  <si>
    <t>Printing.admx</t>
  </si>
  <si>
    <t>1.5.2.1</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</si>
  <si>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</si>
  <si>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Settings Catalog path to </t>
    </r>
    <r>
      <rPr>
        <b/>
        <sz val="11"/>
        <color rgb="FF000000"/>
        <rFont val="Calibri"/>
      </rPr>
      <t>Enabled: Default</t>
    </r>
    <r>
      <rPr>
        <sz val="11"/>
        <color rgb="FF000000"/>
        <rFont val="Calibri"/>
      </rPr>
      <t xml:space="preserve">: </t>
    </r>
    <r>
      <rPr>
        <sz val="11"/>
        <color rgb="FF000000"/>
        <rFont val="Calibri"/>
      </rPr>
      <t xml:space="preserve">
</t>
    </r>
    <r>
      <rPr>
        <sz val="11"/>
        <color rgb="FF006096"/>
        <rFont val="Roboto Condensed"/>
      </rPr>
      <t>Administrative Templates\Printers\Configure RPC connection settings: Use authentication for outgoing RPC connections</t>
    </r>
  </si>
  <si>
    <r>
      <rPr>
        <sz val="11"/>
        <color rgb="FF000000"/>
        <rFont val="Calibri"/>
      </rPr>
      <t>This policy setting controls which protocol and protocol settings to use for outgoing RPC connections to a remote print spooler.By default, RPC over TCP is used and authentication is always enabled. For RPC over named pipes, authentication is always enabled for domain joined machines but disabled for non domain joined machines.Protocol to use for outgoing RPC connections:- "RPC over TCP": Use RPC over TCP for outgoing RPC connections to a remote print spooler</t>
    </r>
    <r>
      <rPr>
        <sz val="11"/>
        <color rgb="FF000000"/>
        <rFont val="Calibri"/>
      </rPr>
      <t xml:space="preserve">
</t>
    </r>
    <r>
      <rPr>
        <sz val="11"/>
        <color rgb="FF000000"/>
        <rFont val="Calibri"/>
      </rPr>
      <t>- "RPC over named pipes": Use RPC over named pipes for outgoing RPC connections to a remote print spooler.Use authentication for outgoing RPC over named pipes connections:- "Default": By default domain joined computers enable RPC authentication for RPC over named pipes while non domain joined computers disable RPC authentication for RPC over named pipes</t>
    </r>
    <r>
      <rPr>
        <sz val="11"/>
        <color rgb="FF000000"/>
        <rFont val="Calibri"/>
      </rPr>
      <t xml:space="preserve">
</t>
    </r>
    <r>
      <rPr>
        <sz val="11"/>
        <color rgb="FF000000"/>
        <rFont val="Calibri"/>
      </rPr>
      <t>- "Authentication enabled": RPC authentication will be used for outgoing RPC over named pipes connections</t>
    </r>
    <r>
      <rPr>
        <sz val="11"/>
        <color rgb="FF000000"/>
        <rFont val="Calibri"/>
      </rPr>
      <t xml:space="preserve">
</t>
    </r>
    <r>
      <rPr>
        <sz val="11"/>
        <color rgb="FF000000"/>
        <rFont val="Calibri"/>
      </rPr>
      <t>- "Authentication disabled": RPC authentication won't be used for outgoing RPC over named pipes connections.If you disable or don't configure this policy setting, the above defaults will be used.</t>
    </r>
  </si>
  <si>
    <t>https://learn.microsoft.com/en-us/windows/client-management/mdm/policy-csp-printers?WT.mc_id=Portal-fx#configurerpcconnectionpolicy</t>
  </si>
  <si>
    <t>./Device/Vendor/MSFT/Policy/Config/Printers/ConfigureRpcConnectionPolicy</t>
  </si>
  <si>
    <t>ConfigureRpcConnectionPolicy</t>
  </si>
  <si>
    <t>Configure RPC connection settings</t>
  </si>
  <si>
    <t>Software\Policies\Microsoft\Windows NT\Printers\RPC</t>
  </si>
  <si>
    <t>1.5.2.2</t>
  </si>
  <si>
    <r>
      <rPr>
        <sz val="11"/>
        <rFont val="Calibri"/>
      </rPr>
      <t xml:space="preserve">Ensure </t>
    </r>
    <r>
      <rPr>
        <sz val="11"/>
        <color rgb="FF000000"/>
        <rFont val="Calibri"/>
      </rPr>
      <t>'</t>
    </r>
    <r>
      <rPr>
        <b/>
        <sz val="11"/>
        <color rgb="FF000000"/>
        <rFont val="Calibri"/>
      </rPr>
      <t>Configure RPC connection settings: Protocol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</si>
  <si>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Settings Catalog path to </t>
    </r>
    <r>
      <rPr>
        <b/>
        <sz val="11"/>
        <color rgb="FF000000"/>
        <rFont val="Calibri"/>
      </rPr>
      <t>Enabled: RPC over TCP</t>
    </r>
    <r>
      <rPr>
        <sz val="11"/>
        <color rgb="FF000000"/>
        <rFont val="Calibri"/>
      </rPr>
      <t xml:space="preserve">: </t>
    </r>
    <r>
      <rPr>
        <sz val="11"/>
        <color rgb="FF000000"/>
        <rFont val="Calibri"/>
      </rPr>
      <t xml:space="preserve">
</t>
    </r>
    <r>
      <rPr>
        <sz val="11"/>
        <color rgb="FF006096"/>
        <rFont val="Roboto Condensed"/>
      </rPr>
      <t>Administrative Templates\Printers\Configure RPC connection settings: Protocol to allow for incoming RPC connections</t>
    </r>
  </si>
  <si>
    <t>1.5.3.1</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</si>
  <si>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RCP over TCP</t>
    </r>
    <r>
      <rPr>
        <sz val="11"/>
        <color rgb="FF000000"/>
        <rFont val="Calibri"/>
      </rPr>
      <t>'</t>
    </r>
  </si>
  <si>
    <r>
      <rPr>
        <sz val="11"/>
        <color rgb="FF000000"/>
        <rFont val="Calibri"/>
      </rPr>
      <t xml:space="preserve">Set the following Settings Catalog path to </t>
    </r>
    <r>
      <rPr>
        <b/>
        <sz val="11"/>
        <color rgb="FF000000"/>
        <rFont val="Calibri"/>
      </rPr>
      <t>Enabled: RCP over TCP</t>
    </r>
    <r>
      <rPr>
        <sz val="11"/>
        <color rgb="FF000000"/>
        <rFont val="Calibri"/>
      </rPr>
      <t xml:space="preserve">: </t>
    </r>
    <r>
      <rPr>
        <sz val="11"/>
        <color rgb="FF000000"/>
        <rFont val="Calibri"/>
      </rPr>
      <t xml:space="preserve">
</t>
    </r>
    <r>
      <rPr>
        <sz val="11"/>
        <color rgb="FF006096"/>
        <rFont val="Roboto Condensed"/>
      </rPr>
      <t>Administrative Templates\Printers\Configure RPC listener settings: Protocols to allow for incoming RPC connections</t>
    </r>
  </si>
  <si>
    <r>
      <rPr>
        <sz val="11"/>
        <color rgb="FF000000"/>
        <rFont val="Calibri"/>
      </rPr>
      <t>This policy setting controls which protocols incoming RPC connections to the print spooler are allowed to use.By default, RPC over TCP is enabled and Negotiate is used for the authentication protocol.Protocols to allow for incoming RPC connections:- "RPC over named pipes": Incoming RPC connections are only allowed over named pipes</t>
    </r>
    <r>
      <rPr>
        <sz val="11"/>
        <color rgb="FF000000"/>
        <rFont val="Calibri"/>
      </rPr>
      <t xml:space="preserve">
</t>
    </r>
    <r>
      <rPr>
        <sz val="11"/>
        <color rgb="FF000000"/>
        <rFont val="Calibri"/>
      </rPr>
      <t>- "RPC over TCP": Incoming RPC connections are only allowed over TCP (the default option)</t>
    </r>
    <r>
      <rPr>
        <sz val="11"/>
        <color rgb="FF000000"/>
        <rFont val="Calibri"/>
      </rPr>
      <t xml:space="preserve">
</t>
    </r>
    <r>
      <rPr>
        <sz val="11"/>
        <color rgb="FF000000"/>
        <rFont val="Calibri"/>
      </rPr>
      <t>- "RPC over named pipes and TCP": Incoming RPC connections will be allowed over TCP and named pipes.Authentication protocol to use for incoming RPC connections:- "Negotiate": Use the Negotiate authentication protocol (the default option)</t>
    </r>
    <r>
      <rPr>
        <sz val="11"/>
        <color rgb="FF000000"/>
        <rFont val="Calibri"/>
      </rPr>
      <t xml:space="preserve">
</t>
    </r>
    <r>
      <rPr>
        <sz val="11"/>
        <color rgb="FF000000"/>
        <rFont val="Calibri"/>
      </rPr>
      <t>- "Kerberos": Use the Kerberos authentication protocol.If you disable or don't configure this policy setting, the above defaults will be used.</t>
    </r>
  </si>
  <si>
    <t>https://learn.microsoft.com/en-us/windows/client-management/mdm/policy-csp-printers?WT.mc_id=Portal-fx#configurerpclistenerpolicy</t>
  </si>
  <si>
    <t>./Device/Vendor/MSFT/Policy/Config/Printers/ConfigureRpcListenerPolicy</t>
  </si>
  <si>
    <t>ConfigureRpcListenerPolicy</t>
  </si>
  <si>
    <t>Configure RPC listener settings</t>
  </si>
  <si>
    <t>1.5.3.2</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</si>
  <si>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</si>
  <si>
    <r>
      <rPr>
        <sz val="11"/>
        <color rgb="FF000000"/>
        <rFont val="Calibri"/>
      </rPr>
      <t xml:space="preserve">Set the following Settings Catalog path to </t>
    </r>
    <r>
      <rPr>
        <b/>
        <sz val="11"/>
        <color rgb="FF000000"/>
        <rFont val="Calibri"/>
      </rPr>
      <t>Enabled: Negotiate</t>
    </r>
    <r>
      <rPr>
        <sz val="11"/>
        <color rgb="FF000000"/>
        <rFont val="Calibri"/>
      </rPr>
      <t xml:space="preserve">: </t>
    </r>
    <r>
      <rPr>
        <sz val="11"/>
        <color rgb="FF000000"/>
        <rFont val="Calibri"/>
      </rPr>
      <t xml:space="preserve">
</t>
    </r>
    <r>
      <rPr>
        <sz val="11"/>
        <color rgb="FF006096"/>
        <rFont val="Roboto Condensed"/>
      </rPr>
      <t>Administrative Templates\Printers\Configure RPC listener settings: Authentication protocol to use for incoming RPC connections</t>
    </r>
  </si>
  <si>
    <t>1.5.4.1</t>
  </si>
  <si>
    <r>
      <rPr>
        <sz val="11"/>
        <rFont val="Calibri"/>
      </rPr>
      <t xml:space="preserve">Ensure </t>
    </r>
    <r>
      <rPr>
        <sz val="11"/>
        <color rgb="FF000000"/>
        <rFont val="Calibri"/>
      </rPr>
      <t>'</t>
    </r>
    <r>
      <rPr>
        <b/>
        <sz val="11"/>
        <color rgb="FF000000"/>
        <rFont val="Calibri"/>
      </rPr>
      <t>Configure RPC over TPC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</si>
  <si>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Settings Catalog path to </t>
    </r>
    <r>
      <rPr>
        <b/>
        <sz val="11"/>
        <color rgb="FF000000"/>
        <rFont val="Calibri"/>
      </rPr>
      <t>Enabled: 0</t>
    </r>
    <r>
      <rPr>
        <sz val="11"/>
        <color rgb="FF000000"/>
        <rFont val="Calibri"/>
      </rPr>
      <t xml:space="preserve">: </t>
    </r>
    <r>
      <rPr>
        <sz val="11"/>
        <color rgb="FF000000"/>
        <rFont val="Calibri"/>
      </rPr>
      <t xml:space="preserve">
</t>
    </r>
    <r>
      <rPr>
        <sz val="11"/>
        <color rgb="FF006096"/>
        <rFont val="Roboto Condensed"/>
      </rPr>
      <t>Administrative Templates\Printers\Configure RPC over TPC port: RPC over TCP port</t>
    </r>
  </si>
  <si>
    <r>
      <rPr>
        <sz val="11"/>
        <color rgb="FF000000"/>
        <rFont val="Calibri"/>
      </rPr>
      <t>This policy setting controls which port is used for RPC over TCP for incoming connections to the print spooler and outgoing connections to remote print spoolers.By default dynamic TCP ports are used.RPC over TCP port:- The port to use for RPC over TCP. A value of 0 is the default and indicates that dynamic TCP ports will be used.If you disable or don't configure this policy setting, dynamic TCP ports are used.</t>
    </r>
  </si>
  <si>
    <t>https://learn.microsoft.com/en-us/windows/client-management/mdm/policy-csp-printers?WT.mc_id=Portal-fx#configurerpctcpport</t>
  </si>
  <si>
    <t>./Device/Vendor/MSFT/Policy/Config/Printers/ConfigureRpcTcpPort</t>
  </si>
  <si>
    <t>ConfigureRpcTcpPort</t>
  </si>
  <si>
    <t>Configure RPC over TCP port</t>
  </si>
  <si>
    <t>1.5.5</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</si>
  <si>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</si>
  <si>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Templates\Printers\Limits print driver installation to Administrators</t>
    </r>
  </si>
  <si>
    <r>
      <rPr>
        <sz val="11"/>
        <color rgb="FF000000"/>
        <rFont val="Calibri"/>
      </rPr>
      <t>Determines whether users that aren't Administrators can install print drivers on this computer.By default, users that aren't Administrators can't install print drivers on this computer.-  If you enable this setting or don't configure it, the system will limit installation of print drivers to Administrators of this computer.</t>
    </r>
    <r>
      <rPr>
        <sz val="11"/>
        <color rgb="FF000000"/>
        <rFont val="Calibri"/>
      </rPr>
      <t xml:space="preserve">
</t>
    </r>
    <r>
      <rPr>
        <sz val="11"/>
        <color rgb="FF000000"/>
        <rFont val="Calibri"/>
      </rPr>
      <t>-  If you disable this setting, the system won't limit installation of print drivers to this computer.</t>
    </r>
  </si>
  <si>
    <t>https://learn.microsoft.com/en-us/windows/client-management/mdm/policy-csp-printers?WT.mc_id=Portal-fx#restrictdriverinstallationtoadministrators</t>
  </si>
  <si>
    <t>./Device/Vendor/MSFT/Policy/Config/Printers/RestrictDriverInstallationToAdministrators</t>
  </si>
  <si>
    <t>RestrictDriverInstallationToAdministrators</t>
  </si>
  <si>
    <t>Limits print driver installation to Administrators</t>
  </si>
  <si>
    <t>Software\Policies\Microsoft\Windows NT\Printers\PointAndPrint</t>
  </si>
  <si>
    <t>1.5.6.1</t>
  </si>
  <si>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</si>
  <si>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Settings Catalog path to </t>
    </r>
    <r>
      <rPr>
        <b/>
        <sz val="11"/>
        <color rgb="FF000000"/>
        <rFont val="Calibri"/>
      </rPr>
      <t>Enabled: Limit Queue-specific files to Color profiles</t>
    </r>
    <r>
      <rPr>
        <sz val="11"/>
        <color rgb="FF000000"/>
        <rFont val="Calibri"/>
      </rPr>
      <t xml:space="preserve">: </t>
    </r>
    <r>
      <rPr>
        <sz val="11"/>
        <color rgb="FF000000"/>
        <rFont val="Calibri"/>
      </rPr>
      <t xml:space="preserve">
</t>
    </r>
    <r>
      <rPr>
        <sz val="11"/>
        <color rgb="FF006096"/>
        <rFont val="Roboto Condensed"/>
      </rPr>
      <t>Administrative Templates\Printers\Manage processing of Queue-specific files: Manage processing of Queue-specific files</t>
    </r>
  </si>
  <si>
    <r>
      <rPr>
        <sz val="11"/>
        <color rgb="FF000000"/>
        <rFont val="Calibri"/>
      </rPr>
      <t>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server.You can enable this setting to change the default behavior involving queue-specific files. To use this setting, select one of the options below from the "Manage processing of Queue-specific files" box.If you disable or don't configure this policy setting, the default behavior is "Limit Queue-specific files to Color profiles".-  "Do not allow Queue-specific files" specifies that no queue-specific files will be allowed/processed during print queue/printer connection installation.</t>
    </r>
    <r>
      <rPr>
        <sz val="11"/>
        <color rgb="FF000000"/>
        <rFont val="Calibri"/>
      </rPr>
      <t xml:space="preserve">
</t>
    </r>
    <r>
      <rPr>
        <sz val="11"/>
        <color rgb="FF000000"/>
        <rFont val="Calibri"/>
      </rPr>
      <t>-  "Limit Queue-specific files to Color profiles" specifies that only queue-specific files that adhere to the standard color profile scheme will be allowed. This means entries using the Registry Key CopyFiles\ICM, containing a Directory value of COLOR and supporting mscms.dll as the Module value. "Limit Queue-specific files to Color profiles" is the default behavior.</t>
    </r>
    <r>
      <rPr>
        <sz val="11"/>
        <color rgb="FF000000"/>
        <rFont val="Calibri"/>
      </rPr>
      <t xml:space="preserve">
</t>
    </r>
    <r>
      <rPr>
        <sz val="11"/>
        <color rgb="FF000000"/>
        <rFont val="Calibri"/>
      </rPr>
      <t>-  "Allow all Queue-specific files" specifies that all queue-specific files will be allowed/processed during print queue/printer connection installation.The following are the supported values:- 0: Do not allow Queue-specific files.</t>
    </r>
    <r>
      <rPr>
        <sz val="11"/>
        <color rgb="FF000000"/>
        <rFont val="Calibri"/>
      </rPr>
      <t xml:space="preserve">
</t>
    </r>
    <r>
      <rPr>
        <sz val="11"/>
        <color rgb="FF000000"/>
        <rFont val="Calibri"/>
      </rPr>
      <t>- 1 (Default): Limit Queue-specific files to Color profiles.</t>
    </r>
    <r>
      <rPr>
        <sz val="11"/>
        <color rgb="FF000000"/>
        <rFont val="Calibri"/>
      </rPr>
      <t xml:space="preserve">
</t>
    </r>
    <r>
      <rPr>
        <sz val="11"/>
        <color rgb="FF000000"/>
        <rFont val="Calibri"/>
      </rPr>
      <t>- 2: Allow all Queue-specific files.</t>
    </r>
  </si>
  <si>
    <t>https://learn.microsoft.com/en-us/windows/client-management/mdm/policy-csp-printers?WT.mc_id=Portal-fx#configurecopyfilespolicy</t>
  </si>
  <si>
    <t>./Device/Vendor/MSFT/Policy/Config/Printers/ConfigureCopyFilesPolicy</t>
  </si>
  <si>
    <t>ConfigureCopyFilesPolicy</t>
  </si>
  <si>
    <t>Manage processing of Queue-specific files</t>
  </si>
  <si>
    <t>Notifications</t>
  </si>
  <si>
    <t>1.6.1.1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</si>
  <si>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</si>
  <si>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Templates\Start Menu and Taskbar\Notifications\Turn off toast notifications on the lock screen</t>
    </r>
  </si>
  <si>
    <t>https://learn.microsoft.com/en-us/intune/device-security/security-baselines/ref-windows-mdm-settings?pivots=mdm-24h2#start-menu-and-taskbar--notifications-1</t>
  </si>
  <si>
    <t>https://learn.microsoft.com/en-us/windows/client-management/mdm/policy-csp-admx-wpn?WT.mc_id=Portal-fx#nolockscreentoastnotification</t>
  </si>
  <si>
    <t>NoLockScreenToastNotification</t>
  </si>
  <si>
    <t>Turn off toast notifications on the lock screen</t>
  </si>
  <si>
    <t>User Configuration</t>
  </si>
  <si>
    <t>Start Menu and Taskbar &gt; Notifications</t>
  </si>
  <si>
    <t>SOFTWARE\Policies\Microsoft\Windows\CurrentVersion\PushNotifications</t>
  </si>
  <si>
    <t>NoToastApplicationNotificationOnLockScreen</t>
  </si>
  <si>
    <t>WPN.admx</t>
  </si>
  <si>
    <t>Credentials Delegation</t>
  </si>
  <si>
    <t>1.7.1.1.1</t>
  </si>
  <si>
    <r>
      <rPr>
        <sz val="11"/>
        <rFont val="Calibri"/>
      </rPr>
      <t xml:space="preserve">Ensure </t>
    </r>
    <r>
      <rPr>
        <sz val="11"/>
        <color rgb="FF000000"/>
        <rFont val="Calibri"/>
      </rPr>
      <t>'</t>
    </r>
    <r>
      <rPr>
        <b/>
        <sz val="11"/>
        <color rgb="FF000000"/>
        <rFont val="Calibri"/>
      </rPr>
      <t>Encryption Oracle Remediation: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</si>
  <si>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Settings Catalog path to </t>
    </r>
    <r>
      <rPr>
        <b/>
        <sz val="11"/>
        <color rgb="FF000000"/>
        <rFont val="Calibri"/>
      </rPr>
      <t>Enabled: Force Updated Clients</t>
    </r>
    <r>
      <rPr>
        <sz val="11"/>
        <color rgb="FF000000"/>
        <rFont val="Calibri"/>
      </rPr>
      <t xml:space="preserve">: </t>
    </r>
    <r>
      <rPr>
        <sz val="11"/>
        <color rgb="FF000000"/>
        <rFont val="Calibri"/>
      </rPr>
      <t xml:space="preserve">
</t>
    </r>
    <r>
      <rPr>
        <sz val="11"/>
        <color rgb="FF006096"/>
        <rFont val="Roboto Condensed"/>
      </rPr>
      <t>Administrative Templates\System\Credentials Delegation\Encryption Oracle Remediation: Protection Level</t>
    </r>
  </si>
  <si>
    <r>
      <rPr>
        <sz val="11"/>
        <color rgb="FF000000"/>
        <rFont val="Calibri"/>
      </rPr>
      <t xml:space="preserve">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won't be able to fall back to the insecure versions and services using CredSSP won't accept unpatched clients. Note this setting shouldn't be deployed until all remote hosts support the newest version.Mitigated: Client applications which use CredSSP won't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t>
    </r>
    <r>
      <rPr>
        <sz val="11"/>
        <color rgb="FF0000FF"/>
        <rFont val="Calibri"/>
      </rPr>
      <t>https://go.microsoft.com/fwlink/?linkid=866660</t>
    </r>
  </si>
  <si>
    <t>https://learn.microsoft.com/en-us/intune/device-security/security-baselines/ref-windows-mdm-settings?pivots=mdm-24h2#system--credentials-delegation-1</t>
  </si>
  <si>
    <t>https://learn.microsoft.com/en-us/windows/client-management/mdm/policy-csp-admx-credssp?WT.mc_id=Portal-fx#allowencryptionoracle</t>
  </si>
  <si>
    <t>./Device/Vendor/MSFT/Policy/Config/ADMX_CredSsp/AllowEncryptionOracle</t>
  </si>
  <si>
    <t>AllowEncryptionOracle</t>
  </si>
  <si>
    <t>Encryption Oracle Remediation</t>
  </si>
  <si>
    <t>System &gt; Credentials Delegation</t>
  </si>
  <si>
    <t>Software\Microsoft\Windows\CurrentVersion\Policies\System\CredSSP\Parameters</t>
  </si>
  <si>
    <t>CredSsp.admx</t>
  </si>
  <si>
    <t>1.7.1.2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</si>
  <si>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</si>
  <si>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</si>
  <si>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  If you enable this policy setting, the host supports Restricted Admin or Remote Credential Guard mode.</t>
    </r>
    <r>
      <rPr>
        <sz val="11"/>
        <color rgb="FF000000"/>
        <rFont val="Calibri"/>
      </rPr>
      <t xml:space="preserve">
</t>
    </r>
    <r>
      <rPr>
        <sz val="11"/>
        <color rgb="FF000000"/>
        <rFont val="Calibri"/>
      </rPr>
      <t>-  If you disable or don't configure this policy setting, Restricted Administration and Remote Credential Guard mode aren't supported. User will always need to pass their credentials to the host.</t>
    </r>
  </si>
  <si>
    <t>https://learn.microsoft.com/en-us/windows/client-management/mdm/policy-csp-credentialsdelegation?WT.mc_id=Portal-fx#remotehostallowsdelegationofnonexportablecredentials</t>
  </si>
  <si>
    <t>./Device/Vendor/MSFT/Policy/Config/CredentialsDelegation/RemoteHostAllowsDelegationOfNonExportableCredentials</t>
  </si>
  <si>
    <t>AllowProtectedCreds</t>
  </si>
  <si>
    <t>Remote host allows delegation of non-exportable credentials</t>
  </si>
  <si>
    <t>Software\Policies\Microsoft\Windows\CredentialsDelegation</t>
  </si>
  <si>
    <t>Device Installation Restrictions</t>
  </si>
  <si>
    <t>1.7.2.1.1.1</t>
  </si>
  <si>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</si>
  <si>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 xml:space="preserve">: </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 Also apply to matching devices that are already installed</t>
    </r>
  </si>
  <si>
    <r>
      <rPr>
        <sz val="11"/>
        <color rgb="FF000000"/>
        <rFont val="Calibri"/>
      </rPr>
      <t>This policy setting allows you to specify a list of device setup class globally unique identifiers (GUIDs) for driver packages that Windows is prevented from installing. By default, this policy setting takes precedence over any other policy setting that allows Windows to install a device.</t>
    </r>
    <r>
      <rPr>
        <sz val="11"/>
        <color rgb="FF000000"/>
        <rFont val="Calibri"/>
      </rPr>
      <t>Note: To enable the "Allow installation of devices that match any of these device IDs" and "Allow installation of devices that match any of these device instance IDs" policy settings to supersede this policy setting for applicable devices, enable the "Apply layered order of evaluation for Allow and Prevent device installation policies across all device match criteria" policy setting.</t>
    </r>
    <r>
      <rPr>
        <sz val="11"/>
        <color rgb="FF000000"/>
        <rFont val="Calibri"/>
      </rPr>
      <t xml:space="preserve">
</t>
    </r>
    <r>
      <rPr>
        <sz val="11"/>
        <color rgb="FF000000"/>
        <rFont val="Calibri"/>
      </rPr>
      <t>To enable the "Allow installation of devices that match any of these device IDs" and "Allow installation of devices that match any of these device instance IDs" policy settings to supersede this policy setting for applicable devices, enable the "Apply layered order of evaluation for Allow and Prevent device installation policies across all device match criteria" policy setting.-  If you enable this policy setting, Windows is prevented from installing or updating driver packages whose device setup class GUIDs appear in the list you create.</t>
    </r>
    <r>
      <rPr>
        <sz val="11"/>
        <color rgb="FF000000"/>
        <rFont val="Calibri"/>
      </rPr>
      <t xml:space="preserve">
</t>
    </r>
    <r>
      <rPr>
        <sz val="11"/>
        <color rgb="FF000000"/>
        <rFont val="Calibri"/>
      </rPr>
      <t>-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 xml:space="preserve">-  If you disable or don't configure this policy setting, Windows can install and update devices as allowed or prevented by other policy settings.Peripherals can be specified by their hardware identity </t>
    </r>
    <r>
      <rPr>
        <sz val="11"/>
        <color rgb="FF0000FF"/>
        <rFont val="Calibri"/>
      </rPr>
      <t>(https://learn.microsoft.com/en-us/windows-hardware/drivers/install/device-identification-strings)</t>
    </r>
    <r>
      <rPr>
        <sz val="11"/>
        <color rgb="FF000000"/>
        <rFont val="Calibri"/>
      </rPr>
      <t xml:space="preserve">. For a list of common identifier structures, see Device Identifier Formats </t>
    </r>
    <r>
      <rPr>
        <sz val="11"/>
        <color rgb="FF0000FF"/>
        <rFont val="Calibri"/>
      </rPr>
      <t>(https://learn.microsoft.com/en-us/windows-hardware/drivers/install/device-identifier-formats)</t>
    </r>
    <r>
      <rPr>
        <sz val="11"/>
        <color rgb="FF000000"/>
        <rFont val="Calibri"/>
      </rPr>
      <t>. Test the configuration prior to rolling it out to ensure it blocks the devices expected. Ideally test various instances of the hardware. For example, test multiple USB keys rather than only one.</t>
    </r>
  </si>
  <si>
    <t>https://learn.microsoft.com/en-us/intune/device-security/security-baselines/ref-windows-mdm-settings?pivots=mdm-24h2#system--device-installation--device-installation-restrictions-1</t>
  </si>
  <si>
    <t>https://learn.microsoft.com/en-us/windows/client-management/mdm/policy-csp-deviceinstallation?WT.mc_id=Portal-fx#preventinstallationofmatchingdevicesetupclasses</t>
  </si>
  <si>
    <t>./Device/Vendor/MSFT/Policy/Config/DeviceInstallation/PreventInstallationOfMatchingDeviceSetupClasses</t>
  </si>
  <si>
    <t>DeviceInstall_Classes_Deny</t>
  </si>
  <si>
    <t>Prevent installation of devices using drivers that match these device setup classes</t>
  </si>
  <si>
    <t>System &gt; Device Installation &gt; Device Installation Restrictions</t>
  </si>
  <si>
    <t>Software\Policies\Microsoft\Windows\DeviceInstall\Restrictions</t>
  </si>
  <si>
    <t>DenyDeviceClasses</t>
  </si>
  <si>
    <t>DeviceInstallation.admx</t>
  </si>
  <si>
    <t>1.7.2.1.1.2</t>
  </si>
  <si>
    <r>
      <rPr>
        <sz val="11"/>
        <rFont val="Calibri"/>
      </rPr>
      <t xml:space="preserve">Ensure </t>
    </r>
    <r>
      <rPr>
        <sz val="11"/>
        <color rgb="FF000000"/>
        <rFont val="Calibri"/>
      </rPr>
      <t>'</t>
    </r>
    <r>
      <rPr>
        <b/>
        <sz val="11"/>
        <color rgb="FF000000"/>
        <rFont val="Calibri"/>
      </rPr>
      <t>Prevent installation of devices using drivers that match these device setup classes: Prevented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t>
    </r>
    <r>
      <rPr>
        <sz val="11"/>
        <color rgb="FF000000"/>
        <rFont val="Calibri"/>
      </rPr>
      <t>'</t>
    </r>
  </si>
  <si>
    <r>
      <rPr>
        <sz val="11"/>
        <color rgb="FF000000"/>
        <rFont val="Calibri"/>
      </rPr>
      <t xml:space="preserve">Set the following Settings Catalog path to </t>
    </r>
    <r>
      <rPr>
        <b/>
        <sz val="11"/>
        <color rgb="FF000000"/>
        <rFont val="Calibri"/>
      </rPr>
      <t>Enabled: {d48179be-ec20-11d1-b6b8-00c04fa372a7}</t>
    </r>
    <r>
      <rPr>
        <sz val="11"/>
        <color rgb="FF000000"/>
        <rFont val="Calibri"/>
      </rPr>
      <t xml:space="preserve">: </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 Prevented Classes</t>
    </r>
  </si>
  <si>
    <t>Early Launch Antimalware</t>
  </si>
  <si>
    <t>1.7.3.1.1</t>
  </si>
  <si>
    <r>
      <rPr>
        <sz val="11"/>
        <rFont val="Calibri"/>
      </rPr>
      <t xml:space="preserve">Ensure </t>
    </r>
    <r>
      <rPr>
        <sz val="11"/>
        <color rgb="FF000000"/>
        <rFont val="Calibri"/>
      </rPr>
      <t>'</t>
    </r>
    <r>
      <rPr>
        <b/>
        <sz val="11"/>
        <color rgb="FF000000"/>
        <rFont val="Calibri"/>
      </rPr>
      <t>Boot-Start Driver Initialization Policy: Choose the boot-start drivers that can be initialized</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</si>
  <si>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Settings Catalog path to </t>
    </r>
    <r>
      <rPr>
        <b/>
        <sz val="11"/>
        <color rgb="FF000000"/>
        <rFont val="Calibri"/>
      </rPr>
      <t>Enabled: Good, unknown and bad but critical</t>
    </r>
    <r>
      <rPr>
        <sz val="11"/>
        <color rgb="FF000000"/>
        <rFont val="Calibri"/>
      </rPr>
      <t xml:space="preserve">: </t>
    </r>
    <r>
      <rPr>
        <sz val="11"/>
        <color rgb="FF000000"/>
        <rFont val="Calibri"/>
      </rPr>
      <t xml:space="preserve">
</t>
    </r>
    <r>
      <rPr>
        <sz val="11"/>
        <color rgb="FF006096"/>
        <rFont val="Roboto Condensed"/>
      </rPr>
      <t>Administrative Templates\System\Early Launch Antimalware\Boot-Start Driver Initialization Policy: Choose the boot-start drivers that can be initialized</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</si>
  <si>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hasn't been tampered with.</t>
    </r>
    <r>
      <rPr>
        <sz val="11"/>
        <color rgb="FF000000"/>
        <rFont val="Calibri"/>
      </rPr>
      <t xml:space="preserve">
</t>
    </r>
    <r>
      <rPr>
        <sz val="11"/>
        <color rgb="FF000000"/>
        <rFont val="Calibri"/>
      </rPr>
      <t>-  Bad: The driver has been identified as malware. It's recommended that you don't allow known bad drivers to be initialized.</t>
    </r>
    <r>
      <rPr>
        <sz val="11"/>
        <color rgb="FF000000"/>
        <rFont val="Calibri"/>
      </rPr>
      <t xml:space="preserve">
</t>
    </r>
    <r>
      <rPr>
        <sz val="11"/>
        <color rgb="FF000000"/>
        <rFont val="Calibri"/>
      </rPr>
      <t>-  Bad, but required for boot: The driver has been identified as malware, but the computer can't successfully boot without loading this driver.</t>
    </r>
    <r>
      <rPr>
        <sz val="11"/>
        <color rgb="FF000000"/>
        <rFont val="Calibri"/>
      </rPr>
      <t xml:space="preserve">
</t>
    </r>
    <r>
      <rPr>
        <sz val="11"/>
        <color rgb="FF000000"/>
        <rFont val="Calibri"/>
      </rPr>
      <t>-  Unknown: This driver hasn't been attested to by your malware detection application and hasn't been classified by the Early Launch Antimalware boot-start driver.</t>
    </r>
    <r>
      <rPr>
        <sz val="11"/>
        <color rgb="FF000000"/>
        <rFont val="Calibri"/>
      </rPr>
      <t xml:space="preserve">
</t>
    </r>
    <r>
      <rPr>
        <sz val="11"/>
        <color rgb="FF000000"/>
        <rFont val="Calibri"/>
      </rPr>
      <t>-  If you enable this policy setting you'll be able to choose which boot-start drivers to initialize the next time the computer is started.</t>
    </r>
    <r>
      <rPr>
        <sz val="11"/>
        <color rgb="FF000000"/>
        <rFont val="Calibri"/>
      </rPr>
      <t xml:space="preserve">
</t>
    </r>
    <r>
      <rPr>
        <sz val="11"/>
        <color rgb="FF000000"/>
        <rFont val="Calibri"/>
      </rPr>
      <t>-  If you disable or don't configure this policy setting, the boot start drivers determined to be Good, Unknown or Bad but Boot Critical are initialized and the initialization of drivers determined to be Bad is skipped.If your malware detection application doesn't include an Early Launch Antimalware boot-start driver or if your Early Launch Antimalware boot-start driver has been disabled, this setting has no effect and all boot-start drivers are initialized.</t>
    </r>
  </si>
  <si>
    <t>https://learn.microsoft.com/en-us/intune/device-security/security-baselines/ref-windows-mdm-settings?pivots=mdm-24h2#system--early-launch-antimalware-1</t>
  </si>
  <si>
    <t>https://learn.microsoft.com/en-us/windows/client-management/mdm/policy-csp-system?WT.mc_id=Portal-fx#bootstartdriverinitialization</t>
  </si>
  <si>
    <t>./Device/Vendor/MSFT/Policy/Config/System/BootStartDriverInitialization</t>
  </si>
  <si>
    <t>POL_DriverLoadPolicy_Name</t>
  </si>
  <si>
    <t>Boot-Start Driver Initialization Policy</t>
  </si>
  <si>
    <t>System &gt; Early Launch Antimalware</t>
  </si>
  <si>
    <t>System\CurrentControlSet\Policies\EarlyLaunch</t>
  </si>
  <si>
    <t>DriverLoadPolicy</t>
  </si>
  <si>
    <t>EarlyLaunchAM.admx</t>
  </si>
  <si>
    <t>Group Policy</t>
  </si>
  <si>
    <t>1.7.4.1.1</t>
  </si>
  <si>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</si>
  <si>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 xml:space="preserve">: </t>
    </r>
    <r>
      <rPr>
        <sz val="11"/>
        <color rgb="FF000000"/>
        <rFont val="Calibri"/>
      </rPr>
      <t xml:space="preserve">
</t>
    </r>
    <r>
      <rPr>
        <sz val="11"/>
        <color rgb="FF006096"/>
        <rFont val="Roboto Condensed"/>
      </rPr>
      <t>Administrative Templates\System\Group Policy\Configure registry policy processing: Do not apply during periodic background processing</t>
    </r>
  </si>
  <si>
    <t>https://learn.microsoft.com/en-us/intune/device-security/security-baselines/ref-windows-mdm-settings?pivots=mdm-24h2#system--group-policy-1</t>
  </si>
  <si>
    <t>https://learn.microsoft.com/en-us/windows/client-management/mdm/policy-csp-admx-grouppolicy?WT.mc_id=Portal-fx#cse-registry</t>
  </si>
  <si>
    <t>1.7.4.1.2</t>
  </si>
  <si>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</si>
  <si>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 xml:space="preserve">: </t>
    </r>
    <r>
      <rPr>
        <sz val="11"/>
        <color rgb="FF000000"/>
        <rFont val="Calibri"/>
      </rPr>
      <t xml:space="preserve">
</t>
    </r>
    <r>
      <rPr>
        <sz val="11"/>
        <color rgb="FF006096"/>
        <rFont val="Roboto Condensed"/>
      </rPr>
      <t>Administrative Templates\System\Group Policy\Configure registry policy processing: Process even if the Group Policy objects have not changed</t>
    </r>
  </si>
  <si>
    <t>Internet Communication settings</t>
  </si>
  <si>
    <t>1.7.5.1.1</t>
  </si>
  <si>
    <r>
      <rPr>
        <sz val="11"/>
        <rFont val="Calibri"/>
      </rPr>
      <t xml:space="preserve">Ensure </t>
    </r>
    <r>
      <rPr>
        <sz val="11"/>
        <color rgb="FF000000"/>
        <rFont val="Calibri"/>
      </rPr>
      <t>'</t>
    </r>
    <r>
      <rPr>
        <b/>
        <sz val="11"/>
        <color rgb="FF000000"/>
        <rFont val="Calibri"/>
      </rPr>
      <t>Turn off downloading of print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</si>
  <si>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Templates\System\Internet Communication Management\Internet Communication settings\Turn off downloading of print drivers</t>
    </r>
  </si>
  <si>
    <r>
      <rPr>
        <sz val="11"/>
        <color rgb="FF000000"/>
        <rFont val="Calibri"/>
      </rPr>
      <t>This policy setting specifies whether to allow this client to download print driver packages over HTTP.To set up HTTP printing, non-inbox drivers need to be downloaded over HTTP.</t>
    </r>
    <r>
      <rPr>
        <sz val="11"/>
        <color rgb="FF000000"/>
        <rFont val="Calibri"/>
      </rPr>
      <t>Note: This policy setting doesn't prevent the client from printing to printers on the Intranet or the Internet over HTTP. It only prohibits downloading drivers that aren't already installed locally.</t>
    </r>
    <r>
      <rPr>
        <sz val="11"/>
        <color rgb="FF000000"/>
        <rFont val="Calibri"/>
      </rPr>
      <t xml:space="preserve">
</t>
    </r>
    <r>
      <rPr>
        <sz val="11"/>
        <color rgb="FF000000"/>
        <rFont val="Calibri"/>
      </rPr>
      <t>This policy setting doesn't prevent the client from printing to printers on the Intranet or the Internet over HTTP. It only prohibits downloading drivers that aren't already installed locally.-  If you enable this policy setting, print drivers can't be downloaded over HTTP.</t>
    </r>
    <r>
      <rPr>
        <sz val="11"/>
        <color rgb="FF000000"/>
        <rFont val="Calibri"/>
      </rPr>
      <t xml:space="preserve">
</t>
    </r>
    <r>
      <rPr>
        <sz val="11"/>
        <color rgb="FF000000"/>
        <rFont val="Calibri"/>
      </rPr>
      <t>-  If you disable or don't configure this policy setting, users can download print drivers over HTTP.</t>
    </r>
  </si>
  <si>
    <t>https://learn.microsoft.com/en-us/intune/device-security/security-baselines/ref-windows-mdm-settings?pivots=mdm-24h2#system--internet-communication-management--internet-communication-settings-1</t>
  </si>
  <si>
    <t>https://learn.microsoft.com/en-us/windows/client-management/mdm/policy-csp-connectivity?WT.mc_id=Portal-fx#disabledownloadingofprintdriversoverhttp</t>
  </si>
  <si>
    <t>./Device/Vendor/MSFT/Policy/Config/Connectivity/DisableDownloadingOfPrintDriversOverHTTP</t>
  </si>
  <si>
    <t>DisableWebPnPDownload_2</t>
  </si>
  <si>
    <t>Turn off downloading of print drivers over HTTP</t>
  </si>
  <si>
    <t>InternetManagement &gt; Internet Communication settings</t>
  </si>
  <si>
    <t>DisableWebPnPDownload</t>
  </si>
  <si>
    <t>ICM.admx</t>
  </si>
  <si>
    <t>1.7.5.1.2</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</si>
  <si>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</si>
  <si>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Templates\System\Internet Communication Management\Internet Communication settings\Turn off Internet download for Web publishing and online ordering wizards</t>
    </r>
  </si>
  <si>
    <r>
      <rPr>
        <sz val="11"/>
        <color rgb="FF000000"/>
        <rFont val="Calibri"/>
      </rPr>
      <t>This policy setting specifies whether Windows should download a list of providers for the web publishing and online ordering wizards.These wizards allow users to select from a list of companies that provide services such as online storage and photographic printing. By default, Windows displays providers downloaded from a Windows website in addition to providers specified in the registry.-  If you enable this policy setting, Windows doesn't download providers, and only the service providers that are cached in the local registry are displayed.</t>
    </r>
    <r>
      <rPr>
        <sz val="11"/>
        <color rgb="FF000000"/>
        <rFont val="Calibri"/>
      </rPr>
      <t xml:space="preserve">
</t>
    </r>
    <r>
      <rPr>
        <sz val="11"/>
        <color rgb="FF000000"/>
        <rFont val="Calibri"/>
      </rPr>
      <t>-  If you disable or don't configure this policy setting, a list of providers are downloaded when the user uses the web publishing or online ordering wizards.See the documentation for the web publishing and online ordering wizards for more information, including details on specifying service providers in the registry.</t>
    </r>
  </si>
  <si>
    <t>https://learn.microsoft.com/en-us/windows/client-management/mdm/policy-csp-connectivity?WT.mc_id=Portal-fx#disableinternetdownloadforwebpublishingandonlineorderingwizards</t>
  </si>
  <si>
    <t>./Device/Vendor/MSFT/Policy/Config/Connectivity/DisableInternetDownloadForWebPublishingAndOnlineOrderingWizards</t>
  </si>
  <si>
    <t>ShellPreventWPWDownload_2</t>
  </si>
  <si>
    <t>Turn off Internet download for Web publishing and online ordering wizards</t>
  </si>
  <si>
    <t>Software\Microsoft\Windows\CurrentVersion\Policies\Explorer</t>
  </si>
  <si>
    <t>NoWebServices</t>
  </si>
  <si>
    <t>Local Security Authority</t>
  </si>
  <si>
    <t>1.7.6.1</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</si>
  <si>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</si>
  <si>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Templates\System\Local Security Authority\Allow Custom SSPs and APs to be loaded into LSASS</t>
    </r>
  </si>
  <si>
    <r>
      <rPr>
        <sz val="11"/>
        <color rgb="FF000000"/>
        <rFont val="Calibri"/>
      </rPr>
      <t>This policy controls the configuration under which LSASS loads custom SSPs and APs.-  If you enable this setting or don't configure it, LSA allows custom SSPs and APs to be loaded.</t>
    </r>
    <r>
      <rPr>
        <sz val="11"/>
        <color rgb="FF000000"/>
        <rFont val="Calibri"/>
      </rPr>
      <t xml:space="preserve">
</t>
    </r>
    <r>
      <rPr>
        <sz val="11"/>
        <color rgb="FF000000"/>
        <rFont val="Calibri"/>
      </rPr>
      <t>-  If you disable this setting, LSA doesn't load custom SSPs and APs.</t>
    </r>
  </si>
  <si>
    <t>https://learn.microsoft.com/en-us/intune/device-security/security-baselines/ref-windows-mdm-settings?pivots=mdm-24h2#system--local-security-authority-1</t>
  </si>
  <si>
    <t>https://learn.microsoft.com/en-us/windows/client-management/mdm/policy-csp-lsa#allowcustomsspsaps</t>
  </si>
  <si>
    <t>./Device/Vendor/MSFT/Policy/Config/LocalSecurityAuthority/AllowCustomSSPsAPs</t>
  </si>
  <si>
    <t>AllowCustomSSPsAPs</t>
  </si>
  <si>
    <t>Allow Custom SSPs and APs to be loaded into LSASS</t>
  </si>
  <si>
    <t>System &gt; Local Security Authority</t>
  </si>
  <si>
    <t>Software\Policies\Microsoft\Windows\System</t>
  </si>
  <si>
    <t>LocalSecurityAuthority.admx</t>
  </si>
  <si>
    <t>Sleep Settings</t>
  </si>
  <si>
    <t>1.7.7.1.1</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</si>
  <si>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</si>
  <si>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Templates\System\Power Management\Sleep Settings\Allow standby states (S1-S3) when sleeping (on battery)</t>
    </r>
  </si>
  <si>
    <r>
      <rPr>
        <sz val="11"/>
        <color rgb="FF000000"/>
        <rFont val="Calibri"/>
      </rPr>
      <t>This policy setting manages whether or not Windows is allowed to use standby states when putting the computer in a sleep state.-  If you enable or don't configure this policy setting, Windows uses standby states to put the computer in a sleep state.</t>
    </r>
    <r>
      <rPr>
        <sz val="11"/>
        <color rgb="FF000000"/>
        <rFont val="Calibri"/>
      </rPr>
      <t xml:space="preserve">
</t>
    </r>
    <r>
      <rPr>
        <sz val="11"/>
        <color rgb="FF000000"/>
        <rFont val="Calibri"/>
      </rPr>
      <t>-  If you disable this policy setting, standby states (S1-S3) aren't allowed.</t>
    </r>
  </si>
  <si>
    <t>https://learn.microsoft.com/en-us/intune/device-security/security-baselines/ref-windows-mdm-settings?pivots=mdm-24h2#system--power-management--sleep-settings-1</t>
  </si>
  <si>
    <t>https://learn.microsoft.com/en-us/windows/client-management/mdm/policy-csp-power?WT.mc_id=Portal-fx#allowstandbystateswhensleepingonbattery</t>
  </si>
  <si>
    <t>./Device/Vendor/MSFT/Policy/Config/Power/AllowStandbyStatesWhenSleepingOnBattery</t>
  </si>
  <si>
    <t>AllowStandbyStatesDC_2</t>
  </si>
  <si>
    <t>Allow standby states (S1-S3) when sleeping (on battery)</t>
  </si>
  <si>
    <t>System &gt; Power Management &gt; Sleep Settings</t>
  </si>
  <si>
    <t>Software\Policies\Microsoft\Power\PowerSettings\abfc2519-3608-4c2a-94ea-171b0ed546ab</t>
  </si>
  <si>
    <t>DCSettingIndex</t>
  </si>
  <si>
    <t>Power.admx</t>
  </si>
  <si>
    <t>1.7.7.1.2</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</si>
  <si>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</si>
  <si>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Templates\System\Power Management\Sleep Settings\Allow standby states (S1-S3) when sleeping (plugged in)</t>
    </r>
  </si>
  <si>
    <t>https://learn.microsoft.com/en-us/windows/client-management/mdm/policy-csp-power?WT.mc_id=Portal-fx#allowstandbywhensleepingpluggedin</t>
  </si>
  <si>
    <t>./Device/Vendor/MSFT/Policy/Config/Power/AllowStandbyWhenSleepingPluggedIn</t>
  </si>
  <si>
    <t>AllowStandbyStatesAC_2</t>
  </si>
  <si>
    <t>Allow standby states (S1-S3) when sleeping (plugged in)</t>
  </si>
  <si>
    <t>ACSettingIndex</t>
  </si>
  <si>
    <t>1.7.7.1.3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</si>
  <si>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</si>
  <si>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Templates\System\Power Management\Sleep Settings\Require a password when a computer wakes (on battery)</t>
    </r>
  </si>
  <si>
    <r>
      <rPr>
        <sz val="11"/>
        <color rgb="FF000000"/>
        <rFont val="Calibri"/>
      </rPr>
      <t>This policy setting specifies whether or not the user is prompted for a password when the system resumes from sleep.-  If you enable or don't configure this policy setting, the user is prompted for a password when the system resumes from sleep.</t>
    </r>
    <r>
      <rPr>
        <sz val="11"/>
        <color rgb="FF000000"/>
        <rFont val="Calibri"/>
      </rPr>
      <t xml:space="preserve">
</t>
    </r>
    <r>
      <rPr>
        <sz val="11"/>
        <color rgb="FF000000"/>
        <rFont val="Calibri"/>
      </rPr>
      <t>-  If you disable this policy setting, the user isn't prompted for a password when the system resumes from sleep.</t>
    </r>
  </si>
  <si>
    <t>https://learn.microsoft.com/en-us/windows/client-management/mdm/policy-csp-power?WT.mc_id=Portal-fx#requirepasswordwhencomputerwakesonbattery</t>
  </si>
  <si>
    <t>./Device/Vendor/MSFT/Policy/Config/Power/RequirePasswordWhenComputerWakesOnBattery</t>
  </si>
  <si>
    <t>DCPromptForPasswordOnResume_2</t>
  </si>
  <si>
    <t>Require a password when a computer wakes (on battery)</t>
  </si>
  <si>
    <t>Software\Policies\Microsoft\Power\PowerSettings\0e796bdb-100d-47d6-a2d5-f7d2daa51f51</t>
  </si>
  <si>
    <t>1.7.7.1.4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</si>
  <si>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</si>
  <si>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Templates\System\Power Management\Sleep Settings\Require a password when a computer wakes (plugged in)</t>
    </r>
  </si>
  <si>
    <t>https://learn.microsoft.com/en-us/windows/client-management/mdm/policy-csp-power?WT.mc_id=Portal-fx#requirepasswordwhencomputerwakespluggedin</t>
  </si>
  <si>
    <t>./Device/Vendor/MSFT/Policy/Config/Power/RequirePasswordWhenComputerWakesPluggedIn</t>
  </si>
  <si>
    <t>ACPromptForPasswordOnResume_2</t>
  </si>
  <si>
    <t>Require a password when a computer wakes (plugged in)</t>
  </si>
  <si>
    <t>Remote Assistance</t>
  </si>
  <si>
    <t>1.7.8.1</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</si>
  <si>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</si>
  <si>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Templates\System\Remote Assistance\Configure Solicited Remote Assistance</t>
    </r>
  </si>
  <si>
    <r>
      <rPr>
        <sz val="11"/>
        <color rgb="FF000000"/>
        <rFont val="Calibri"/>
      </rPr>
      <t>This policy setting allows you to turn on or turn off Solicited (Ask for) Remote Assistance on this computer.-  If you enable this policy setting, users on this computer can use email or file transfer to ask someone for help. Also, users can use instant messaging programs to allow connections to this computer, and you can configure additional Remote Assistance settings.</t>
    </r>
    <r>
      <rPr>
        <sz val="11"/>
        <color rgb="FF000000"/>
        <rFont val="Calibri"/>
      </rPr>
      <t xml:space="preserve">
</t>
    </r>
    <r>
      <rPr>
        <sz val="11"/>
        <color rgb="FF000000"/>
        <rFont val="Calibri"/>
      </rPr>
      <t>-  If you disable this policy setting, users on this computer can't use email or file transfer to ask someone for help. Also, users can't use instant messaging programs to allow connections to this computer.</t>
    </r>
    <r>
      <rPr>
        <sz val="11"/>
        <color rgb="FF000000"/>
        <rFont val="Calibri"/>
      </rPr>
      <t xml:space="preserve">
</t>
    </r>
    <r>
      <rPr>
        <sz val="11"/>
        <color rgb="FF000000"/>
        <rFont val="Calibri"/>
      </rPr>
      <t>-  If you don't configure this policy setting, users can turn on or turn off Solicited (Ask for) Remote Assistance themselves in System Properties in Control Panel. Users can also configure Remote Assistance settings.</t>
    </r>
    <r>
      <rPr>
        <sz val="11"/>
        <color rgb="FF000000"/>
        <rFont val="Calibri"/>
      </rPr>
      <t xml:space="preserve">
</t>
    </r>
    <r>
      <rPr>
        <sz val="11"/>
        <color rgb="FF000000"/>
        <rFont val="Calibri"/>
      </rPr>
      <t>-  If you enable this policy setting, you have two ways to allow helpers to provide Remote Assistance: "Allow helpers to only view the computer" or "Allow helpers to remotely control the computer".The "Maximum ticket time" policy setting sets a limit on the amount of time that a Remote Assistance invitation created by using email or file transfer can remain open.The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isn't available in Windows Vista since SMAPI is the only method supported.- If you enable this policy setting you should also enable appropriate firewall exceptions to allow Remote Assistance communications.</t>
    </r>
  </si>
  <si>
    <t>https://learn.microsoft.com/en-us/intune/device-security/security-baselines/ref-windows-mdm-settings?pivots=mdm-24h2#system--remote-assistance-1</t>
  </si>
  <si>
    <t>https://learn.microsoft.com/en-us/windows/client-management/mdm/policy-csp-remoteassistance?WT.mc_id=Portal-fx#solicitedremoteassistance</t>
  </si>
  <si>
    <t>./Device/Vendor/MSFT/Policy/Config/RemoteAssistance/SolicitedRemoteAssistance</t>
  </si>
  <si>
    <t>RA_Solicit</t>
  </si>
  <si>
    <t>Configure Solicited Remote Assistance</t>
  </si>
  <si>
    <t>System &gt; Remote Assistance</t>
  </si>
  <si>
    <t>Software\policies\Microsoft\Windows NT\Terminal Services</t>
  </si>
  <si>
    <t>fAllowToGetHelp</t>
  </si>
  <si>
    <t>RemoteAssistance.admx</t>
  </si>
  <si>
    <t>Remote Procedure Call</t>
  </si>
  <si>
    <t>1.7.9.1.1</t>
  </si>
  <si>
    <r>
      <rPr>
        <sz val="11"/>
        <rFont val="Calibri"/>
      </rPr>
      <t xml:space="preserve">Ensure </t>
    </r>
    <r>
      <rPr>
        <sz val="11"/>
        <color rgb="FF000000"/>
        <rFont val="Calibri"/>
      </rPr>
      <t>'</t>
    </r>
    <r>
      <rPr>
        <b/>
        <sz val="11"/>
        <color rgb="FF000000"/>
        <rFont val="Calibri"/>
      </rPr>
      <t>Restrict Unauthenticated RPC clients: RPC Runtime Unauthenticated Client Restriction to Apply</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</si>
  <si>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Settings Catalog path to </t>
    </r>
    <r>
      <rPr>
        <b/>
        <sz val="11"/>
        <color rgb="FF000000"/>
        <rFont val="Calibri"/>
      </rPr>
      <t>Enabled: Authenticated</t>
    </r>
    <r>
      <rPr>
        <sz val="11"/>
        <color rgb="FF000000"/>
        <rFont val="Calibri"/>
      </rPr>
      <t xml:space="preserve">: </t>
    </r>
    <r>
      <rPr>
        <sz val="11"/>
        <color rgb="FF000000"/>
        <rFont val="Calibri"/>
      </rPr>
      <t xml:space="preserve">
</t>
    </r>
    <r>
      <rPr>
        <sz val="11"/>
        <color rgb="FF006096"/>
        <rFont val="Roboto Condensed"/>
      </rPr>
      <t>Administrative Templates\System\Remote Procedure Call\Restrict Unauthenticated RPC clients: RPC Runtime Unauthenticated Client Restriction to Apply</t>
    </r>
  </si>
  <si>
    <r>
      <rPr>
        <sz val="11"/>
        <color rgb="FF000000"/>
        <rFont val="Calibri"/>
      </rPr>
      <t>This policy setting controls how the RPC server runtime handles unauthenticated RPC clients connecting to RPC servers.This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  If you disable this policy setting, the RPC server runtime uses the value of "Authenticated" on Windows Client, and the value of "None" on Windows Server versions that support this policy setting.</t>
    </r>
    <r>
      <rPr>
        <sz val="11"/>
        <color rgb="FF000000"/>
        <rFont val="Calibri"/>
      </rPr>
      <t xml:space="preserve">
</t>
    </r>
    <r>
      <rPr>
        <sz val="11"/>
        <color rgb="FF000000"/>
        <rFont val="Calibri"/>
      </rPr>
      <t>-  If you don't configure this policy setting, it remains disabled. The RPC server runtime will behave as though it was enabled with the value of "Authenticated" used for Windows Client and the value of "None" used for Server SKUs that support this policy setting.</t>
    </r>
    <r>
      <rPr>
        <sz val="11"/>
        <color rgb="FF000000"/>
        <rFont val="Calibri"/>
      </rPr>
      <t xml:space="preserve">
</t>
    </r>
    <r>
      <rPr>
        <sz val="11"/>
        <color rgb="FF000000"/>
        <rFont val="Calibri"/>
      </rPr>
      <t>-  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"None" allows all RPC clients to connect to RPC Servers running on the machine on which the policy setting is applied.</t>
    </r>
    <r>
      <rPr>
        <sz val="11"/>
        <color rgb="FF000000"/>
        <rFont val="Calibri"/>
      </rPr>
      <t xml:space="preserve">
</t>
    </r>
    <r>
      <rPr>
        <sz val="11"/>
        <color rgb="FF000000"/>
        <rFont val="Calibri"/>
      </rPr>
      <t>-  "Authenticated"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"Authenticated without exceptions" allows only authenticated RPC Clients (per the definition above) to connect to RPC Servers running on the machine on which the policy setting is applied. No exceptions are allowed.</t>
    </r>
    <r>
      <rPr>
        <sz val="11"/>
        <color rgb="FF000000"/>
        <rFont val="Calibri"/>
      </rPr>
      <t>Note: This policy setting won't be applied until the system is rebooted.</t>
    </r>
    <r>
      <rPr>
        <sz val="11"/>
        <color rgb="FF000000"/>
        <rFont val="Calibri"/>
      </rPr>
      <t xml:space="preserve">
</t>
    </r>
    <r>
      <rPr>
        <sz val="11"/>
        <color rgb="FF000000"/>
        <rFont val="Calibri"/>
      </rPr>
      <t>This policy setting won't be applied until the system is rebooted.</t>
    </r>
  </si>
  <si>
    <t>https://learn.microsoft.com/en-us/intune/device-security/security-baselines/ref-windows-mdm-settings?pivots=mdm-24h2#system--remote-procedure-call-1</t>
  </si>
  <si>
    <t>https://learn.microsoft.com/en-us/windows/client-management/mdm/policy-csp-remoteprocedurecall?WT.mc_id=Portal-fx#restrictunauthenticatedrpcclients</t>
  </si>
  <si>
    <t>./Device/Vendor/MSFT/Policy/Config/RemoteProcedureCall/RestrictUnauthenticatedRPCClients</t>
  </si>
  <si>
    <t>RpcRestrictRemoteClients</t>
  </si>
  <si>
    <t>Restrict Unauthenticated RPC clients</t>
  </si>
  <si>
    <t>System &gt; Remote Procedure Call</t>
  </si>
  <si>
    <t>Software\Policies\Microsoft\Windows NT\Rpc</t>
  </si>
  <si>
    <t>RPC.admx</t>
  </si>
  <si>
    <t>App runtime</t>
  </si>
  <si>
    <t>1.8.1.1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</si>
  <si>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</si>
  <si>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Components\App runtime\Allow Microsoft accounts to be optional</t>
    </r>
  </si>
  <si>
    <r>
      <rPr>
        <sz val="11"/>
        <color rgb="FF000000"/>
        <rFont val="Calibri"/>
      </rPr>
      <t>This policy setting lets you control whether Microsoft accounts are optional for packaged Microsoft Store apps that require an account to sign in. This policy only affects packaged Microsoft Store apps that support it.-  If you enable this policy setting, packaged Microsoft Store apps that typically require a Microsoft account to sign in will allow users to sign in with an enterprise account instead.</t>
    </r>
    <r>
      <rPr>
        <sz val="11"/>
        <color rgb="FF000000"/>
        <rFont val="Calibri"/>
      </rPr>
      <t xml:space="preserve">
</t>
    </r>
    <r>
      <rPr>
        <sz val="11"/>
        <color rgb="FF000000"/>
        <rFont val="Calibri"/>
      </rPr>
      <t>-  If you disable or don't configure this policy setting, users will need to sign in with a Microsoft account.</t>
    </r>
  </si>
  <si>
    <t>https://learn.microsoft.com/en-us/intune/device-security/security-baselines/ref-windows-mdm-settings?pivots=mdm-24h2#windows-components--app-runtime-1</t>
  </si>
  <si>
    <t>https://learn.microsoft.com/en-us/windows/client-management/mdm/policy-csp-appruntime?WT.mc_id=Portal-fx#allowmicrosoftaccountstobeoptional</t>
  </si>
  <si>
    <t>./Device/Vendor/MSFT/Policy/Config/AppRuntime/AllowMicrosoftAccountsToBeOptional</t>
  </si>
  <si>
    <t>AppxRuntimeMicrosoftAccountsOptional</t>
  </si>
  <si>
    <t>Allow Microsoft accounts to be optional</t>
  </si>
  <si>
    <t>Windows Components &gt; App runtime</t>
  </si>
  <si>
    <t>Software\Microsoft\Windows\CurrentVersion\Policies\System</t>
  </si>
  <si>
    <t>MSAOptional</t>
  </si>
  <si>
    <t>AppXRuntime.admx</t>
  </si>
  <si>
    <t>AutoPlay Policies</t>
  </si>
  <si>
    <t>1.8.2.1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</si>
  <si>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</si>
  <si>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</si>
  <si>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isn't allowed for MTP devices like cameras or phones.</t>
    </r>
    <r>
      <rPr>
        <sz val="11"/>
        <color rgb="FF000000"/>
        <rFont val="Calibri"/>
      </rPr>
      <t xml:space="preserve">
</t>
    </r>
    <r>
      <rPr>
        <sz val="11"/>
        <color rgb="FF000000"/>
        <rFont val="Calibri"/>
      </rPr>
      <t>-  If you disable or don't configure this policy setting, AutoPlay is enabled for non-volume devices.</t>
    </r>
  </si>
  <si>
    <t>https://learn.microsoft.com/en-us/intune/device-security/security-baselines/ref-windows-mdm-settings?pivots=mdm-24h2#windows-components--autoplay-policies-1</t>
  </si>
  <si>
    <t>https://learn.microsoft.com/en-us/windows/client-management/mdm/policy-csp-autoplay?WT.mc_id=Portal-fx#disallowautoplayfornonvolumedevices</t>
  </si>
  <si>
    <t>./Device/Vendor/MSFT/Policy/Config/Autoplay/DisallowAutoplayForNonVolumeDevices</t>
  </si>
  <si>
    <t>NoAutoplayfornonVolume</t>
  </si>
  <si>
    <t>Disallow Autoplay for non-volume devices</t>
  </si>
  <si>
    <t>Computer and User Configuration</t>
  </si>
  <si>
    <t>Windows Components &gt; AutoPlay Policies</t>
  </si>
  <si>
    <t>Software\Policies\Microsoft\Windows\Explorer</t>
  </si>
  <si>
    <t>AutoPlay.admx</t>
  </si>
  <si>
    <t>1.8.2.2.1</t>
  </si>
  <si>
    <r>
      <rPr>
        <sz val="11"/>
        <rFont val="Calibri"/>
      </rPr>
      <t xml:space="preserve">Ensure </t>
    </r>
    <r>
      <rPr>
        <sz val="11"/>
        <color rgb="FF000000"/>
        <rFont val="Calibri"/>
      </rPr>
      <t>'</t>
    </r>
    <r>
      <rPr>
        <b/>
        <sz val="11"/>
        <color rgb="FF000000"/>
        <rFont val="Calibri"/>
      </rPr>
      <t>Set the default behavior for AutoRun: Default AutoRun Behavior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</si>
  <si>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Settings Catalog path to </t>
    </r>
    <r>
      <rPr>
        <b/>
        <sz val="11"/>
        <color rgb="FF000000"/>
        <rFont val="Calibri"/>
      </rPr>
      <t>Enabled: Do not execute any autorun commands</t>
    </r>
    <r>
      <rPr>
        <sz val="11"/>
        <color rgb="FF000000"/>
        <rFont val="Calibri"/>
      </rPr>
      <t xml:space="preserve">: </t>
    </r>
    <r>
      <rPr>
        <sz val="11"/>
        <color rgb="FF000000"/>
        <rFont val="Calibri"/>
      </rPr>
      <t xml:space="preserve">
</t>
    </r>
    <r>
      <rPr>
        <sz val="11"/>
        <color rgb="FF006096"/>
        <rFont val="Roboto Condensed"/>
      </rPr>
      <t>Administrative Templates\Windows Components\AutoPlay Policies\Set the default behavior for AutoRun: Default AutoRun Behavior</t>
    </r>
  </si>
  <si>
    <r>
      <rPr>
        <sz val="11"/>
        <color rgb="FF000000"/>
        <rFont val="Calibri"/>
      </rPr>
      <t>This policy setting sets the default behavior for Autorun commands.Autorun commands are generally stored in autorun.inf files. They often launch the installation program or other routines.Prior to Windows Vista, when media containing an autorun command is inserted, the system will automatically execute the program without user intervention.This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to:a) Completely disable autorun commands, or b) Revert back to pre-Windows Vista behavior of automatically executing the autorun command.- If you disable or not configure this policy setting, Windows Vista or later will prompt the user whether autorun command is to be run.</t>
    </r>
  </si>
  <si>
    <t>https://learn.microsoft.com/en-us/windows/client-management/mdm/policy-csp-autoplay?WT.mc_id=Portal-fx#setdefaultautorunbehavior</t>
  </si>
  <si>
    <t>./Device/Vendor/MSFT/Policy/Config/Autoplay/SetDefaultAutoRunBehavior</t>
  </si>
  <si>
    <t>NoAutorun</t>
  </si>
  <si>
    <t>Set the default behavior for AutoRun</t>
  </si>
  <si>
    <t>1.8.2.3.1</t>
  </si>
  <si>
    <r>
      <rPr>
        <sz val="11"/>
        <rFont val="Calibri"/>
      </rPr>
      <t xml:space="preserve">Ensure </t>
    </r>
    <r>
      <rPr>
        <sz val="11"/>
        <color rgb="FF000000"/>
        <rFont val="Calibri"/>
      </rPr>
      <t>'</t>
    </r>
    <r>
      <rPr>
        <b/>
        <sz val="11"/>
        <color rgb="FF000000"/>
        <rFont val="Calibri"/>
      </rPr>
      <t>Turn off Autoplay: Turn off Autoplay on</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</si>
  <si>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Settings Catalog path to </t>
    </r>
    <r>
      <rPr>
        <b/>
        <sz val="11"/>
        <color rgb="FF000000"/>
        <rFont val="Calibri"/>
      </rPr>
      <t>Enabled: All drives</t>
    </r>
    <r>
      <rPr>
        <sz val="11"/>
        <color rgb="FF000000"/>
        <rFont val="Calibri"/>
      </rPr>
      <t xml:space="preserve">: </t>
    </r>
    <r>
      <rPr>
        <sz val="11"/>
        <color rgb="FF000000"/>
        <rFont val="Calibri"/>
      </rPr>
      <t xml:space="preserve">
</t>
    </r>
    <r>
      <rPr>
        <sz val="11"/>
        <color rgb="FF006096"/>
        <rFont val="Roboto Condensed"/>
      </rPr>
      <t>Administrative Templates\Windows Components\AutoPlay Policies\Turn off Autoplay: Turn off Autoplay on</t>
    </r>
  </si>
  <si>
    <r>
      <rPr>
        <sz val="11"/>
        <color rgb="FF000000"/>
        <rFont val="Calibri"/>
      </rPr>
      <t>This policy setting allows you to turn off the Autoplay feature.Autoplay begins reading from a drive as soon as you insert media in the drive. As a result, the setup file of programs and the music on audio media start immediately.Prior to Windows XP SP2, Autoplay is disabled by default on removable drives, such as the floppy disk drive (but not the CD-ROM drive), and on network drives.Starting with Windows XP SP2, Autoplay is enabled for removable drives as well, including Zip drives and some USB mass storage devices.- If you enable this policy setting, Autoplay is disabled on CD-ROM and removable media drives, or disabled on all drives.This policy setting disables Autoplay on additional types of drives. You can't use this setting to enable Autoplay on drives on which it's disabled by default.- If you disable or don't configure this policy setting, AutoPlay is enabled.</t>
    </r>
    <r>
      <rPr>
        <sz val="11"/>
        <color rgb="FF000000"/>
        <rFont val="Calibri"/>
      </rPr>
      <t>Note: This policy setting appears in both the Computer Configuration and User Configuration folders. If the policy settings conflict, the policy setting in Computer Configuration takes precedence over the policy setting in User Configuration.</t>
    </r>
    <r>
      <rPr>
        <sz val="11"/>
        <color rgb="FF000000"/>
        <rFont val="Calibri"/>
      </rPr>
      <t xml:space="preserve">
</t>
    </r>
    <r>
      <rPr>
        <sz val="11"/>
        <color rgb="FF000000"/>
        <rFont val="Calibri"/>
      </rPr>
      <t>This policy setting appears in both the Computer Configuration and User Configuration folders. If the policy settings conflict, the policy setting in Computer Configuration takes precedence over the policy setting in User Configuration.</t>
    </r>
  </si>
  <si>
    <t>https://learn.microsoft.com/en-us/windows/client-management/mdm/policy-csp-autoplay?WT.mc_id=Portal-fx#turnoffautoplay</t>
  </si>
  <si>
    <t>./Device/Vendor/MSFT/Policy/Config/Autoplay/TurnOffAutoPlay</t>
  </si>
  <si>
    <t>Autorun</t>
  </si>
  <si>
    <t>Turn off Autoplay</t>
  </si>
  <si>
    <t>Fixed Data Drives</t>
  </si>
  <si>
    <t>1.8.3.1.1</t>
  </si>
  <si>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</si>
  <si>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Components\BitLocker Drive Encryption\Fixed Data Drives\Deny write access to fixed drives not protected by BitLocker</t>
    </r>
  </si>
  <si>
    <r>
      <rPr>
        <sz val="11"/>
        <color rgb="FF000000"/>
        <rFont val="Calibri"/>
      </rPr>
      <t>This policy setting determines whether BitLocker protection is required for fixed data drives to be writable on a computer.-  If you enable this policy setting, all fixed data drives that aren't BitLocker-protected will be mounted as read-only. If the drive is protected by BitLocker, it will be mounted with read and write access.</t>
    </r>
    <r>
      <rPr>
        <sz val="11"/>
        <color rgb="FF000000"/>
        <rFont val="Calibri"/>
      </rPr>
      <t xml:space="preserve">
</t>
    </r>
    <r>
      <rPr>
        <sz val="11"/>
        <color rgb="FF000000"/>
        <rFont val="Calibri"/>
      </rPr>
      <t xml:space="preserve">-  If you disable or don't configure this policy setting, all fixed data drives on the computer will be mounted with read and write access.Sample value for this node to enable this policy is: </t>
    </r>
    <r>
      <rPr>
        <b/>
        <sz val="11"/>
        <color rgb="FF000000"/>
        <rFont val="Calibri"/>
      </rPr>
      <t>&lt;enabled/&gt;</t>
    </r>
  </si>
  <si>
    <t>https://learn.microsoft.com/en-us/intune/device-security/security-baselines/ref-windows-mdm-settings?pivots=mdm-24h2#windows-components--bitlocker-drive-encryption--fixed-data-drives-1</t>
  </si>
  <si>
    <t>https://learn.microsoft.com/en-us/windows/client-management/mdm/bitlocker-csp?WT.mc_id=Portal-fx#fixeddrivesrequireencryption</t>
  </si>
  <si>
    <t>./Device/Vendor/MSFT/BitLocker/FixedDrivesRequireEncryption</t>
  </si>
  <si>
    <t>FDVDenyWriteAccess_Name</t>
  </si>
  <si>
    <t>Deny write access to fixed drives not protected by BitLocker</t>
  </si>
  <si>
    <t>Windows Components &gt; BitLocker Drive Encryption &gt; Fixed Data Drives</t>
  </si>
  <si>
    <t>System\CurrentControlSet\Policies\Microsoft\FVE</t>
  </si>
  <si>
    <t>FDVDenyWriteAccess</t>
  </si>
  <si>
    <t>VolumeEncryption.admx</t>
  </si>
  <si>
    <t>Removable Data Drives</t>
  </si>
  <si>
    <t>1.8.3.2.1.1</t>
  </si>
  <si>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</si>
  <si>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 xml:space="preserve">: </t>
    </r>
    <r>
      <rPr>
        <sz val="11"/>
        <color rgb="FF000000"/>
        <rFont val="Calibri"/>
      </rPr>
      <t xml:space="preserve">
</t>
    </r>
    <r>
      <rPr>
        <sz val="11"/>
        <color rgb="FF006096"/>
        <rFont val="Roboto Condensed"/>
      </rPr>
      <t>Administrative Templates\Windows Components\BitLocker Drive Encryption\Removable Data Drives\Deny write access to removable drives not protected by BitLocker: Do not allow write access to devices configured in another organization</t>
    </r>
  </si>
  <si>
    <r>
      <rPr>
        <sz val="11"/>
        <color rgb="FF000000"/>
        <rFont val="Calibri"/>
      </rPr>
      <t>This policy setting configures whether BitLocker protection is required for a computer to be able to write data to a removable data drive.- If you enable this policy setting, all removable data drives that aren't BitLocker-protected will be mounted as read-only. If the drive is protected by BitLocker, it will be mounted with read and write access.If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 If you disable or don't configure this policy setting, all removable data drives on the computer will be mounted with read and write access.</t>
    </r>
    <r>
      <rPr>
        <sz val="11"/>
        <color rgb="FF000000"/>
        <rFont val="Calibri"/>
      </rPr>
      <t>Note: This policy setting can be overridden by the policy settings under User Configuration\Administrative Templates\System\Removable Storage Access. If the "Removable Disks: Deny write access" policy setting is enabled this policy setting will be ignored.</t>
    </r>
    <r>
      <rPr>
        <sz val="11"/>
        <color rgb="FF000000"/>
        <rFont val="Calibri"/>
      </rPr>
      <t xml:space="preserve">
</t>
    </r>
    <r>
      <rPr>
        <sz val="11"/>
        <color rgb="FF000000"/>
        <rFont val="Calibri"/>
      </rPr>
      <t>This policy setting can be overridden by the policy settings under User Configuration\Administrative Templates\System\Removable Storage Access. If the "Removable Disks: Deny write access" policy setting is enabled this policy setting will be ignored.Data ID elements:- RDVCrossOrg: Deny write access to devices configured in another organizationSample value for this node to enable this policy is:</t>
    </r>
    <r>
      <rPr>
        <sz val="11"/>
        <color rgb="FF000000"/>
        <rFont val="Calibri"/>
      </rPr>
      <t xml:space="preserve">
</t>
    </r>
    <r>
      <rPr>
        <sz val="11"/>
        <color rgb="FF006096"/>
        <rFont val="Roboto Condensed"/>
      </rPr>
      <t>&lt;enabled/&gt;&lt;data id="RDVCrossOrg" value="xx"/&gt;</t>
    </r>
    <r>
      <rPr>
        <sz val="11"/>
        <color rgb="FF006096"/>
        <rFont val="Roboto Condensed"/>
      </rPr>
      <t xml:space="preserve">
</t>
    </r>
    <r>
      <rPr>
        <sz val="11"/>
        <color rgb="FF000000"/>
        <rFont val="Calibri"/>
      </rPr>
      <t>The possible values for 'xx' are:- true = Explicitly allow</t>
    </r>
    <r>
      <rPr>
        <sz val="11"/>
        <color rgb="FF000000"/>
        <rFont val="Calibri"/>
      </rPr>
      <t xml:space="preserve">
</t>
    </r>
    <r>
      <rPr>
        <sz val="11"/>
        <color rgb="FF000000"/>
        <rFont val="Calibri"/>
      </rPr>
      <t>- false = Policy not set</t>
    </r>
  </si>
  <si>
    <t>https://learn.microsoft.com/en-us/intune/device-security/security-baselines/ref-windows-mdm-settings?pivots=mdm-24h2#windows-components--bitlocker-drive-encryption--removable-data-drives-1</t>
  </si>
  <si>
    <t>https://learn.microsoft.com/en-us/windows/client-management/mdm/bitlocker-csp?WT.mc_id=Portal-fx#removabledrivesrequireencryption</t>
  </si>
  <si>
    <t>./Device/Vendor/MSFT/BitLocker/RemovableDrivesRequireEncryption</t>
  </si>
  <si>
    <t>RDVDenyWriteAccess_Name</t>
  </si>
  <si>
    <t>Deny write access to removable drives not protected by BitLocker</t>
  </si>
  <si>
    <t>Windows Components &gt; BitLocker Drive Encryption &gt; Removable Data Drives</t>
  </si>
  <si>
    <t>RDVDenyWriteAccess</t>
  </si>
  <si>
    <t>Credential User Interface</t>
  </si>
  <si>
    <t>1.8.4.1</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</si>
  <si>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</si>
  <si>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Components\Credential User Interface\Enumerate administrator accounts on elevation</t>
    </r>
  </si>
  <si>
    <r>
      <rPr>
        <sz val="11"/>
        <color rgb="FF000000"/>
        <rFont val="Calibri"/>
      </rPr>
      <t>This policy setting controls whether administrator accounts are displayed when a user attempts to elevate a running application. By default, administrator accounts aren't displayed when the user attempts to elevate a running application.-  If you enable this policy setting, all local administrator accounts on the PC will be displayed so the user can choose one and enter the correct password.</t>
    </r>
    <r>
      <rPr>
        <sz val="11"/>
        <color rgb="FF000000"/>
        <rFont val="Calibri"/>
      </rPr>
      <t xml:space="preserve">
</t>
    </r>
    <r>
      <rPr>
        <sz val="11"/>
        <color rgb="FF000000"/>
        <rFont val="Calibri"/>
      </rPr>
      <t>-  If you disable this policy setting, users will always be required to type a user name and password to elevate.</t>
    </r>
  </si>
  <si>
    <t>https://learn.microsoft.com/en-us/intune/device-security/security-baselines/ref-windows-mdm-settings?pivots=mdm-24h2#windows-components--credential-user-interface-1</t>
  </si>
  <si>
    <t>https://learn.microsoft.com/en-us/windows/client-management/mdm/policy-csp-credentialsui?WT.mc_id=Portal-fx#enumerateadministrators</t>
  </si>
  <si>
    <t>./Device/Vendor/MSFT/Policy/Config/CredentialsUI/EnumerateAdministrators</t>
  </si>
  <si>
    <t>EnumerateAdministrators</t>
  </si>
  <si>
    <t>Enumerate administrator accounts on elevation</t>
  </si>
  <si>
    <t>Windows Components &gt; Credential User Interface</t>
  </si>
  <si>
    <t>Software\Microsoft\Windows\CurrentVersion\Policies\CredUI</t>
  </si>
  <si>
    <t>CredUI.admx</t>
  </si>
  <si>
    <t>Application</t>
  </si>
  <si>
    <t>1.8.5.1.1.1</t>
  </si>
  <si>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</si>
  <si>
    <r>
      <rPr>
        <sz val="11"/>
        <color rgb="FF000000"/>
        <rFont val="Calibri"/>
      </rPr>
      <t xml:space="preserve">Set the following Settings Catalog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Administrative Templates\Windows Components\Event Log Service\Application\Specify the maximum log file size (KB): Maximum Log Size (KB)</t>
    </r>
  </si>
  <si>
    <r>
      <rPr>
        <sz val="11"/>
        <color rgb="FF000000"/>
        <rFont val="Calibri"/>
      </rPr>
      <t>This policy setting specifies the maximum size of the log file in kilobytes.-  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  If you disable or don't configure this policy setting, the maximum size of the log file will be set to the locally configured value. This value can be changed by the local administrator using the Log Properties dialog, and it defaults to 1 megabyte.</t>
    </r>
  </si>
  <si>
    <t>https://learn.microsoft.com/en-us/intune/device-security/security-baselines/ref-windows-mdm-settings?pivots=mdm-24h2#windows-components--event-log-service--application-1</t>
  </si>
  <si>
    <t>https://learn.microsoft.com/en-us/windows/client-management/mdm/policy-csp-eventlogservice?WT.mc_id=Portal-fx#specifymaximumfilesizeapplicationlog</t>
  </si>
  <si>
    <t>./Device/Vendor/MSFT/Policy/Config/EventLogService/SpecifyMaximumFileSizeApplicationLog</t>
  </si>
  <si>
    <t>Channel_LogMaxSize_1</t>
  </si>
  <si>
    <t>Specify the maximum log file size (KB)</t>
  </si>
  <si>
    <t>Windows Components &gt; Event Log Service &gt; Application</t>
  </si>
  <si>
    <t>Software\Policies\Microsoft\Windows\EventLog\Application</t>
  </si>
  <si>
    <t>EventLog.admx</t>
  </si>
  <si>
    <t>Security</t>
  </si>
  <si>
    <t>1.8.5.2.1.1</t>
  </si>
  <si>
    <r>
      <rPr>
        <sz val="11"/>
        <rFont val="Calibri"/>
      </rPr>
      <t xml:space="preserve">Ensure </t>
    </r>
    <r>
      <rPr>
        <sz val="11"/>
        <color rgb="FF000000"/>
        <rFont val="Calibri"/>
      </rPr>
      <t>'</t>
    </r>
    <r>
      <rPr>
        <b/>
        <sz val="11"/>
        <color rgb="FF000000"/>
        <rFont val="Calibri"/>
      </rPr>
      <t>Specify the maximum log file size (KB): Maximum Log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</si>
  <si>
    <r>
      <rPr>
        <sz val="11"/>
        <color rgb="FF000000"/>
        <rFont val="Calibri"/>
      </rPr>
      <t xml:space="preserve">Set the following Settings Catalog path to </t>
    </r>
    <r>
      <rPr>
        <b/>
        <sz val="11"/>
        <color rgb="FF000000"/>
        <rFont val="Calibri"/>
      </rPr>
      <t>Enabled: 196608</t>
    </r>
    <r>
      <rPr>
        <sz val="11"/>
        <color rgb="FF000000"/>
        <rFont val="Calibri"/>
      </rPr>
      <t xml:space="preserve">: </t>
    </r>
    <r>
      <rPr>
        <sz val="11"/>
        <color rgb="FF000000"/>
        <rFont val="Calibri"/>
      </rPr>
      <t xml:space="preserve">
</t>
    </r>
    <r>
      <rPr>
        <sz val="11"/>
        <color rgb="FF006096"/>
        <rFont val="Roboto Condensed"/>
      </rPr>
      <t>Administrative Templates\Windows Components\Event Log Service\Security\Specify the maximum log file size (KB): Maximum Log Size (KB)</t>
    </r>
  </si>
  <si>
    <r>
      <rPr>
        <sz val="11"/>
        <color rgb="FF000000"/>
        <rFont val="Calibri"/>
      </rPr>
      <t>This policy setting specifies the maximum size of the log file in kilobytes.-  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  If you disable or don't configure this policy setting, the maximum size of the log file will be set to the locally configured value. This value can be changed by the local administrator using the Log Properties dialog, and it defaults to 20 megabytes.</t>
    </r>
  </si>
  <si>
    <t>https://learn.microsoft.com/en-us/intune/device-security/security-baselines/ref-windows-mdm-settings?pivots=mdm-24h2#windows-components--event-log-service--security-1</t>
  </si>
  <si>
    <t>https://learn.microsoft.com/en-us/windows/client-management/mdm/policy-csp-eventlogservice?WT.mc_id=Portal-fx#specifymaximumfilesizesecuritylog</t>
  </si>
  <si>
    <t>./Device/Vendor/MSFT/Policy/Config/EventLogService/SpecifyMaximumFileSizeSecurityLog</t>
  </si>
  <si>
    <t>Channel_LogMaxSize_2</t>
  </si>
  <si>
    <t>Windows Components &gt; Event Log Service &gt; Security</t>
  </si>
  <si>
    <t>Software\Policies\Microsoft\Windows\EventLog\Security</t>
  </si>
  <si>
    <t>System</t>
  </si>
  <si>
    <t>1.8.5.3.1.1</t>
  </si>
  <si>
    <r>
      <rPr>
        <sz val="11"/>
        <color rgb="FF000000"/>
        <rFont val="Calibri"/>
      </rPr>
      <t xml:space="preserve">Set the following Settings Catalog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Administrative Templates\Windows Components\Event Log Service\System\Specify the maximum log file size (KB): Maximum Log Size (KB)</t>
    </r>
  </si>
  <si>
    <t>https://learn.microsoft.com/en-us/intune/device-security/security-baselines/ref-windows-mdm-settings?pivots=mdm-24h2#windows-components--event-log-service--system-1</t>
  </si>
  <si>
    <t>https://learn.microsoft.com/en-us/windows/client-management/mdm/policy-csp-eventlogservice?WT.mc_id=Portal-fx#specifymaximumfilesizesystemlog</t>
  </si>
  <si>
    <t>./Device/Vendor/MSFT/Policy/Config/EventLogService/SpecifyMaximumFileSizeSystemLog</t>
  </si>
  <si>
    <t>Channel_LogMaxSize_4</t>
  </si>
  <si>
    <t>Windows Components &gt; Event Log Service &gt; System</t>
  </si>
  <si>
    <t>Software\Policies\Microsoft\Windows\EventLog\System</t>
  </si>
  <si>
    <t>File Explorer</t>
  </si>
  <si>
    <t>1.8.6.1.1</t>
  </si>
  <si>
    <r>
      <rPr>
        <sz val="11"/>
        <rFont val="Calibri"/>
      </rPr>
      <t xml:space="preserve">Ensure </t>
    </r>
    <r>
      <rPr>
        <sz val="11"/>
        <color rgb="FF000000"/>
        <rFont val="Calibri"/>
      </rPr>
      <t>'</t>
    </r>
    <r>
      <rPr>
        <b/>
        <sz val="11"/>
        <color rgb="FF000000"/>
        <rFont val="Calibri"/>
      </rPr>
      <t>Configure Windows Defender SmartScreen: Pick one of the following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</si>
  <si>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Settings Catalog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Administrative Templates\Windows Components\File Explorer\Configure Windows Defender SmartScreen: Pick one of the following settings</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</si>
  <si>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don't appear to be suspicious.Some information is sent to Microsoft about files and programs run on PCs with this feature enabled.-  If you enable this policy, SmartScreen will be turned on for all users. Its behavior can be controlled by the following options:</t>
    </r>
    <r>
      <rPr>
        <sz val="11"/>
        <color rgb="FF000000"/>
        <rFont val="Calibri"/>
      </rPr>
      <t xml:space="preserve">
</t>
    </r>
    <r>
      <rPr>
        <sz val="11"/>
        <color rgb="FF000000"/>
        <rFont val="Calibri"/>
      </rPr>
      <t>-  Warn and prevent bypass</t>
    </r>
    <r>
      <rPr>
        <sz val="11"/>
        <color rgb="FF000000"/>
        <rFont val="Calibri"/>
      </rPr>
      <t xml:space="preserve">
</t>
    </r>
    <r>
      <rPr>
        <sz val="11"/>
        <color rgb="FF000000"/>
        <rFont val="Calibri"/>
      </rPr>
      <t>-  Warn.</t>
    </r>
    <r>
      <rPr>
        <sz val="11"/>
        <color rgb="FF000000"/>
        <rFont val="Calibri"/>
      </rPr>
      <t xml:space="preserve">
</t>
    </r>
    <r>
      <rPr>
        <sz val="11"/>
        <color rgb="FF000000"/>
        <rFont val="Calibri"/>
      </rPr>
      <t>-  If you enable this policy with the "Warn and prevent bypass" option, SmartScreen's dialogs won't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  If you enable this policy with the "Warn" option, SmartScreen's dialogs will warn the user that the app appears suspicious, but will permit the user to disregard the warning and run the app anyway. SmartScreen won't warn the user again for that app if the user tells SmartScreen to run the app.</t>
    </r>
    <r>
      <rPr>
        <sz val="11"/>
        <color rgb="FF000000"/>
        <rFont val="Calibri"/>
      </rPr>
      <t xml:space="preserve">
</t>
    </r>
    <r>
      <rPr>
        <sz val="11"/>
        <color rgb="FF000000"/>
        <rFont val="Calibri"/>
      </rPr>
      <t>-  If you disable this policy, SmartScreen will be turned off for all users. Users won't be warned if they try to run suspicious apps from the Internet.</t>
    </r>
    <r>
      <rPr>
        <sz val="11"/>
        <color rgb="FF000000"/>
        <rFont val="Calibri"/>
      </rPr>
      <t xml:space="preserve">
</t>
    </r>
    <r>
      <rPr>
        <sz val="11"/>
        <color rgb="FF000000"/>
        <rFont val="Calibri"/>
      </rPr>
      <t xml:space="preserve">-  If you don't configure this policy, SmartScreen will be enabled by default, but users may change their settings.For more information, see Microsoft Defender SmartScreen </t>
    </r>
    <r>
      <rPr>
        <sz val="11"/>
        <color rgb="FF0000FF"/>
        <rFont val="Calibri"/>
      </rPr>
      <t>(https://learn.microsoft.com/en-us/windows/security/operating-system-security/virus-and-threat-protection/microsoft-defender-smartscreen)</t>
    </r>
    <r>
      <rPr>
        <sz val="11"/>
        <color rgb="FF000000"/>
        <rFont val="Calibri"/>
      </rPr>
      <t>.</t>
    </r>
  </si>
  <si>
    <t>https://learn.microsoft.com/en-us/intune/device-security/security-baselines/ref-windows-mdm-settings?pivots=mdm-24h2#windows-components--file-explorer-1</t>
  </si>
  <si>
    <t>https://learn.microsoft.com/en-us/windows/client-management/mdm/policy-csp-admx-windowsexplorer?WT.mc_id=Portal-fx#enablesmartscreen</t>
  </si>
  <si>
    <t>./Device/Vendor/MSFT/Policy/Config/ADMX_WindowsExplorer/EnableSmartScreen</t>
  </si>
  <si>
    <t>EnableSmartScreen</t>
  </si>
  <si>
    <t>Configure Windows Defender SmartScreen</t>
  </si>
  <si>
    <t>WindowsComponents &gt; File Explorer</t>
  </si>
  <si>
    <t>WindowsExplorer.admx</t>
  </si>
  <si>
    <t>1.8.6.2</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</si>
  <si>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</si>
  <si>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Components\File Explorer\Turn off Data Execution Prevention for Explorer</t>
    </r>
  </si>
  <si>
    <r>
      <rPr>
        <sz val="11"/>
        <color rgb="FF000000"/>
        <rFont val="Calibri"/>
      </rPr>
      <t>Disabling data execution prevention can allow certain legacy plug-in applications to function without terminating Explorer.</t>
    </r>
  </si>
  <si>
    <t>https://learn.microsoft.com/en-us/windows/client-management/mdm/policy-csp-fileexplorer?WT.mc_id=Portal-fx#turnoffdataexecutionpreventionforexplorer</t>
  </si>
  <si>
    <t>./Device/Vendor/MSFT/Policy/Config/FileExplorer/TurnOffDataExecutionPreventionForExplorer</t>
  </si>
  <si>
    <t>NoDataExecutionPrevention</t>
  </si>
  <si>
    <t>Turn off Data Execution Prevention for Explorer</t>
  </si>
  <si>
    <t>Explorer.admx</t>
  </si>
  <si>
    <t>1.8.6.3</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</si>
  <si>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</si>
  <si>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Components\File Explorer\Turn off heap termination on corruption</t>
    </r>
  </si>
  <si>
    <r>
      <rPr>
        <sz val="11"/>
        <color rgb="FF000000"/>
        <rFont val="Calibri"/>
      </rPr>
      <t>Disabling heap termination on corruption can allow certain legacy plug-in applications to function without terminating Explorer immediately, although Explorer may still terminate unexpectedly later.</t>
    </r>
  </si>
  <si>
    <t>https://learn.microsoft.com/en-us/windows/client-management/mdm/policy-csp-fileexplorer?WT.mc_id=Portal-fx#turnoffheapterminationoncorruption</t>
  </si>
  <si>
    <t>./Device/Vendor/MSFT/Policy/Config/FileExplorer/TurnOffHeapTerminationOnCorruption</t>
  </si>
  <si>
    <t>NoHeapTerminationOnCorruption</t>
  </si>
  <si>
    <t>Turn off heap termination on corruption</t>
  </si>
  <si>
    <t>Internet Explorer</t>
  </si>
  <si>
    <t>1.8.7.1</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</si>
  <si>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</si>
  <si>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</si>
  <si>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  If you enable this policy setting, SmartScreen Filter warnings block the user.</t>
    </r>
    <r>
      <rPr>
        <sz val="11"/>
        <color rgb="FF000000"/>
        <rFont val="Calibri"/>
      </rPr>
      <t xml:space="preserve">
</t>
    </r>
    <r>
      <rPr>
        <sz val="11"/>
        <color rgb="FF000000"/>
        <rFont val="Calibri"/>
      </rPr>
      <t>-  If you disable or don't configure this policy setting, the user can bypass SmartScreen Filter warnings.</t>
    </r>
  </si>
  <si>
    <t>https://learn.microsoft.com/en-us/intune/device-security/security-baselines/ref-windows-mdm-settings?pivots=mdm-24h2#windows-components--internet-explorer-1</t>
  </si>
  <si>
    <t>https://learn.microsoft.com/en-us/windows/client-management/mdm/policy-csp-internetexplorer?WT.mc_id=Portal-fx#disablebypassofsmartscreenwarnings</t>
  </si>
  <si>
    <t>./Device/Vendor/MSFT/Policy/Config/InternetExplorer/DisableBypassOfSmartScreenWarnings</t>
  </si>
  <si>
    <t>DisableSafetyFilterOverride</t>
  </si>
  <si>
    <t>Prevent bypassing SmartScreen Filter warnings</t>
  </si>
  <si>
    <t>Windows Components &gt; Internet Explorer</t>
  </si>
  <si>
    <t>Software\Policies\Microsoft\Internet Explorer\PhishingFilter</t>
  </si>
  <si>
    <t>PreventOverride</t>
  </si>
  <si>
    <t>inetres.admx</t>
  </si>
  <si>
    <t>Internet Control Panel</t>
  </si>
  <si>
    <t>1.8.7.1.1</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</si>
  <si>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</si>
  <si>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</si>
  <si>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  If you enable this policy setting, the user can't continue browsing.</t>
    </r>
    <r>
      <rPr>
        <sz val="11"/>
        <color rgb="FF000000"/>
        <rFont val="Calibri"/>
      </rPr>
      <t xml:space="preserve">
</t>
    </r>
    <r>
      <rPr>
        <sz val="11"/>
        <color rgb="FF000000"/>
        <rFont val="Calibri"/>
      </rPr>
      <t>-  If you disable or don't configure this policy setting, the user can choose to ignore certificate errors and continue browsing.</t>
    </r>
  </si>
  <si>
    <t>https://learn.microsoft.com/en-us/intune/device-security/security-baselines/ref-windows-mdm-settings?pivots=mdm-24h2#windows-components--internet-explorer--internet-control-panel-1</t>
  </si>
  <si>
    <t>https://learn.microsoft.com/en-us/windows/client-management/mdm/policy-csp-internetexplorer?WT.mc_id=Portal-fx#disableignoringcertificateerrors</t>
  </si>
  <si>
    <t>./Device/Vendor/MSFT/Policy/Config/InternetExplorer/DisableIgnoringCertificateErrors</t>
  </si>
  <si>
    <t>NoCertError</t>
  </si>
  <si>
    <t>Prevent ignoring certificate errors</t>
  </si>
  <si>
    <t>Windows Components &gt; Internet Explorer &gt; Internet Control Panel</t>
  </si>
  <si>
    <t>Software\Policies\Microsoft\Windows\CurrentVersion\Internet Settings</t>
  </si>
  <si>
    <t>PreventIgnoreCertErrors</t>
  </si>
  <si>
    <t>Advanced Page</t>
  </si>
  <si>
    <t>1.8.7.1.1.1</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</si>
  <si>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</si>
  <si>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</si>
  <si>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  If you enable this policy setting, users will be prompted to install or run files with an invalid signature.</t>
    </r>
    <r>
      <rPr>
        <sz val="11"/>
        <color rgb="FF000000"/>
        <rFont val="Calibri"/>
      </rPr>
      <t xml:space="preserve">
</t>
    </r>
    <r>
      <rPr>
        <sz val="11"/>
        <color rgb="FF000000"/>
        <rFont val="Calibri"/>
      </rPr>
      <t>-  If you disable this policy setting, users can't run or install files with an invalid signature.</t>
    </r>
    <r>
      <rPr>
        <sz val="11"/>
        <color rgb="FF000000"/>
        <rFont val="Calibri"/>
      </rPr>
      <t xml:space="preserve">
</t>
    </r>
    <r>
      <rPr>
        <sz val="11"/>
        <color rgb="FF000000"/>
        <rFont val="Calibri"/>
      </rPr>
      <t>-  If you don't configure this policy, users can choose to run or install files with an invalid signature.</t>
    </r>
  </si>
  <si>
    <t>https://learn.microsoft.com/en-us/intune/device-security/security-baselines/ref-windows-mdm-settings?pivots=mdm-24h2#windows-components--internet-explorer--internet-control-panel--advanced-page-1</t>
  </si>
  <si>
    <t>https://learn.microsoft.com/en-us/windows/client-management/mdm/policy-csp-internetexplorer?WT.mc_id=Portal-fx#allowsoftwarewhensignatureisinvalid</t>
  </si>
  <si>
    <t>./Device/Vendor/MSFT/Policy/Config/InternetExplorer/AllowSoftwareWhenSignatureIsInvalid</t>
  </si>
  <si>
    <t>Advanced_InvalidSignatureBlock</t>
  </si>
  <si>
    <t>Allow software to run or install even if the signature is invalid</t>
  </si>
  <si>
    <t>Windows Components &gt; Internet Explorer &gt; Internet Control Panel &gt; Advanced Page</t>
  </si>
  <si>
    <t>Software\Policies\Microsoft\Internet Explorer\Download</t>
  </si>
  <si>
    <t>RunInvalidSignatures</t>
  </si>
  <si>
    <t>1.8.7.1.1.2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</si>
  <si>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</si>
  <si>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</si>
  <si>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they've been compromised or are no longer valid, and this option protects users from submitting confidential data to a site that may be fraudulent or not secure.-  If you enable this policy setting, Internet Explorer will check to see if server certificates have been revoked.</t>
    </r>
    <r>
      <rPr>
        <sz val="11"/>
        <color rgb="FF000000"/>
        <rFont val="Calibri"/>
      </rPr>
      <t xml:space="preserve">
</t>
    </r>
    <r>
      <rPr>
        <sz val="11"/>
        <color rgb="FF000000"/>
        <rFont val="Calibri"/>
      </rPr>
      <t>-  If you disable this policy setting, Internet Explorer won't check server certificates to see if they've been revoked.</t>
    </r>
    <r>
      <rPr>
        <sz val="11"/>
        <color rgb="FF000000"/>
        <rFont val="Calibri"/>
      </rPr>
      <t xml:space="preserve">
</t>
    </r>
    <r>
      <rPr>
        <sz val="11"/>
        <color rgb="FF000000"/>
        <rFont val="Calibri"/>
      </rPr>
      <t>-  If you don't configure this policy setting, Internet Explorer won't check server certificates to see if they've been revoked.</t>
    </r>
  </si>
  <si>
    <t>https://learn.microsoft.com/en-us/windows/client-management/mdm/policy-csp-internetexplorer?WT.mc_id=Portal-fx#checkservercertificaterevocation</t>
  </si>
  <si>
    <t>./Device/Vendor/MSFT/Policy/Config/InternetExplorer/CheckServerCertificateRevocation</t>
  </si>
  <si>
    <t>Advanced_CertificateRevocation</t>
  </si>
  <si>
    <t>Check for server certificate revocation</t>
  </si>
  <si>
    <t>CertificateRevocation</t>
  </si>
  <si>
    <t>1.8.7.1.1.3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</si>
  <si>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</si>
  <si>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</si>
  <si>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  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  If you disable this policy setting, Internet Explorer won't check the digital signatures of executable programs or display their identities before downloading them to user computers.</t>
    </r>
    <r>
      <rPr>
        <sz val="11"/>
        <color rgb="FF000000"/>
        <rFont val="Calibri"/>
      </rPr>
      <t xml:space="preserve">
</t>
    </r>
    <r>
      <rPr>
        <sz val="11"/>
        <color rgb="FF000000"/>
        <rFont val="Calibri"/>
      </rPr>
      <t>-  If you don't configure this policy, Internet Explorer won't check the digital signatures of executable programs or display their identities before downloading them to user computers.</t>
    </r>
  </si>
  <si>
    <t>https://learn.microsoft.com/en-us/windows/client-management/mdm/policy-csp-internetexplorer?WT.mc_id=Portal-fx#checksignaturesondownloadedprograms</t>
  </si>
  <si>
    <t>./Device/Vendor/MSFT/Policy/Config/InternetExplorer/CheckSignaturesOnDownloadedPrograms</t>
  </si>
  <si>
    <t>Advanced_DownloadSignatures</t>
  </si>
  <si>
    <t>Check for signatures on downloaded programs</t>
  </si>
  <si>
    <t>CheckExeSignatures</t>
  </si>
  <si>
    <t>1.8.7.1.1.4</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</si>
  <si>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</si>
  <si>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</si>
  <si>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isn't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isn't compatible with Enhanced Protected Mode, Internet Explorer notifies the user and gives the option to disable Enhanced Protected Mode for that particular website.-  If you enable this policy setting, Internet Explorer won't give the user the option to disable Enhanced Protected Mode. All Protected Mode websites will run in Enhanced Protected Mode.</t>
    </r>
    <r>
      <rPr>
        <sz val="11"/>
        <color rgb="FF000000"/>
        <rFont val="Calibri"/>
      </rPr>
      <t xml:space="preserve">
</t>
    </r>
    <r>
      <rPr>
        <sz val="11"/>
        <color rgb="FF000000"/>
        <rFont val="Calibri"/>
      </rPr>
      <t>-  If you disable or don't configure this policy setting, Internet Explorer notifies users and provides an option to run websites with incompatible ActiveX controls in regular Protected Mode. This is the default behavior.</t>
    </r>
  </si>
  <si>
    <t>https://learn.microsoft.com/en-us/windows/client-management/mdm/policy-csp-internetexplorer?WT.mc_id=Portal-fx#donotallowactivexcontrolsinprotectedmode</t>
  </si>
  <si>
    <t>./Device/Vendor/MSFT/Policy/Config/InternetExplorer/DoNotAllowActiveXControlsInProtectedMode</t>
  </si>
  <si>
    <t>Advanced_DisableEPMCompat</t>
  </si>
  <si>
    <t>Do not allow ActiveX controls to run in Protected Mode when Enhanced Protected Mode is enabled</t>
  </si>
  <si>
    <t>Software\Policies\Microsoft\Internet Explorer\Main</t>
  </si>
  <si>
    <t>DisableEPMCompat</t>
  </si>
  <si>
    <t>1.8.7.1.1.5.1</t>
  </si>
  <si>
    <r>
      <rPr>
        <sz val="11"/>
        <rFont val="Calibri"/>
      </rPr>
      <t xml:space="preserve">Ensure </t>
    </r>
    <r>
      <rPr>
        <sz val="11"/>
        <color rgb="FF000000"/>
        <rFont val="Calibri"/>
      </rPr>
      <t>'</t>
    </r>
    <r>
      <rPr>
        <b/>
        <sz val="11"/>
        <color rgb="FF000000"/>
        <rFont val="Calibri"/>
      </rPr>
      <t>Turn off encryption support: Secure Protocol combinations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</si>
  <si>
    <r>
      <rPr>
        <sz val="11"/>
        <color rgb="FF000000"/>
        <rFont val="Calibri"/>
      </rPr>
      <t xml:space="preserve">Set the following Settings Catalog path to </t>
    </r>
    <r>
      <rPr>
        <b/>
        <sz val="11"/>
        <color rgb="FF000000"/>
        <rFont val="Calibri"/>
      </rPr>
      <t>Enabled: Use TLS 1.1 and TLS 1.2</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Page\Turn off encryption support: Secure Protocol combinations</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</si>
  <si>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other's list of supported protocols and versions, and they select the most preferred match.-  If you enable this policy setting, the browser negotiates or doesn't negotiate an encryption tunnel by using the encryption methods that you select from the drop-down list.</t>
    </r>
    <r>
      <rPr>
        <sz val="11"/>
        <color rgb="FF000000"/>
        <rFont val="Calibri"/>
      </rPr>
      <t xml:space="preserve">
</t>
    </r>
    <r>
      <rPr>
        <sz val="11"/>
        <color rgb="FF000000"/>
        <rFont val="Calibri"/>
      </rPr>
      <t>-  If you disable or don't configure this policy setting, the user can select which encryption method the browser supports.</t>
    </r>
    <r>
      <rPr>
        <sz val="11"/>
        <color rgb="FF000000"/>
        <rFont val="Calibri"/>
      </rPr>
      <t>Note: SSL 2.0 is off by default and is no longer supported starting with Windows 10 Version 1607. SSL 2.0 is an outdated security protocol, and enabling SSL 2.0 impairs the performance and functionality of TLS 1.0.</t>
    </r>
    <r>
      <rPr>
        <sz val="11"/>
        <color rgb="FF000000"/>
        <rFont val="Calibri"/>
      </rPr>
      <t xml:space="preserve">
</t>
    </r>
    <r>
      <rPr>
        <sz val="11"/>
        <color rgb="FF000000"/>
        <rFont val="Calibri"/>
      </rPr>
      <t>SSL 2.0 is off by default and is no longer supported starting with Windows 10 Version 1607. SSL 2.0 is an outdated security protocol, and enabling SSL 2.0 impairs the performance and functionality of TLS 1.0.</t>
    </r>
  </si>
  <si>
    <t>https://learn.microsoft.com/en-us/windows/client-management/mdm/policy-csp-internetexplorer?WT.mc_id=Portal-fx#disableencryptionsupport</t>
  </si>
  <si>
    <t>./Device/Vendor/MSFT/Policy/Config/InternetExplorer/DisableEncryptionSupport</t>
  </si>
  <si>
    <t>Advanced_SetWinInetProtocols</t>
  </si>
  <si>
    <t>Turn off encryption support</t>
  </si>
  <si>
    <t>1.8.7.1.1.6</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</si>
  <si>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</si>
  <si>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Page\Turn on 64-bit tab processes when running in Enhanced Protected Mode on 64-bit versions of Windows</t>
    </r>
  </si>
  <si>
    <t>https://learn.microsoft.com/en-us/windows/client-management/mdm/policy-csp-internetexplorer?WT.mc_id=Portal-fx#disableprocessesinenhancedprotectedmode</t>
  </si>
  <si>
    <t>./Device/Vendor/MSFT/Policy/Config/InternetExplorer/DisableProcessesInEnhancedProtectedMode</t>
  </si>
  <si>
    <t>Advanced_EnableEnhancedProtectedMode64Bit</t>
  </si>
  <si>
    <t>Turn on 64-bit tab processes when running in Enhanced Protected Mode on 64-bit versions of Windows</t>
  </si>
  <si>
    <t>Isolation64Bit</t>
  </si>
  <si>
    <t>1.8.7.1.1.7</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</si>
  <si>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</si>
  <si>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</si>
  <si>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  If you enable this policy setting, Enhanced Protected Mode will be turned on. Any zone that has Protected Mode enabled will use Enhanced Protected Mode. Users won't be able to disable Enhanced Protected Mode.</t>
    </r>
    <r>
      <rPr>
        <sz val="11"/>
        <color rgb="FF000000"/>
        <rFont val="Calibri"/>
      </rPr>
      <t xml:space="preserve">
</t>
    </r>
    <r>
      <rPr>
        <sz val="11"/>
        <color rgb="FF000000"/>
        <rFont val="Calibri"/>
      </rPr>
      <t>-  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  If you don't configure this policy, users will be able to turn on or turn off Enhanced Protected Mode on the Advanced tab of the Internet Options dialog.</t>
    </r>
  </si>
  <si>
    <t>https://learn.microsoft.com/en-us/windows/client-management/mdm/policy-csp-internetexplorer?WT.mc_id=Portal-fx#allowenhancedprotectedmode</t>
  </si>
  <si>
    <t>./Device/Vendor/MSFT/Policy/Config/InternetExplorer/AllowEnhancedProtectedMode</t>
  </si>
  <si>
    <t>Advanced_EnableEnhancedProtectedMode</t>
  </si>
  <si>
    <t>Turn on Enhanced Protected Mode</t>
  </si>
  <si>
    <t>Isolation</t>
  </si>
  <si>
    <t>Security Page</t>
  </si>
  <si>
    <t>1.8.7.1.2.1</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</si>
  <si>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</si>
  <si>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</si>
  <si>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  If you enable this policy setting, all network paths are mapped into the Intranet Zone.</t>
    </r>
    <r>
      <rPr>
        <sz val="11"/>
        <color rgb="FF000000"/>
        <rFont val="Calibri"/>
      </rPr>
      <t xml:space="preserve">
</t>
    </r>
    <r>
      <rPr>
        <sz val="11"/>
        <color rgb="FF000000"/>
        <rFont val="Calibri"/>
      </rPr>
      <t>-  If you disable this policy setting, network paths aren't necessarily mapped into the Intranet Zone (other rules might map one there).</t>
    </r>
    <r>
      <rPr>
        <sz val="11"/>
        <color rgb="FF000000"/>
        <rFont val="Calibri"/>
      </rPr>
      <t xml:space="preserve">
</t>
    </r>
    <r>
      <rPr>
        <sz val="11"/>
        <color rgb="FF000000"/>
        <rFont val="Calibri"/>
      </rPr>
      <t>-  If you don't configure this policy setting, users choose whether network paths are mapped into the Intranet Zone.</t>
    </r>
  </si>
  <si>
    <t>https://learn.microsoft.com/en-us/intune/device-security/security-baselines/ref-windows-mdm-settings?pivots=mdm-24h2#windows-components--internet-explorer--internet-control-panel--security-page-1</t>
  </si>
  <si>
    <t>https://learn.microsoft.com/en-us/windows/client-management/mdm/policy-csp-internetexplorer?WT.mc_id=Portal-fx#includeallnetworkpaths</t>
  </si>
  <si>
    <t>./Device/Vendor/MSFT/Policy/Config/InternetExplorer/IncludeAllNetworkPaths</t>
  </si>
  <si>
    <t>IZ_UNCAsIntranet</t>
  </si>
  <si>
    <t>Intranet Sites: Include all network paths (UNCs)</t>
  </si>
  <si>
    <t>Windows Components &gt; Internet Explorer &gt; Internet Control Panel &gt; Security Page</t>
  </si>
  <si>
    <t>Software\Policies\Microsoft\Windows\CurrentVersion\Internet Settings\ZoneMap</t>
  </si>
  <si>
    <t>UNCAsIntranet</t>
  </si>
  <si>
    <t>Internet Zone</t>
  </si>
  <si>
    <t>1.8.7.1.2.1.1.1</t>
  </si>
  <si>
    <r>
      <rPr>
        <sz val="11"/>
        <rFont val="Calibri"/>
      </rPr>
      <t xml:space="preserve">Ensure </t>
    </r>
    <r>
      <rPr>
        <sz val="11"/>
        <color rgb="FF000000"/>
        <rFont val="Calibri"/>
      </rPr>
      <t>'</t>
    </r>
    <r>
      <rPr>
        <b/>
        <sz val="11"/>
        <color rgb="FF000000"/>
        <rFont val="Calibri"/>
      </rPr>
      <t>Access data sources across domains: 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</si>
  <si>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Zone\Access data sources across domains: Access data sources across domains</t>
    </r>
  </si>
  <si>
    <r>
      <rPr>
        <sz val="11"/>
        <color rgb="FF000000"/>
        <rFont val="Calibri"/>
      </rPr>
      <t>This policy setting allows you to manage whether Internet Explorer can access data from another security zone using the Microsoft XML Parser (MSXML) or ActiveX Data Objects (ADO).-  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  If you disable this policy setting, users can't load a page in the zone that uses MSXML or ADO to access data from another site in the zone.</t>
    </r>
    <r>
      <rPr>
        <sz val="11"/>
        <color rgb="FF000000"/>
        <rFont val="Calibri"/>
      </rPr>
      <t xml:space="preserve">
</t>
    </r>
    <r>
      <rPr>
        <sz val="11"/>
        <color rgb="FF000000"/>
        <rFont val="Calibri"/>
      </rPr>
      <t>-  If you don't configure this policy setting, users can't load a page in the zone that uses MSXML or ADO to access data from another site in the zone.</t>
    </r>
  </si>
  <si>
    <t>https://learn.microsoft.com/en-us/intune/device-security/security-baselines/ref-windows-mdm-settings?pivots=mdm-24h2#windows-components--internet-explorer--internet-control-panel--security-page--internet-zone-1</t>
  </si>
  <si>
    <t>https://learn.microsoft.com/en-us/windows/client-management/mdm/policy-csp-internetexplorer?WT.mc_id=Portal-fx#internetzoneallowaccesstodatasources</t>
  </si>
  <si>
    <t>./Device/Vendor/MSFT/Policy/Config/InternetExplorer/InternetZoneAllowAccessToDataSources</t>
  </si>
  <si>
    <t>IZ_PolicyAccessDataSourcesAcrossDomains_1</t>
  </si>
  <si>
    <t>Access data sources across domains</t>
  </si>
  <si>
    <t>Windows Components &gt; Internet Explorer &gt; Internet Control Panel &gt; Security Page &gt; Internet Zone</t>
  </si>
  <si>
    <t>Software\Policies\Microsoft\Windows\CurrentVersion\Internet Settings\Zones\3</t>
  </si>
  <si>
    <t>1.8.7.1.2.1.2.1</t>
  </si>
  <si>
    <r>
      <rPr>
        <sz val="11"/>
        <rFont val="Calibri"/>
      </rPr>
      <t xml:space="preserve">Ensure </t>
    </r>
    <r>
      <rPr>
        <sz val="11"/>
        <color rgb="FF000000"/>
        <rFont val="Calibri"/>
      </rPr>
      <t>'</t>
    </r>
    <r>
      <rPr>
        <b/>
        <sz val="11"/>
        <color rgb="FF000000"/>
        <rFont val="Calibri"/>
      </rPr>
      <t>Allow cut, copy or paste operations from the clipboard via script: Allow paste operations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</si>
  <si>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cut, copy or paste operations from the clipboard via script: Allow paste operations via script</t>
    </r>
  </si>
  <si>
    <r>
      <rPr>
        <sz val="11"/>
        <color rgb="FF000000"/>
        <rFont val="Calibri"/>
      </rPr>
      <t>This policy setting allows you to manage whether scripts can perform a clipboard operation (for example, cut, copy, and paste) in a specified region.- If you enable this policy setting, a script can perform a clipboard operation.If you select Prompt in the drop-down box, users are queried as to whether to perform clipboard operations.-  If you disable this policy setting, a script can't perform a clipboard operation.</t>
    </r>
    <r>
      <rPr>
        <sz val="11"/>
        <color rgb="FF000000"/>
        <rFont val="Calibri"/>
      </rPr>
      <t xml:space="preserve">
</t>
    </r>
    <r>
      <rPr>
        <sz val="11"/>
        <color rgb="FF000000"/>
        <rFont val="Calibri"/>
      </rPr>
      <t>-  If you don't configure this policy setting, a script can perform a clipboard operation.</t>
    </r>
  </si>
  <si>
    <t>https://learn.microsoft.com/en-us/windows/client-management/mdm/policy-csp-internetexplorer?WT.mc_id=Portal-fx#internetzoneallowcopypasteviascript</t>
  </si>
  <si>
    <t>./Device/Vendor/MSFT/Policy/Config/InternetExplorer/InternetZoneAllowCopyPasteViaScript</t>
  </si>
  <si>
    <t>IZ_PolicyAllowPasteViaScript_1</t>
  </si>
  <si>
    <t>Allow cut, copy or paste operations from the clipboard via script</t>
  </si>
  <si>
    <t>1.8.7.1.2.1.3.1</t>
  </si>
  <si>
    <r>
      <rPr>
        <sz val="11"/>
        <rFont val="Calibri"/>
      </rPr>
      <t xml:space="preserve">Ensure </t>
    </r>
    <r>
      <rPr>
        <sz val="11"/>
        <color rgb="FF000000"/>
        <rFont val="Calibri"/>
      </rPr>
      <t>'</t>
    </r>
    <r>
      <rPr>
        <b/>
        <sz val="11"/>
        <color rgb="FF000000"/>
        <rFont val="Calibri"/>
      </rPr>
      <t>Allow drag and drop or copy and paste files: 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</si>
  <si>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drag and drop or copy and paste files: Allow drag and drop or copy and paste files</t>
    </r>
  </si>
  <si>
    <r>
      <rPr>
        <sz val="11"/>
        <color rgb="FF000000"/>
        <rFont val="Calibri"/>
      </rPr>
      <t>This policy setting allows you to manage whether users can drag files or copy and paste files from a source within the zone.-  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  If you disable this policy setting, users are prevented from dragging files or copying and pasting files from this zone.</t>
    </r>
    <r>
      <rPr>
        <sz val="11"/>
        <color rgb="FF000000"/>
        <rFont val="Calibri"/>
      </rPr>
      <t xml:space="preserve">
</t>
    </r>
    <r>
      <rPr>
        <sz val="11"/>
        <color rgb="FF000000"/>
        <rFont val="Calibri"/>
      </rPr>
      <t>-  If you don't configure this policy setting, users can drag files or copy and paste files from this zone automatically.</t>
    </r>
  </si>
  <si>
    <t>https://learn.microsoft.com/en-us/windows/client-management/mdm/policy-csp-internetexplorer?WT.mc_id=Portal-fx#internetzoneallowdraganddropcopyandpastefiles</t>
  </si>
  <si>
    <t>./Device/Vendor/MSFT/Policy/Config/InternetExplorer/InternetZoneAllowDragAndDropCopyAndPasteFiles</t>
  </si>
  <si>
    <t>IZ_PolicyDropOrPasteFiles_1</t>
  </si>
  <si>
    <t>Allow drag and drop or copy and paste files</t>
  </si>
  <si>
    <t>1.8.7.1.2.1.4.1</t>
  </si>
  <si>
    <r>
      <rPr>
        <sz val="11"/>
        <rFont val="Calibri"/>
      </rPr>
      <t xml:space="preserve">Ensure </t>
    </r>
    <r>
      <rPr>
        <sz val="11"/>
        <color rgb="FF000000"/>
        <rFont val="Calibri"/>
      </rPr>
      <t>'</t>
    </r>
    <r>
      <rPr>
        <b/>
        <sz val="11"/>
        <color rgb="FF000000"/>
        <rFont val="Calibri"/>
      </rPr>
      <t>Allow loading of XAML files: XAML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</si>
  <si>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loading of XAML files: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</si>
  <si>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  If you enable this policy setting and set the drop-down box to Enable, XAML files are automatically loaded inside Internet Explorer. The user can't change this behavior. If you set the drop-down box to Prompt, the user is prompted for loading XAML files.</t>
    </r>
    <r>
      <rPr>
        <sz val="11"/>
        <color rgb="FF000000"/>
        <rFont val="Calibri"/>
      </rPr>
      <t xml:space="preserve">
</t>
    </r>
    <r>
      <rPr>
        <sz val="11"/>
        <color rgb="FF000000"/>
        <rFont val="Calibri"/>
      </rPr>
      <t>-  If you disable this policy setting, XAML files aren't loaded inside Internet Explorer. The user can't change this behavior.</t>
    </r>
    <r>
      <rPr>
        <sz val="11"/>
        <color rgb="FF000000"/>
        <rFont val="Calibri"/>
      </rPr>
      <t xml:space="preserve">
</t>
    </r>
    <r>
      <rPr>
        <sz val="11"/>
        <color rgb="FF000000"/>
        <rFont val="Calibri"/>
      </rPr>
      <t>-  If you don't configure this policy setting, the user can decide whether to load XAML files inside Internet Explorer.</t>
    </r>
  </si>
  <si>
    <t>https://learn.microsoft.com/en-us/windows/client-management/mdm/policy-csp-internetexplorer?WT.mc_id=Portal-fx#internetzoneallowloadingofxamlfiles</t>
  </si>
  <si>
    <t>./Device/Vendor/MSFT/Policy/Config/InternetExplorer/InternetZoneAllowLoadingOfXAMLFiles</t>
  </si>
  <si>
    <t>IZ_Policy_XAML_1</t>
  </si>
  <si>
    <t>Allow loading of XAML files</t>
  </si>
  <si>
    <t>1.8.7.1.2.1.5.1</t>
  </si>
  <si>
    <r>
      <rPr>
        <sz val="11"/>
        <rFont val="Calibri"/>
      </rPr>
      <t xml:space="preserve">Ensure </t>
    </r>
    <r>
      <rPr>
        <sz val="11"/>
        <color rgb="FF000000"/>
        <rFont val="Calibri"/>
      </rPr>
      <t>'</t>
    </r>
    <r>
      <rPr>
        <b/>
        <sz val="11"/>
        <color rgb="FF000000"/>
        <rFont val="Calibri"/>
      </rPr>
      <t>Allow only approved domains to use ActiveX controls without prompt: Only allow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</si>
  <si>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only approved domains to use ActiveX controls without prompt: Only allow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</si>
  <si>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  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  If you disable this policy setting, the user doesn't see the per-site ActiveX prompt, and ActiveX controls can run from all sites in this zone.</t>
    </r>
  </si>
  <si>
    <t>https://learn.microsoft.com/en-us/windows/client-management/mdm/policy-csp-internetexplorer?WT.mc_id=Portal-fx#internetzoneallowonlyapproveddomainstouseactivexcontrols</t>
  </si>
  <si>
    <t>./Device/Vendor/MSFT/Policy/Config/InternetExplorer/InternetZoneAllowOnlyApprovedDomainsToUseActiveXControls</t>
  </si>
  <si>
    <t>IZ_PolicyOnlyAllowApprovedDomainsToUseActiveXWithoutPrompt_Both_Internet</t>
  </si>
  <si>
    <t>Allow only approved domains to use ActiveX controls without prompt</t>
  </si>
  <si>
    <t>1.8.7.1.2.1.6.1</t>
  </si>
  <si>
    <r>
      <rPr>
        <sz val="11"/>
        <rFont val="Calibri"/>
      </rPr>
      <t xml:space="preserve">Ensure </t>
    </r>
    <r>
      <rPr>
        <sz val="11"/>
        <color rgb="FF000000"/>
        <rFont val="Calibri"/>
      </rPr>
      <t>'</t>
    </r>
    <r>
      <rPr>
        <b/>
        <sz val="11"/>
        <color rgb="FF000000"/>
        <rFont val="Calibri"/>
      </rPr>
      <t>Allow only approved domains to use the TDC ActiveX control: Only allow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</si>
  <si>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only approved domains to use the TDC ActiveX control: Only allow approved domains to use the TDC ActiveX control</t>
    </r>
  </si>
  <si>
    <r>
      <rPr>
        <sz val="11"/>
        <color rgb="FF000000"/>
        <rFont val="Calibri"/>
      </rPr>
      <t>This policy setting controls whether or not the user is allowed to run the TDC ActiveX control on websites.-  If you enable this policy setting, the TDC ActiveX control won't run from websites in this zone.</t>
    </r>
    <r>
      <rPr>
        <sz val="11"/>
        <color rgb="FF000000"/>
        <rFont val="Calibri"/>
      </rPr>
      <t xml:space="preserve">
</t>
    </r>
    <r>
      <rPr>
        <sz val="11"/>
        <color rgb="FF000000"/>
        <rFont val="Calibri"/>
      </rPr>
      <t>-  If you disable this policy setting, the TDC Active X control will run from all sites in this zone.</t>
    </r>
  </si>
  <si>
    <t>https://learn.microsoft.com/en-us/windows/client-management/mdm/policy-csp-internetexplorer?WT.mc_id=Portal-fx#internetzoneallowonlyapproveddomainstousetdcactivexcontrol</t>
  </si>
  <si>
    <t>./Device/Vendor/MSFT/Policy/Config/InternetExplorer/InternetZoneAllowOnlyApprovedDomainsToUseTDCActiveXControl</t>
  </si>
  <si>
    <t>IZ_PolicyAllowTDCControl_Both_Internet</t>
  </si>
  <si>
    <t>Allow only approved domains to use the TDC ActiveX control</t>
  </si>
  <si>
    <t>1.8.7.1.2.1.7.1</t>
  </si>
  <si>
    <r>
      <rPr>
        <sz val="11"/>
        <rFont val="Calibri"/>
      </rPr>
      <t xml:space="preserve">Ensure </t>
    </r>
    <r>
      <rPr>
        <sz val="11"/>
        <color rgb="FF000000"/>
        <rFont val="Calibri"/>
      </rPr>
      <t>'</t>
    </r>
    <r>
      <rPr>
        <b/>
        <sz val="11"/>
        <color rgb="FF000000"/>
        <rFont val="Calibri"/>
      </rPr>
      <t>Allow script-initiated windows without size or position constraints: 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</si>
  <si>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script-initiated windows without size or position constraints: Allow script-initiated windows without size or position constraints</t>
    </r>
  </si>
  <si>
    <r>
      <rPr>
        <sz val="11"/>
        <color rgb="FF000000"/>
        <rFont val="Calibri"/>
      </rPr>
      <t>This policy setting allows you to manage restrictions on script-initiated pop-up windows and windows that include the title and status bars.-  If you enable this policy setting, Windows Restrictions security won't apply in this zone. The security zone runs without the added layer of security provided by this feature.</t>
    </r>
    <r>
      <rPr>
        <sz val="11"/>
        <color rgb="FF000000"/>
        <rFont val="Calibri"/>
      </rPr>
      <t xml:space="preserve">
</t>
    </r>
    <r>
      <rPr>
        <sz val="11"/>
        <color rgb="FF000000"/>
        <rFont val="Calibri"/>
      </rPr>
      <t>-  If you disable this policy setting, the possible harmful actions contained in script-initiated pop-up windows and windows that include the title and status bars can't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  If you don't configure this policy setting, the possible harmful actions contained in script-initiated pop-up windows and windows that include the title and status bars can't be run. This Internet Explorer security feature will be on in this zone as dictated by the Scripted Windows Security Restrictions feature control setting for the process.</t>
    </r>
  </si>
  <si>
    <t>https://learn.microsoft.com/en-us/windows/client-management/mdm/policy-csp-internetexplorer?WT.mc_id=Portal-fx#internetzoneallowscriptinitiatedwindows</t>
  </si>
  <si>
    <t>./Device/Vendor/MSFT/Policy/Config/InternetExplorer/InternetZoneAllowScriptInitiatedWindows</t>
  </si>
  <si>
    <t>IZ_PolicyWindowsRestrictionsURLaction_1</t>
  </si>
  <si>
    <t>Allow script-initiated windows without size or position constraints</t>
  </si>
  <si>
    <t>1.8.7.1.2.1.8.1</t>
  </si>
  <si>
    <r>
      <rPr>
        <sz val="11"/>
        <rFont val="Calibri"/>
      </rPr>
      <t xml:space="preserve">Ensure </t>
    </r>
    <r>
      <rPr>
        <sz val="11"/>
        <color rgb="FF000000"/>
        <rFont val="Calibri"/>
      </rPr>
      <t>'</t>
    </r>
    <r>
      <rPr>
        <b/>
        <sz val="11"/>
        <color rgb="FF000000"/>
        <rFont val="Calibri"/>
      </rPr>
      <t>Allow scripting of Internet Explorer WebBrowser controls: Internet Explorer web browser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</si>
  <si>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scripting of Internet Explorer WebBrowser controls: Internet Explorer web browser control</t>
    </r>
  </si>
  <si>
    <r>
      <rPr>
        <sz val="11"/>
        <color rgb="FF000000"/>
        <rFont val="Calibri"/>
      </rPr>
      <t>This policy setting determines whether a page can control embedded WebBrowser controls via script.-  If you enable this policy setting, script access to the WebBrowser control is allowed.</t>
    </r>
    <r>
      <rPr>
        <sz val="11"/>
        <color rgb="FF000000"/>
        <rFont val="Calibri"/>
      </rPr>
      <t xml:space="preserve">
</t>
    </r>
    <r>
      <rPr>
        <sz val="11"/>
        <color rgb="FF000000"/>
        <rFont val="Calibri"/>
      </rPr>
      <t>-  If you disable this policy setting, script access to the WebBrowser control isn't allowed.</t>
    </r>
    <r>
      <rPr>
        <sz val="11"/>
        <color rgb="FF000000"/>
        <rFont val="Calibri"/>
      </rPr>
      <t xml:space="preserve">
</t>
    </r>
    <r>
      <rPr>
        <sz val="11"/>
        <color rgb="FF000000"/>
        <rFont val="Calibri"/>
      </rPr>
      <t>-  If you don't configure this policy setting, the user can enable or disable script access to the WebBrowser control. By default, script access to the WebBrowser control is allowed only in the Local Machine and Intranet zones.</t>
    </r>
  </si>
  <si>
    <t>https://learn.microsoft.com/en-us/windows/client-management/mdm/policy-csp-internetexplorer?WT.mc_id=Portal-fx#internetzoneallowscriptingofinternetexplorerwebbrowsercontrols</t>
  </si>
  <si>
    <t>./Device/Vendor/MSFT/Policy/Config/InternetExplorer/InternetZoneAllowScriptingOfInternetExplorerWebBrowserControls</t>
  </si>
  <si>
    <t>IZ_Policy_WebBrowserControl_1</t>
  </si>
  <si>
    <t>Allow scripting of Internet Explorer WebBrowser controls</t>
  </si>
  <si>
    <t>1.8.7.1.2.1.9.1</t>
  </si>
  <si>
    <r>
      <rPr>
        <sz val="11"/>
        <rFont val="Calibri"/>
      </rPr>
      <t xml:space="preserve">Ensure </t>
    </r>
    <r>
      <rPr>
        <sz val="11"/>
        <color rgb="FF000000"/>
        <rFont val="Calibri"/>
      </rPr>
      <t>'</t>
    </r>
    <r>
      <rPr>
        <b/>
        <sz val="11"/>
        <color rgb="FF000000"/>
        <rFont val="Calibri"/>
      </rPr>
      <t>Allow scriptlets: Scriptlets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</si>
  <si>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scriptlets: Scriptlets</t>
    </r>
  </si>
  <si>
    <r>
      <rPr>
        <sz val="11"/>
        <color rgb="FF000000"/>
        <rFont val="Calibri"/>
      </rPr>
      <t>This policy setting allows you to manage whether the user can run scriptlets.-  If you enable this policy setting, the user can run scriptlets.</t>
    </r>
    <r>
      <rPr>
        <sz val="11"/>
        <color rgb="FF000000"/>
        <rFont val="Calibri"/>
      </rPr>
      <t xml:space="preserve">
</t>
    </r>
    <r>
      <rPr>
        <sz val="11"/>
        <color rgb="FF000000"/>
        <rFont val="Calibri"/>
      </rPr>
      <t>-  If you disable this policy setting, the user can't run scriptlets.</t>
    </r>
    <r>
      <rPr>
        <sz val="11"/>
        <color rgb="FF000000"/>
        <rFont val="Calibri"/>
      </rPr>
      <t xml:space="preserve">
</t>
    </r>
    <r>
      <rPr>
        <sz val="11"/>
        <color rgb="FF000000"/>
        <rFont val="Calibri"/>
      </rPr>
      <t>-  If you don't configure this policy setting, the user can enable or disable scriptlets.</t>
    </r>
  </si>
  <si>
    <t>https://learn.microsoft.com/en-us/windows/client-management/mdm/policy-csp-internetexplorer?WT.mc_id=Portal-fx#internetzoneallowscriptlets</t>
  </si>
  <si>
    <t>./Device/Vendor/MSFT/Policy/Config/InternetExplorer/InternetZoneAllowScriptlets</t>
  </si>
  <si>
    <t>IZ_Policy_AllowScriptlets_1</t>
  </si>
  <si>
    <t>Allow scriptlets</t>
  </si>
  <si>
    <t>1.8.7.1.2.1.10.1</t>
  </si>
  <si>
    <r>
      <rPr>
        <sz val="11"/>
        <rFont val="Calibri"/>
      </rPr>
      <t xml:space="preserve">Ensure </t>
    </r>
    <r>
      <rPr>
        <sz val="11"/>
        <color rgb="FF000000"/>
        <rFont val="Calibri"/>
      </rPr>
      <t>'</t>
    </r>
    <r>
      <rPr>
        <b/>
        <sz val="11"/>
        <color rgb="FF000000"/>
        <rFont val="Calibri"/>
      </rPr>
      <t>Allow updates to status bar via script: Status bar updates via script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</si>
  <si>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updates to status bar via script: Status bar updates via script</t>
    </r>
  </si>
  <si>
    <r>
      <rPr>
        <sz val="11"/>
        <color rgb="FF000000"/>
        <rFont val="Calibri"/>
      </rPr>
      <t>This policy setting allows you to manage whether script is allowed to update the status bar within the zone.-  If you enable this policy setting, script is allowed to update the status bar.</t>
    </r>
    <r>
      <rPr>
        <sz val="11"/>
        <color rgb="FF000000"/>
        <rFont val="Calibri"/>
      </rPr>
      <t xml:space="preserve">
</t>
    </r>
    <r>
      <rPr>
        <sz val="11"/>
        <color rgb="FF000000"/>
        <rFont val="Calibri"/>
      </rPr>
      <t>-  If you disable or don't configure this policy setting, script isn't allowed to update the status bar.</t>
    </r>
  </si>
  <si>
    <t>https://learn.microsoft.com/en-us/windows/client-management/mdm/policy-csp-internetexplorer?WT.mc_id=Portal-fx#internetzoneallowupdatestostatusbarviascript</t>
  </si>
  <si>
    <t>./Device/Vendor/MSFT/Policy/Config/InternetExplorer/InternetZoneAllowUpdatesToStatusBarViaScript</t>
  </si>
  <si>
    <t>IZ_Policy_ScriptStatusBar_1</t>
  </si>
  <si>
    <t>Allow updates to status bar via script</t>
  </si>
  <si>
    <t>1.8.7.1.2.1.11.1</t>
  </si>
  <si>
    <r>
      <rPr>
        <sz val="11"/>
        <rFont val="Calibri"/>
      </rPr>
      <t xml:space="preserve">Ensure </t>
    </r>
    <r>
      <rPr>
        <sz val="11"/>
        <color rgb="FF000000"/>
        <rFont val="Calibri"/>
      </rPr>
      <t>'</t>
    </r>
    <r>
      <rPr>
        <b/>
        <sz val="11"/>
        <color rgb="FF000000"/>
        <rFont val="Calibri"/>
      </rPr>
      <t>Allow VBScript to run in Internet Explorer: 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</si>
  <si>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Zone\Allow VBScript to run in Internet Explorer: 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</si>
  <si>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don't configure or disable this policy setting, VBScript is prevented from running.</t>
    </r>
  </si>
  <si>
    <t>https://learn.microsoft.com/en-us/windows/client-management/mdm/policy-csp-internetexplorer?WT.mc_id=Portal-fx#internetzoneallowvbscripttorunininternetexplorer</t>
  </si>
  <si>
    <t>./Device/Vendor/MSFT/Policy/Config/InternetExplorer/InternetZoneAllowVBScriptToRunInInternetExplorer</t>
  </si>
  <si>
    <t>IZ_PolicyAllowVBScript_1</t>
  </si>
  <si>
    <t>Allow VBScript to run in Internet Explorer</t>
  </si>
  <si>
    <t>1.8.7.1.2.1.12.1</t>
  </si>
  <si>
    <r>
      <rPr>
        <sz val="11"/>
        <rFont val="Calibri"/>
      </rPr>
      <t xml:space="preserve">Ensure </t>
    </r>
    <r>
      <rPr>
        <sz val="11"/>
        <color rgb="FF000000"/>
        <rFont val="Calibri"/>
      </rPr>
      <t>'</t>
    </r>
    <r>
      <rPr>
        <b/>
        <sz val="11"/>
        <color rgb="FF000000"/>
        <rFont val="Calibri"/>
      </rPr>
      <t>Automatic prompting for file downloads: 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</si>
  <si>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Zone\Automatic prompting for file downloads: 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</si>
  <si>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  If you enable this setting, users will receive a file download dialog for automatic download attempts.</t>
    </r>
    <r>
      <rPr>
        <sz val="11"/>
        <color rgb="FF000000"/>
        <rFont val="Calibri"/>
      </rPr>
      <t xml:space="preserve">
</t>
    </r>
    <r>
      <rPr>
        <sz val="11"/>
        <color rgb="FF000000"/>
        <rFont val="Calibri"/>
      </rPr>
      <t>-  If you disable or don't configure this setting, file downloads that aren't user-initiated will be blocked, and users will see the Notification bar instead of the file download dialog. Users can then click the Notification bar to allow the file download prompt.</t>
    </r>
  </si>
  <si>
    <t>https://learn.microsoft.com/en-us/windows/client-management/mdm/policy-csp-internetexplorer?WT.mc_id=Portal-fx#internetzoneallowautomaticpromptingforfiledownloads</t>
  </si>
  <si>
    <t>./Device/Vendor/MSFT/Policy/Config/InternetExplorer/InternetZoneAllowAutomaticPromptingForFileDownloads</t>
  </si>
  <si>
    <t>IZ_PolicyNotificationBarDownloadURLaction_1</t>
  </si>
  <si>
    <t>Automatic prompting for file downloads</t>
  </si>
  <si>
    <t>1.8.7.1.2.1.13.1</t>
  </si>
  <si>
    <r>
      <rPr>
        <sz val="11"/>
        <rFont val="Calibri"/>
      </rPr>
      <t xml:space="preserve">Ensure </t>
    </r>
    <r>
      <rPr>
        <sz val="11"/>
        <color rgb="FF000000"/>
        <rFont val="Calibri"/>
      </rPr>
      <t>'</t>
    </r>
    <r>
      <rPr>
        <b/>
        <sz val="11"/>
        <color rgb="FF000000"/>
        <rFont val="Calibri"/>
      </rPr>
      <t>Don't run antimalware programs against ActiveX controls: 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</si>
  <si>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Zone\Don't run antimalware programs against ActiveX controls: Don't run antimalware programs against ActiveX controls</t>
    </r>
  </si>
  <si>
    <r>
      <rPr>
        <sz val="11"/>
        <color rgb="FF000000"/>
        <rFont val="Calibri"/>
      </rPr>
      <t>This policy setting determines whether Internet Explorer runs antimalware programs against ActiveX controls, to check if they're safe to load on pages.-  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  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  If you don't configure this policy setting, Internet Explorer always checks with your antimalware program to see if it's safe to create an instance of the ActiveX control. Users can turn this behavior on or off, using Internet Explorer Security settings.</t>
    </r>
  </si>
  <si>
    <t>https://learn.microsoft.com/en-us/windows/client-management/mdm/policy-csp-internetexplorer?WT.mc_id=Portal-fx#internetzonedonotrunantimalwareagainstactivexcontrols</t>
  </si>
  <si>
    <t>./Device/Vendor/MSFT/Policy/Config/InternetExplorer/InternetZoneDoNotRunAntimalwareAgainstActiveXControls</t>
  </si>
  <si>
    <t>IZ_PolicyAntiMalwareCheckingOfActiveXControls_1</t>
  </si>
  <si>
    <t>Don't run antimalware programs against ActiveX controls</t>
  </si>
  <si>
    <t>1.8.7.1.2.1.14.1</t>
  </si>
  <si>
    <r>
      <rPr>
        <sz val="11"/>
        <rFont val="Calibri"/>
      </rPr>
      <t xml:space="preserve">Ensure </t>
    </r>
    <r>
      <rPr>
        <sz val="11"/>
        <color rgb="FF000000"/>
        <rFont val="Calibri"/>
      </rPr>
      <t>'</t>
    </r>
    <r>
      <rPr>
        <b/>
        <sz val="11"/>
        <color rgb="FF000000"/>
        <rFont val="Calibri"/>
      </rPr>
      <t>Download signed ActiveX controls: 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</si>
  <si>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Zone\Download signed ActiveX controls: Download signed ActiveX controls</t>
    </r>
  </si>
  <si>
    <r>
      <rPr>
        <sz val="11"/>
        <color rgb="FF000000"/>
        <rFont val="Calibri"/>
      </rPr>
      <t>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  If you disable the policy setting, signed controls can't be downloaded.</t>
    </r>
    <r>
      <rPr>
        <sz val="11"/>
        <color rgb="FF000000"/>
        <rFont val="Calibri"/>
      </rPr>
      <t xml:space="preserve">
</t>
    </r>
    <r>
      <rPr>
        <sz val="11"/>
        <color rgb="FF000000"/>
        <rFont val="Calibri"/>
      </rPr>
      <t>-  If you don't configure this policy setting, users are queried whether to download controls signed by publishers who aren't trusted. Code signed by trusted publishers is silently downloaded.</t>
    </r>
  </si>
  <si>
    <t>https://learn.microsoft.com/en-us/windows/client-management/mdm/policy-csp-internetexplorer?WT.mc_id=Portal-fx#internetzonedownloadsignedactivexcontrols</t>
  </si>
  <si>
    <t>./Device/Vendor/MSFT/Policy/Config/InternetExplorer/InternetZoneDownloadSignedActiveXControls</t>
  </si>
  <si>
    <t>IZ_PolicyDownloadSignedActiveX_1</t>
  </si>
  <si>
    <t>Download signed ActiveX controls</t>
  </si>
  <si>
    <t>1.8.7.1.2.1.15.1</t>
  </si>
  <si>
    <r>
      <rPr>
        <sz val="11"/>
        <rFont val="Calibri"/>
      </rPr>
      <t xml:space="preserve">Ensure </t>
    </r>
    <r>
      <rPr>
        <sz val="11"/>
        <color rgb="FF000000"/>
        <rFont val="Calibri"/>
      </rPr>
      <t>'</t>
    </r>
    <r>
      <rPr>
        <b/>
        <sz val="11"/>
        <color rgb="FF000000"/>
        <rFont val="Calibri"/>
      </rPr>
      <t>Download unsigned ActiveX controls: 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</si>
  <si>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Zone\Download unsigned ActiveX controls: 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</si>
  <si>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  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  If you disable this policy setting, users can't run unsigned controls.</t>
    </r>
    <r>
      <rPr>
        <sz val="11"/>
        <color rgb="FF000000"/>
        <rFont val="Calibri"/>
      </rPr>
      <t xml:space="preserve">
</t>
    </r>
    <r>
      <rPr>
        <sz val="11"/>
        <color rgb="FF000000"/>
        <rFont val="Calibri"/>
      </rPr>
      <t>-  If you don't configure this policy setting, users can't run unsigned controls.</t>
    </r>
  </si>
  <si>
    <t>https://learn.microsoft.com/en-us/windows/client-management/mdm/policy-csp-internetexplorer?WT.mc_id=Portal-fx#internetzonedownloadunsignedactivexcontrols</t>
  </si>
  <si>
    <t>./Device/Vendor/MSFT/Policy/Config/InternetExplorer/InternetZoneDownloadUnsignedActiveXControls</t>
  </si>
  <si>
    <t>IZ_PolicyDownloadUnsignedActiveX_1</t>
  </si>
  <si>
    <t>Download unsigned ActiveX controls</t>
  </si>
  <si>
    <t>1.8.7.1.2.1.16.1</t>
  </si>
  <si>
    <r>
      <rPr>
        <sz val="11"/>
        <rFont val="Calibri"/>
      </rPr>
      <t xml:space="preserve">Ensure </t>
    </r>
    <r>
      <rPr>
        <sz val="11"/>
        <color rgb="FF000000"/>
        <rFont val="Calibri"/>
      </rPr>
      <t>'</t>
    </r>
    <r>
      <rPr>
        <b/>
        <sz val="11"/>
        <color rgb="FF000000"/>
        <rFont val="Calibri"/>
      </rPr>
      <t>Enable dragging of content from different domains across windows: 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</si>
  <si>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Zone\Enable dragging of content from different domains across windows: 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</si>
  <si>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can't change this setting.If you enable this policy setting and click Disable, users can't drag content from one domain to a different domain when both the source and destination are in different windows. Users can't change this setting.In Internet Explorer 10, if you disable this policy setting or don't configure it, users can't drag content from one domain to a different domain when the source and destination are in different windows. Users can change this setting in the Internet Options dialog.In Internet Explorer 9 and earlier versions, if you disable this policy or don't configure it, users can drag content from one domain to a different domain when the source and destination are in different windows. Users can't change this setting.</t>
    </r>
  </si>
  <si>
    <t>https://learn.microsoft.com/en-us/windows/client-management/mdm/policy-csp-internetexplorer?WT.mc_id=Portal-fx#internetzoneenabledraggingofcontentfromdifferentdomainsacrosswindows</t>
  </si>
  <si>
    <t>./Device/Vendor/MSFT/Policy/Config/InternetExplorer/InternetZoneEnableDraggingOfContentFromDifferentDomainsAcrossWindows</t>
  </si>
  <si>
    <t>IZ_PolicyDragDropAcrossDomainsAcrossWindows_Both_Internet</t>
  </si>
  <si>
    <t>Enable dragging of content from different domains across windows</t>
  </si>
  <si>
    <t>1.8.7.1.2.1.17.1</t>
  </si>
  <si>
    <r>
      <rPr>
        <sz val="11"/>
        <rFont val="Calibri"/>
      </rPr>
      <t xml:space="preserve">Ensure </t>
    </r>
    <r>
      <rPr>
        <sz val="11"/>
        <color rgb="FF000000"/>
        <rFont val="Calibri"/>
      </rPr>
      <t>'</t>
    </r>
    <r>
      <rPr>
        <b/>
        <sz val="11"/>
        <color rgb="FF000000"/>
        <rFont val="Calibri"/>
      </rPr>
      <t>Enable dragging of content from different domains within a window: 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</si>
  <si>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Zone\Enable dragging of content from different domains within a window: Enable dragging of content from different domains within a window</t>
    </r>
  </si>
  <si>
    <t>1.8.7.1.2.1.18.1</t>
  </si>
  <si>
    <r>
      <rPr>
        <sz val="11"/>
        <rFont val="Calibri"/>
      </rPr>
      <t xml:space="preserve">Ensure </t>
    </r>
    <r>
      <rPr>
        <sz val="11"/>
        <color rgb="FF000000"/>
        <rFont val="Calibri"/>
      </rPr>
      <t>'</t>
    </r>
    <r>
      <rPr>
        <b/>
        <sz val="11"/>
        <color rgb="FF000000"/>
        <rFont val="Calibri"/>
      </rPr>
      <t>Include local path when user is uploading files to a server: 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</si>
  <si>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Zone\Include local path when user is uploading files to a server: 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</si>
  <si>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  If you enable this policy setting, path information is sent when the user is uploading a file via an HTML form.</t>
    </r>
    <r>
      <rPr>
        <sz val="11"/>
        <color rgb="FF000000"/>
        <rFont val="Calibri"/>
      </rPr>
      <t xml:space="preserve">
</t>
    </r>
    <r>
      <rPr>
        <sz val="11"/>
        <color rgb="FF000000"/>
        <rFont val="Calibri"/>
      </rPr>
      <t>-  If you disable this policy setting, path information is removed when the user is uploading a file via an HTML form.</t>
    </r>
    <r>
      <rPr>
        <sz val="11"/>
        <color rgb="FF000000"/>
        <rFont val="Calibri"/>
      </rPr>
      <t xml:space="preserve">
</t>
    </r>
    <r>
      <rPr>
        <sz val="11"/>
        <color rgb="FF000000"/>
        <rFont val="Calibri"/>
      </rPr>
      <t>-  If you don't configure this policy setting, the user can choose whether path information is sent when he or she is uploading a file via an HTML form. By default, path information is sent.</t>
    </r>
  </si>
  <si>
    <t>https://learn.microsoft.com/en-us/windows/client-management/mdm/policy-csp-internetexplorer?WT.mc_id=Portal-fx#internetzoneincludelocalpathwhenuploadingfilestoserver</t>
  </si>
  <si>
    <t>./Device/Vendor/MSFT/Policy/Config/InternetExplorer/InternetZoneIncludeLocalPathWhenUploadingFilesToServer</t>
  </si>
  <si>
    <t>IZ_Policy_LocalPathForUpload_1</t>
  </si>
  <si>
    <t>Include local path when user is uploading files to a server</t>
  </si>
  <si>
    <t>1.8.7.1.2.1.19.1</t>
  </si>
  <si>
    <r>
      <rPr>
        <sz val="11"/>
        <rFont val="Calibri"/>
      </rPr>
      <t xml:space="preserve">Ensure </t>
    </r>
    <r>
      <rPr>
        <sz val="11"/>
        <color rgb="FF000000"/>
        <rFont val="Calibri"/>
      </rPr>
      <t>'</t>
    </r>
    <r>
      <rPr>
        <b/>
        <sz val="11"/>
        <color rgb="FF000000"/>
        <rFont val="Calibri"/>
      </rPr>
      <t>Initialize and script ActiveX controls not marked as safe: 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</si>
  <si>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Zone\Initialize and script ActiveX controls not marked as safe: Initialize and script ActiveX controls not marked as safe</t>
    </r>
  </si>
  <si>
    <r>
      <rPr>
        <sz val="11"/>
        <color rgb="FF000000"/>
        <rFont val="Calibri"/>
      </rPr>
      <t>This policy setting allows you to manage ActiveX controls not marked as safe.-  If you enable this policy setting, ActiveX controls are run, loaded with parameters, and scripted without setting object safety for untrusted data or scripts. This setting isn't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  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  If you disable this policy setting, ActiveX controls that can't be made safe aren't loaded with parameters or scripted.</t>
    </r>
    <r>
      <rPr>
        <sz val="11"/>
        <color rgb="FF000000"/>
        <rFont val="Calibri"/>
      </rPr>
      <t xml:space="preserve">
</t>
    </r>
    <r>
      <rPr>
        <sz val="11"/>
        <color rgb="FF000000"/>
        <rFont val="Calibri"/>
      </rPr>
      <t>-  If you don't configure this policy setting, ActiveX controls that can't be made safe aren't loaded with parameters or scripted.</t>
    </r>
  </si>
  <si>
    <t>https://learn.microsoft.com/en-us/windows/client-management/mdm/policy-csp-internetexplorer?WT.mc_id=Portal-fx#internetzoneinitializeandscriptactivexcontrols</t>
  </si>
  <si>
    <t>./Device/Vendor/MSFT/Policy/Config/InternetExplorer/InternetZoneInitializeAndScriptActiveXControls</t>
  </si>
  <si>
    <t>IZ_PolicyScriptActiveXNotMarkedSafe_1</t>
  </si>
  <si>
    <t>Initialize and script ActiveX controls not marked as safe</t>
  </si>
  <si>
    <t>1.8.7.1.2.1.20.1</t>
  </si>
  <si>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</si>
  <si>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Zone\Java permissions: Java permissions</t>
    </r>
  </si>
  <si>
    <r>
      <rPr>
        <sz val="11"/>
        <color rgb="FF000000"/>
        <rFont val="Calibri"/>
      </rPr>
      <t>This policy setting allows you to manage permissions for Java applets.- 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can't make calls), plus capabilities like scratch space (a safe and secure storage area on the client computer) and user-controlled file I/O.High Safety enables applets to run in their sandbox. Disable Java to prevent any applets from running.-  If you disable this policy setting, Java applets can't run.</t>
    </r>
    <r>
      <rPr>
        <sz val="11"/>
        <color rgb="FF000000"/>
        <rFont val="Calibri"/>
      </rPr>
      <t xml:space="preserve">
</t>
    </r>
    <r>
      <rPr>
        <sz val="11"/>
        <color rgb="FF000000"/>
        <rFont val="Calibri"/>
      </rPr>
      <t>-  If you don't configure this policy setting, the permission is set to High Safety.</t>
    </r>
  </si>
  <si>
    <t>https://learn.microsoft.com/en-us/windows/client-management/mdm/policy-csp-internetexplorer?WT.mc_id=Portal-fx#internetzonejavapermissions</t>
  </si>
  <si>
    <t>./Device/Vendor/MSFT/Policy/Config/InternetExplorer/InternetZoneJavaPermissions</t>
  </si>
  <si>
    <t>IZ_PolicyJavaPermissions_1</t>
  </si>
  <si>
    <t>Java permissions</t>
  </si>
  <si>
    <t>1.8.7.1.2.1.21.1</t>
  </si>
  <si>
    <r>
      <rPr>
        <sz val="11"/>
        <rFont val="Calibri"/>
      </rPr>
      <t xml:space="preserve">Ensure </t>
    </r>
    <r>
      <rPr>
        <sz val="11"/>
        <color rgb="FF000000"/>
        <rFont val="Calibri"/>
      </rPr>
      <t>'</t>
    </r>
    <r>
      <rPr>
        <b/>
        <sz val="11"/>
        <color rgb="FF000000"/>
        <rFont val="Calibri"/>
      </rPr>
      <t>Launching applications and files in an IFRAME: 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</si>
  <si>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Zone\Launching applications and files in an IFRAME: Launching applications and files in an IFRAME</t>
    </r>
  </si>
  <si>
    <r>
      <rPr>
        <sz val="11"/>
        <color rgb="FF000000"/>
        <rFont val="Calibri"/>
      </rPr>
      <t>This policy setting allows you to manage whether applications may be run and files may be downloaded from an IFRAME reference in the HTML of the pages in this zone.-  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  If you disable this policy setting, users are prevented from running applications and downloading files from IFRAMEs on the pages in this zone.</t>
    </r>
    <r>
      <rPr>
        <sz val="11"/>
        <color rgb="FF000000"/>
        <rFont val="Calibri"/>
      </rPr>
      <t xml:space="preserve">
</t>
    </r>
    <r>
      <rPr>
        <sz val="11"/>
        <color rgb="FF000000"/>
        <rFont val="Calibri"/>
      </rPr>
      <t>-  If you don't configure this policy setting, users are queried to choose whether to run applications and download files from IFRAMEs on the pages in this zone.</t>
    </r>
  </si>
  <si>
    <t>https://learn.microsoft.com/en-us/windows/client-management/mdm/policy-csp-internetexplorer?WT.mc_id=Portal-fx#internetzonelaunchingapplicationsandfilesiniframe</t>
  </si>
  <si>
    <t>./Device/Vendor/MSFT/Policy/Config/InternetExplorer/InternetZoneLaunchingApplicationsAndFilesInIFRAME</t>
  </si>
  <si>
    <t>IZ_PolicyLaunchAppsAndFilesInIFRAME_1</t>
  </si>
  <si>
    <t>Launching applications and files in an IFRAME</t>
  </si>
  <si>
    <t>1.8.7.1.2.1.22.1</t>
  </si>
  <si>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 for user name and password</t>
    </r>
    <r>
      <rPr>
        <sz val="11"/>
        <color rgb="FF000000"/>
        <rFont val="Calibri"/>
      </rPr>
      <t>'</t>
    </r>
  </si>
  <si>
    <r>
      <rPr>
        <sz val="11"/>
        <color rgb="FF000000"/>
        <rFont val="Calibri"/>
      </rPr>
      <t xml:space="preserve">Set the following Settings Catalog path to </t>
    </r>
    <r>
      <rPr>
        <b/>
        <sz val="11"/>
        <color rgb="FF000000"/>
        <rFont val="Calibri"/>
      </rPr>
      <t>Enabled: Prompt for user name and password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Zone\Logon options: Logon options</t>
    </r>
  </si>
  <si>
    <r>
      <rPr>
        <sz val="11"/>
        <color rgb="FF000000"/>
        <rFont val="Calibri"/>
      </rPr>
      <t>This policy setting allows you to manage settings for logon options.- 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isn't supported by the server, the user is queried to provide the user name and password.-  If you disable this policy setting, logon is set to Automatic logon only in Intranet zone.</t>
    </r>
    <r>
      <rPr>
        <sz val="11"/>
        <color rgb="FF000000"/>
        <rFont val="Calibri"/>
      </rPr>
      <t xml:space="preserve">
</t>
    </r>
    <r>
      <rPr>
        <sz val="11"/>
        <color rgb="FF000000"/>
        <rFont val="Calibri"/>
      </rPr>
      <t>-  If you don't configure this policy setting, logon is set to Automatic logon only in Intranet zone.</t>
    </r>
  </si>
  <si>
    <t>https://learn.microsoft.com/en-us/windows/client-management/mdm/policy-csp-internetexplorer?WT.mc_id=Portal-fx#internetzonelogonoptions</t>
  </si>
  <si>
    <t>./Device/Vendor/MSFT/Policy/Config/InternetExplorer/InternetZoneLogonOptions</t>
  </si>
  <si>
    <t>IZ_PolicyLogon_1</t>
  </si>
  <si>
    <t>Logon options</t>
  </si>
  <si>
    <t>1.8.7.1.2.1.23.1</t>
  </si>
  <si>
    <r>
      <rPr>
        <sz val="11"/>
        <rFont val="Calibri"/>
      </rPr>
      <t xml:space="preserve">Ensure </t>
    </r>
    <r>
      <rPr>
        <sz val="11"/>
        <color rgb="FF000000"/>
        <rFont val="Calibri"/>
      </rPr>
      <t>'</t>
    </r>
    <r>
      <rPr>
        <b/>
        <sz val="11"/>
        <color rgb="FF000000"/>
        <rFont val="Calibri"/>
      </rPr>
      <t>Navigate windows and frames across different domains: 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</si>
  <si>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Zone\Navigate windows and frames across different domains: Navigate windows and frames across different domains</t>
    </r>
  </si>
  <si>
    <r>
      <rPr>
        <sz val="11"/>
        <color rgb="FF000000"/>
        <rFont val="Calibri"/>
      </rPr>
      <t>This policy setting allows you to manage the opening of windows and frames and access of applications across different domains.-  If you enable this policy setting, users can open windows and frames from other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  If you disable this policy setting, users can't open windows and frames to access applications from different domains.</t>
    </r>
    <r>
      <rPr>
        <sz val="11"/>
        <color rgb="FF000000"/>
        <rFont val="Calibri"/>
      </rPr>
      <t xml:space="preserve">
</t>
    </r>
    <r>
      <rPr>
        <sz val="11"/>
        <color rgb="FF000000"/>
        <rFont val="Calibri"/>
      </rPr>
      <t>-  If you don't configure this policy setting, users can open windows and frames from other domains and access applications from other domains.</t>
    </r>
  </si>
  <si>
    <t>https://learn.microsoft.com/en-us/windows/client-management/mdm/policy-csp-internetexplorer?WT.mc_id=Portal-fx#internetzonenavigatewindowsandframes</t>
  </si>
  <si>
    <t>./Device/Vendor/MSFT/Policy/Config/InternetExplorer/InternetZoneNavigateWindowsAndFrames</t>
  </si>
  <si>
    <t>IZ_PolicyNavigateSubframesAcrossDomains_1</t>
  </si>
  <si>
    <t>Navigate windows and frames across different domains</t>
  </si>
  <si>
    <t>1.8.7.1.2.1.24.1</t>
  </si>
  <si>
    <r>
      <rPr>
        <sz val="11"/>
        <rFont val="Calibri"/>
      </rPr>
      <t xml:space="preserve">Ensure </t>
    </r>
    <r>
      <rPr>
        <sz val="11"/>
        <color rgb="FF000000"/>
        <rFont val="Calibri"/>
      </rPr>
      <t>'</t>
    </r>
    <r>
      <rPr>
        <b/>
        <sz val="11"/>
        <color rgb="FF000000"/>
        <rFont val="Calibri"/>
      </rPr>
      <t>Run .NET Framework-reliant components not signed with Authenticode: 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</si>
  <si>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Zone\Run .NET Framework-reliant components not signed with Authenticode: Run .NET Framework-reliant components not signed with Authenticode</t>
    </r>
  </si>
  <si>
    <r>
      <rPr>
        <sz val="11"/>
        <color rgb="FF000000"/>
        <rFont val="Calibri"/>
      </rPr>
      <t>This policy setting allows you to manage whether .NET Framework components that aren't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  If you disable this policy setting, Internet Explorer won't execute unsigned managed components.</t>
    </r>
    <r>
      <rPr>
        <sz val="11"/>
        <color rgb="FF000000"/>
        <rFont val="Calibri"/>
      </rPr>
      <t xml:space="preserve">
</t>
    </r>
    <r>
      <rPr>
        <sz val="11"/>
        <color rgb="FF000000"/>
        <rFont val="Calibri"/>
      </rPr>
      <t>-  If you don't configure this policy setting, Internet Explorer will execute unsigned managed components.</t>
    </r>
  </si>
  <si>
    <t>https://learn.microsoft.com/en-us/windows/client-management/mdm/policy-csp-internetexplorer?WT.mc_id=Portal-fx#internetzoneallownetframeworkreliantcomponents</t>
  </si>
  <si>
    <t>./Device/Vendor/MSFT/Policy/Config/InternetExplorer/InternetZoneAllowNETFrameworkReliantComponents</t>
  </si>
  <si>
    <t>IZ_PolicyUnsignedFrameworkComponentsURLaction_1</t>
  </si>
  <si>
    <t>Run .NET Framework-reliant components not signed with Authenticode</t>
  </si>
  <si>
    <t>1.8.7.1.2.1.25.1</t>
  </si>
  <si>
    <r>
      <rPr>
        <sz val="11"/>
        <rFont val="Calibri"/>
      </rPr>
      <t xml:space="preserve">Ensure </t>
    </r>
    <r>
      <rPr>
        <sz val="11"/>
        <color rgb="FF000000"/>
        <rFont val="Calibri"/>
      </rPr>
      <t>'</t>
    </r>
    <r>
      <rPr>
        <b/>
        <sz val="11"/>
        <color rgb="FF000000"/>
        <rFont val="Calibri"/>
      </rPr>
      <t>Run .NET Framework-reliant components signed with Authenticode: 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</si>
  <si>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Zone\Run .NET Framework-reliant components signed with Authenticode: 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</si>
  <si>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  If you disable this policy setting, Internet Explorer won't execute signed managed components.</t>
    </r>
    <r>
      <rPr>
        <sz val="11"/>
        <color rgb="FF000000"/>
        <rFont val="Calibri"/>
      </rPr>
      <t xml:space="preserve">
</t>
    </r>
    <r>
      <rPr>
        <sz val="11"/>
        <color rgb="FF000000"/>
        <rFont val="Calibri"/>
      </rPr>
      <t>-  If you don't configure this policy setting, Internet Explorer will execute signed managed components.</t>
    </r>
  </si>
  <si>
    <t>https://learn.microsoft.com/en-us/windows/client-management/mdm/policy-csp-internetexplorer?WT.mc_id=Portal-fx#internetzonerunnetframeworkreliantcomponentssignedwithauthenticode</t>
  </si>
  <si>
    <t>./Device/Vendor/MSFT/Policy/Config/InternetExplorer/InternetZoneRunNETFrameworkReliantComponentsSignedWithAuthenticode</t>
  </si>
  <si>
    <t>IZ_PolicySignedFrameworkComponentsURLaction_1</t>
  </si>
  <si>
    <t>Run .NET Framework-reliant components signed with Authenticode</t>
  </si>
  <si>
    <t>1.8.7.1.2.1.26.1</t>
  </si>
  <si>
    <r>
      <rPr>
        <sz val="11"/>
        <rFont val="Calibri"/>
      </rPr>
      <t xml:space="preserve">Ensure </t>
    </r>
    <r>
      <rPr>
        <sz val="11"/>
        <color rgb="FF000000"/>
        <rFont val="Calibri"/>
      </rPr>
      <t>'</t>
    </r>
    <r>
      <rPr>
        <b/>
        <sz val="11"/>
        <color rgb="FF000000"/>
        <rFont val="Calibri"/>
      </rPr>
      <t>Show security warning for potentially unsafe files: Launching programs and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</si>
  <si>
    <r>
      <rPr>
        <sz val="11"/>
        <color rgb="FF000000"/>
        <rFont val="Calibri"/>
      </rPr>
      <t xml:space="preserve">Set the following Settings Catalog path to </t>
    </r>
    <r>
      <rPr>
        <b/>
        <sz val="11"/>
        <color rgb="FF000000"/>
        <rFont val="Calibri"/>
      </rPr>
      <t>Enabled: Prompt</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Zone\Show security warning for potentially unsafe files: Launching programs and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</si>
  <si>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  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  If you disable this policy setting, these files don't open.</t>
    </r>
    <r>
      <rPr>
        <sz val="11"/>
        <color rgb="FF000000"/>
        <rFont val="Calibri"/>
      </rPr>
      <t xml:space="preserve">
</t>
    </r>
    <r>
      <rPr>
        <sz val="11"/>
        <color rgb="FF000000"/>
        <rFont val="Calibri"/>
      </rPr>
      <t>-  If you don't configure this policy setting, the user can configure how the computer handles these files. By default, these files are blocked in the Restricted zone, enabled in the Intranet and Local Computer zones, and set to prompt in the Internet and Trusted zones.</t>
    </r>
  </si>
  <si>
    <t>https://learn.microsoft.com/en-us/windows/client-management/mdm/policy-csp-internetexplorer?WT.mc_id=Portal-fx#internetzoneshowsecuritywarningforpotentiallyunsafefiles</t>
  </si>
  <si>
    <t>./Device/Vendor/MSFT/Policy/Config/InternetExplorer/InternetZoneShowSecurityWarningForPotentiallyUnsafeFiles</t>
  </si>
  <si>
    <t>IZ_Policy_UnsafeFiles_1</t>
  </si>
  <si>
    <t>Show security warning for potentially unsafe files</t>
  </si>
  <si>
    <t>1.8.7.1.2.1.27.1</t>
  </si>
  <si>
    <r>
      <rPr>
        <sz val="11"/>
        <rFont val="Calibri"/>
      </rPr>
      <t xml:space="preserve">Ensure </t>
    </r>
    <r>
      <rPr>
        <sz val="11"/>
        <color rgb="FF000000"/>
        <rFont val="Calibri"/>
      </rPr>
      <t>'</t>
    </r>
    <r>
      <rPr>
        <b/>
        <sz val="11"/>
        <color rgb="FF000000"/>
        <rFont val="Calibri"/>
      </rPr>
      <t>Turn on Cross-Site Scripting Filter: Turn on Cross-Site Scripting (XSS)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</si>
  <si>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Zone\Turn on Cross-Site Scripting Filter: Turn on Cross-Site Scripting (XSS) Filter</t>
    </r>
  </si>
  <si>
    <r>
      <rPr>
        <sz val="11"/>
        <color rgb="FF000000"/>
        <rFont val="Calibri"/>
      </rPr>
      <t>This policy controls whether or not the Cross-Site Scripting (XSS) Filter will detect and prevent cross-site script injections into websites in this zone.-  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  If you disable this policy setting, the XSS Filter is turned off for sites in this zone, and Internet Explorer permits cross-site script injections.</t>
    </r>
  </si>
  <si>
    <t>https://learn.microsoft.com/en-us/windows/client-management/mdm/policy-csp-internetexplorer?WT.mc_id=Portal-fx#internetzoneenablecrosssitescriptingfilter</t>
  </si>
  <si>
    <t>./Device/Vendor/MSFT/Policy/Config/InternetExplorer/InternetZoneEnableCrossSiteScriptingFilter</t>
  </si>
  <si>
    <t>IZ_PolicyTurnOnXSSFilter_Both_Internet</t>
  </si>
  <si>
    <t>Turn on Cross-Site Scripting Filter</t>
  </si>
  <si>
    <t>1.8.7.1.2.1.28.1</t>
  </si>
  <si>
    <r>
      <rPr>
        <sz val="11"/>
        <rFont val="Calibri"/>
      </rPr>
      <t xml:space="preserve">Ensure </t>
    </r>
    <r>
      <rPr>
        <sz val="11"/>
        <color rgb="FF000000"/>
        <rFont val="Calibri"/>
      </rPr>
      <t>'</t>
    </r>
    <r>
      <rPr>
        <b/>
        <sz val="11"/>
        <color rgb="FF000000"/>
        <rFont val="Calibri"/>
      </rPr>
      <t>Turn on Protected Mode: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</si>
  <si>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Zone\Turn on Protected Mode: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</si>
  <si>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  If you enable this policy setting, Protected Mode is turned on. The user can't turn off Protected Mode.</t>
    </r>
    <r>
      <rPr>
        <sz val="11"/>
        <color rgb="FF000000"/>
        <rFont val="Calibri"/>
      </rPr>
      <t xml:space="preserve">
</t>
    </r>
    <r>
      <rPr>
        <sz val="11"/>
        <color rgb="FF000000"/>
        <rFont val="Calibri"/>
      </rPr>
      <t>-  If you disable this policy setting, Protected Mode is turned off. The user can't turn on Protected Mode.</t>
    </r>
    <r>
      <rPr>
        <sz val="11"/>
        <color rgb="FF000000"/>
        <rFont val="Calibri"/>
      </rPr>
      <t xml:space="preserve">
</t>
    </r>
    <r>
      <rPr>
        <sz val="11"/>
        <color rgb="FF000000"/>
        <rFont val="Calibri"/>
      </rPr>
      <t>-  If you don't configure this policy setting, the user can turn on or turn off Protected Mode.</t>
    </r>
  </si>
  <si>
    <t>https://learn.microsoft.com/en-us/windows/client-management/mdm/policy-csp-internetexplorer?WT.mc_id=Portal-fx#internetzoneenableprotectedmode</t>
  </si>
  <si>
    <t>./Device/Vendor/MSFT/Policy/Config/InternetExplorer/InternetZoneEnableProtectedMode</t>
  </si>
  <si>
    <t>IZ_Policy_TurnOnProtectedMode_1</t>
  </si>
  <si>
    <t>Turn on Protected Mode</t>
  </si>
  <si>
    <t>1.8.7.1.2.1.29.1</t>
  </si>
  <si>
    <r>
      <rPr>
        <sz val="11"/>
        <rFont val="Calibri"/>
      </rPr>
      <t xml:space="preserve">Ensure </t>
    </r>
    <r>
      <rPr>
        <sz val="11"/>
        <color rgb="FF000000"/>
        <rFont val="Calibri"/>
      </rPr>
      <t>'</t>
    </r>
    <r>
      <rPr>
        <b/>
        <sz val="11"/>
        <color rgb="FF000000"/>
        <rFont val="Calibri"/>
      </rPr>
      <t>Turn on SmartScreen Filter scan: Use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t>
    </r>
    <r>
      <rPr>
        <sz val="11"/>
        <color rgb="FF000000"/>
        <rFont val="Calibri"/>
      </rPr>
      <t>'</t>
    </r>
  </si>
  <si>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Zone\Turn on SmartScreen Filter scan: Use SmartScreen Filter</t>
    </r>
  </si>
  <si>
    <r>
      <rPr>
        <sz val="11"/>
        <color rgb="FF000000"/>
        <rFont val="Calibri"/>
      </rPr>
      <t>This policy setting controls whether SmartScreen Filter scans pages in this zone for malicious content.-  If you enable this policy setting, SmartScreen Filter scans pages in this zone for malicious content.</t>
    </r>
    <r>
      <rPr>
        <sz val="11"/>
        <color rgb="FF000000"/>
        <rFont val="Calibri"/>
      </rPr>
      <t xml:space="preserve">
</t>
    </r>
    <r>
      <rPr>
        <sz val="11"/>
        <color rgb="FF000000"/>
        <rFont val="Calibri"/>
      </rPr>
      <t>-  If you disable this policy setting, SmartScreen Filter doesn't scan pages in this zone for malicious content.</t>
    </r>
    <r>
      <rPr>
        <sz val="11"/>
        <color rgb="FF000000"/>
        <rFont val="Calibri"/>
      </rPr>
      <t xml:space="preserve">
</t>
    </r>
    <r>
      <rPr>
        <sz val="11"/>
        <color rgb="FF000000"/>
        <rFont val="Calibri"/>
      </rPr>
      <t>-  If you don't configure this policy setting, the user can choose whether SmartScreen Filter scans pages in this zone for malicious content.</t>
    </r>
    <r>
      <rPr>
        <sz val="11"/>
        <color rgb="FF000000"/>
        <rFont val="Calibri"/>
      </rPr>
      <t>Note: In Internet Explorer 7, this policy setting controls whether Phishing Filter scans pages in this zone for malicious content.</t>
    </r>
    <r>
      <rPr>
        <sz val="11"/>
        <color rgb="FF000000"/>
        <rFont val="Calibri"/>
      </rPr>
      <t xml:space="preserve">
</t>
    </r>
    <r>
      <rPr>
        <sz val="11"/>
        <color rgb="FF000000"/>
        <rFont val="Calibri"/>
      </rPr>
      <t>In Internet Explorer 7, this policy setting controls whether Phishing Filter scans pages in this zone for malicious content.</t>
    </r>
  </si>
  <si>
    <t>https://learn.microsoft.com/en-us/windows/client-management/mdm/policy-csp-internetexplorer?WT.mc_id=Portal-fx#internetzoneallowsmartscreenie</t>
  </si>
  <si>
    <t>./Device/Vendor/MSFT/Policy/Config/InternetExplorer/InternetZoneAllowSmartScreenIE</t>
  </si>
  <si>
    <t>IZ_Policy_Phishing_1</t>
  </si>
  <si>
    <t>Turn on SmartScreen Filter scan</t>
  </si>
  <si>
    <t>1.8.7.1.2.1.30.1</t>
  </si>
  <si>
    <r>
      <rPr>
        <sz val="11"/>
        <rFont val="Calibri"/>
      </rPr>
      <t xml:space="preserve">Ensure </t>
    </r>
    <r>
      <rPr>
        <sz val="11"/>
        <color rgb="FF000000"/>
        <rFont val="Calibri"/>
      </rPr>
      <t>'</t>
    </r>
    <r>
      <rPr>
        <b/>
        <sz val="11"/>
        <color rgb="FF000000"/>
        <rFont val="Calibri"/>
      </rPr>
      <t>Use Pop-up Blocker: 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 Enable</t>
    </r>
    <r>
      <rPr>
        <sz val="11"/>
        <color rgb="FF000000"/>
        <rFont val="Calibri"/>
      </rPr>
      <t>'</t>
    </r>
  </si>
  <si>
    <r>
      <rPr>
        <sz val="11"/>
        <color rgb="FF000000"/>
        <rFont val="Calibri"/>
      </rPr>
      <t xml:space="preserve">Set the following Settings Catalog path to </t>
    </r>
    <r>
      <rPr>
        <b/>
        <sz val="11"/>
        <color rgb="FF000000"/>
        <rFont val="Calibri"/>
      </rPr>
      <t>Enable: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Zone\Use Pop-up Blocker: Use Pop-up Blocker</t>
    </r>
  </si>
  <si>
    <t>https://learn.microsoft.com/en-us/windows/client-management/mdm/policy-csp-internetexplorer?WT.mc_id=Portal-fx#internetexplorer-internetzoneusepopupblocker</t>
  </si>
  <si>
    <t>1.8.7.1.2.1.31.1</t>
  </si>
  <si>
    <r>
      <rPr>
        <sz val="11"/>
        <rFont val="Calibri"/>
      </rPr>
      <t xml:space="preserve">Ensure </t>
    </r>
    <r>
      <rPr>
        <sz val="11"/>
        <color rgb="FF000000"/>
        <rFont val="Calibri"/>
      </rPr>
      <t>'</t>
    </r>
    <r>
      <rPr>
        <b/>
        <sz val="11"/>
        <color rgb="FF000000"/>
        <rFont val="Calibri"/>
      </rPr>
      <t>Userdata persistence: 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</si>
  <si>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Zone\Userdata persistence: 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</si>
  <si>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  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  If you disable this policy setting, users can't preserve information in the browser's history, in favorites, in an XML store, or directly within a Web page saved to disk.</t>
    </r>
    <r>
      <rPr>
        <sz val="11"/>
        <color rgb="FF000000"/>
        <rFont val="Calibri"/>
      </rPr>
      <t xml:space="preserve">
</t>
    </r>
    <r>
      <rPr>
        <sz val="11"/>
        <color rgb="FF000000"/>
        <rFont val="Calibri"/>
      </rPr>
      <t>-  If you don't configure this policy setting, users can preserve information in the browser's history, in favorites, in an XML store, or directly within a Web page saved to disk.</t>
    </r>
  </si>
  <si>
    <t>https://learn.microsoft.com/en-us/windows/client-management/mdm/policy-csp-internetexplorer?WT.mc_id=Portal-fx#internetzoneallowuserdatapersistence</t>
  </si>
  <si>
    <t>./Device/Vendor/MSFT/Policy/Config/InternetExplorer/InternetZoneAllowUserDataPersistence</t>
  </si>
  <si>
    <t>IZ_PolicyUserdataPersistence_1</t>
  </si>
  <si>
    <t>Userdata persistence</t>
  </si>
  <si>
    <t>1.8.7.1.2.1.32.1</t>
  </si>
  <si>
    <r>
      <rPr>
        <sz val="11"/>
        <rFont val="Calibri"/>
      </rPr>
      <t xml:space="preserve">Ensure </t>
    </r>
    <r>
      <rPr>
        <sz val="11"/>
        <color rgb="FF000000"/>
        <rFont val="Calibri"/>
      </rPr>
      <t>'</t>
    </r>
    <r>
      <rPr>
        <b/>
        <sz val="11"/>
        <color rgb="FF000000"/>
        <rFont val="Calibri"/>
      </rPr>
      <t>Web sites in less privileged Web content zones can navigate into this zone: 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</si>
  <si>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Page\Internet Zone\Web sites in less privileged Web content zones can navigate into this zone: Web sites in less privileged Web content zones can navigate into this zone</t>
    </r>
  </si>
  <si>
    <r>
      <rPr>
        <sz val="11"/>
        <color rgb="FF000000"/>
        <rFont val="Calibri"/>
      </rPr>
      <t>This policy setting allows you to manage whether Web sites from less privileged zones, such as Restricted Sites, can navigate into this zone.-  If you enable this policy setting, Web sites from less privileged zones can open new windows in, or navigate into, this zone. The security zone will run without the added layer of security that's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  If you disable this policy setting, the possibly harmful navigations is prevented. The Internet Explorer security feature will be on in this zone as set by Protection from Zone Elevation feature control.</t>
    </r>
    <r>
      <rPr>
        <sz val="11"/>
        <color rgb="FF000000"/>
        <rFont val="Calibri"/>
      </rPr>
      <t xml:space="preserve">
</t>
    </r>
    <r>
      <rPr>
        <sz val="11"/>
        <color rgb="FF000000"/>
        <rFont val="Calibri"/>
      </rPr>
      <t>-  If you don't configure this policy setting, Web sites from less privileged zones can open new windows in, or navigate into, this zone.</t>
    </r>
  </si>
  <si>
    <t>https://learn.microsoft.com/en-us/windows/client-management/mdm/policy-csp-internetexplorer?WT.mc_id=Portal-fx#internetzoneallowlessprivilegedsites</t>
  </si>
  <si>
    <t>./Device/Vendor/MSFT/Policy/Config/InternetExplorer/InternetZoneAllowLessPrivilegedSites</t>
  </si>
  <si>
    <t>IZ_PolicyZoneElevationURLaction_1</t>
  </si>
  <si>
    <t>Web sites in less privileged Web content zones can navigate into this zone</t>
  </si>
  <si>
    <t>1.8.7.1.2.2</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</si>
  <si>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</si>
  <si>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</si>
  <si>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  If you enable this policy setting, the certificate address mismatch warning always appears.</t>
    </r>
    <r>
      <rPr>
        <sz val="11"/>
        <color rgb="FF000000"/>
        <rFont val="Calibri"/>
      </rPr>
      <t xml:space="preserve">
</t>
    </r>
    <r>
      <rPr>
        <sz val="11"/>
        <color rgb="FF000000"/>
        <rFont val="Calibri"/>
      </rPr>
      <t>-  If you disable or don't configure this policy setting, the user can choose whether the certificate address mismatch warning appears (by using the Advanced page in the Internet Control panel).</t>
    </r>
  </si>
  <si>
    <t>https://learn.microsoft.com/en-us/windows/client-management/mdm/policy-csp-internetexplorer?WT.mc_id=Portal-fx#allowcertificateaddressmismatchwarning</t>
  </si>
  <si>
    <t>./Device/Vendor/MSFT/Policy/Config/InternetExplorer/AllowCertificateAddressMismatchWarning</t>
  </si>
  <si>
    <t>IZ_PolicyWarnCertMismatch</t>
  </si>
  <si>
    <t>Turn on certificate address mismatch warning</t>
  </si>
  <si>
    <t>WarnOnBadCertRecving</t>
  </si>
  <si>
    <t>Intranet Zone</t>
  </si>
  <si>
    <t>1.8.7.1.2.2.1.1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</si>
  <si>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Page\Intranet Zone\Don't run antimalware programs against ActiveX controls: Don't run antimalware programs against ActiveX controls</t>
    </r>
  </si>
  <si>
    <r>
      <rPr>
        <sz val="11"/>
        <color rgb="FF000000"/>
        <rFont val="Calibri"/>
      </rPr>
      <t>This policy setting determines whether Internet Explorer runs antimalware programs against ActiveX controls, to check if they're safe to load on pages.-  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  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  If you don't configure this policy setting, Internet Explorer won't check with your antimalware program to see if it's safe to create an instance of the ActiveX control. Users can turn this behavior on or off, using Internet Explorer Security settings.</t>
    </r>
  </si>
  <si>
    <t>https://learn.microsoft.com/en-us/intune/device-security/security-baselines/ref-windows-mdm-settings?pivots=mdm-24h2#windows-components--internet-explorer--internet-control-panel--security-page--intranet-zone-1</t>
  </si>
  <si>
    <t>https://learn.microsoft.com/en-us/windows/client-management/mdm/policy-csp-internetexplorer?WT.mc_id=Portal-fx#intranetzonedonotrunantimalwareagainstactivexcontrols</t>
  </si>
  <si>
    <t>./Device/Vendor/MSFT/Policy/Config/InternetExplorer/IntranetZoneDoNotRunAntimalwareAgainstActiveXControls</t>
  </si>
  <si>
    <t>IZ_PolicyAntiMalwareCheckingOfActiveXControls_3</t>
  </si>
  <si>
    <t>Windows Components &gt; Internet Explorer &gt; Internet Control Panel &gt; Security Page &gt; Intranet Zone</t>
  </si>
  <si>
    <t>Software\Policies\Microsoft\Windows\CurrentVersion\Internet Settings\Zones\1</t>
  </si>
  <si>
    <t>1.8.7.1.2.2.2.1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</si>
  <si>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Page\Intranet Zone\Initialize and script ActiveX controls not marked as safe: Initialize and script ActiveX controls not marked as safe</t>
    </r>
  </si>
  <si>
    <t>https://learn.microsoft.com/en-us/windows/client-management/mdm/policy-csp-internetexplorer?WT.mc_id=Portal-fx#intranetzoneinitializeandscriptactivexcontrols</t>
  </si>
  <si>
    <t>./Device/Vendor/MSFT/Policy/Config/InternetExplorer/IntranetZoneInitializeAndScriptActiveXControls</t>
  </si>
  <si>
    <t>IZ_PolicyScriptActiveXNotMarkedSafe_3</t>
  </si>
  <si>
    <t>1.8.7.1.2.2.3.1</t>
  </si>
  <si>
    <r>
      <rPr>
        <sz val="11"/>
        <rFont val="Calibri"/>
      </rPr>
      <t xml:space="preserve">Ensure </t>
    </r>
    <r>
      <rPr>
        <sz val="11"/>
        <color rgb="FF000000"/>
        <rFont val="Calibri"/>
      </rPr>
      <t>'</t>
    </r>
    <r>
      <rPr>
        <b/>
        <sz val="11"/>
        <color rgb="FF000000"/>
        <rFont val="Calibri"/>
      </rPr>
      <t>Java permissions: 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High safety</t>
    </r>
    <r>
      <rPr>
        <sz val="11"/>
        <color rgb="FF000000"/>
        <rFont val="Calibri"/>
      </rPr>
      <t>'</t>
    </r>
  </si>
  <si>
    <r>
      <rPr>
        <sz val="11"/>
        <color rgb="FF000000"/>
        <rFont val="Calibri"/>
      </rPr>
      <t xml:space="preserve">Set the following Settings Catalog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Page\Intranet Zone\Java permissions: Java permissions</t>
    </r>
  </si>
  <si>
    <r>
      <rPr>
        <sz val="11"/>
        <color rgb="FF000000"/>
        <rFont val="Calibri"/>
      </rPr>
      <t>This policy setting allows you to manage permissions for Java applets.- 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can't make calls), plus capabilities like scratch space (a safe and secure storage area on the client computer) and user-controlled file I/O.High Safety enables applets to run in their sandbox. Disable Java to prevent any applets from running.-  If you disable this policy setting, Java applets can't run.</t>
    </r>
    <r>
      <rPr>
        <sz val="11"/>
        <color rgb="FF000000"/>
        <rFont val="Calibri"/>
      </rPr>
      <t xml:space="preserve">
</t>
    </r>
    <r>
      <rPr>
        <sz val="11"/>
        <color rgb="FF000000"/>
        <rFont val="Calibri"/>
      </rPr>
      <t>-  If you don't configure this policy setting, the permission is set to Medium Safety.</t>
    </r>
  </si>
  <si>
    <t>https://learn.microsoft.com/en-us/windows/client-management/mdm/policy-csp-internetexplorer?WT.mc_id=Portal-fx#intranetzonejavapermissions</t>
  </si>
  <si>
    <t>./Device/Vendor/MSFT/Policy/Config/InternetExplorer/IntranetZoneJavaPermissions</t>
  </si>
  <si>
    <t>IZ_PolicyJavaPermissions_3</t>
  </si>
  <si>
    <t>Local Machine Zone</t>
  </si>
  <si>
    <t>1.8.7.1.2.3.1.1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</si>
  <si>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Page\Local Machine Zone\Don't run antimalware programs against ActiveX controls: Don't run antimalware programs against ActiveX controls</t>
    </r>
  </si>
  <si>
    <t>https://learn.microsoft.com/en-us/intune/device-security/security-baselines/ref-windows-mdm-settings?pivots=mdm-24h2#windows-components--internet-explorer--internet-control-panel--security-page--local-machine-zone-1</t>
  </si>
  <si>
    <t>https://learn.microsoft.com/en-us/windows/client-management/mdm/policy-csp-internetexplorer?WT.mc_id=Portal-fx#localmachinezonedonotrunantimalwareagainstactivexcontrols</t>
  </si>
  <si>
    <t>./Device/Vendor/MSFT/Policy/Config/InternetExplorer/LocalMachineZoneDoNotRunAntimalwareAgainstActiveXControls</t>
  </si>
  <si>
    <t>IZ_PolicyAntiMalwareCheckingOfActiveXControls_9</t>
  </si>
  <si>
    <t>Windows Components &gt; Internet Explorer &gt; Internet Control Panel &gt; Security Page &gt; Local Machine Zone</t>
  </si>
  <si>
    <t>Software\Policies\Microsoft\Windows\CurrentVersion\Internet Settings\Zones\0</t>
  </si>
  <si>
    <t>1.8.7.1.2.3.2.1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</si>
  <si>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Page\Local Machine Zone\Java permissions: Java permissions</t>
    </r>
  </si>
  <si>
    <t>https://learn.microsoft.com/en-us/windows/client-management/mdm/policy-csp-internetexplorer?WT.mc_id=Portal-fx#localmachinezonejavapermissions</t>
  </si>
  <si>
    <t>./Device/Vendor/MSFT/Policy/Config/InternetExplorer/LocalMachineZoneJavaPermissions</t>
  </si>
  <si>
    <t>IZ_PolicyJavaPermissions_9</t>
  </si>
  <si>
    <t>Locked-Down Internet Zone</t>
  </si>
  <si>
    <t>1.8.7.1.2.4.1.1</t>
  </si>
  <si>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Internet Zone\Turn on SmartScreen Filter scan: Use SmartScreen Filter</t>
    </r>
  </si>
  <si>
    <t>https://learn.microsoft.com/en-us/intune/device-security/security-baselines/ref-windows-mdm-settings?pivots=mdm-24h2#windows-components--internet-explorer--internet-control-panel--security-page--locked-down-internet-zone-1</t>
  </si>
  <si>
    <t>https://learn.microsoft.com/en-us/windows/client-management/mdm/policy-csp-internetexplorer?WT.mc_id=Portal-fx#lockeddowninternetzoneallowsmartscreenie</t>
  </si>
  <si>
    <t>./Device/Vendor/MSFT/Policy/Config/InternetExplorer/LockedDownInternetZoneAllowSmartScreenIE</t>
  </si>
  <si>
    <t>IZ_Policy_Phishing_2</t>
  </si>
  <si>
    <t>Windows Components &gt; Internet Explorer &gt; Internet Control Panel &gt; Security Page &gt; Locked-Down Internet Zone</t>
  </si>
  <si>
    <t>Software\Policies\Microsoft\Windows\CurrentVersion\Internet Settings\Lockdown_Zones\3</t>
  </si>
  <si>
    <t>Locked-Down Intranet Zone</t>
  </si>
  <si>
    <t>1.8.7.1.2.5.1.1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</si>
  <si>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Intranet Zone\Java permissions: Java permissions</t>
    </r>
  </si>
  <si>
    <r>
      <rPr>
        <sz val="11"/>
        <color rgb="FF000000"/>
        <rFont val="Calibri"/>
      </rPr>
      <t>This policy setting allows you to manage permissions for Java applets.- 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can't make calls), plus capabilities like scratch space (a safe and secure storage area on the client computer) and user-controlled file I/O.High Safety enables applets to run in their sandbox. Disable Java to prevent any applets from running.-  If you disable this policy setting, Java applets can't run.</t>
    </r>
    <r>
      <rPr>
        <sz val="11"/>
        <color rgb="FF000000"/>
        <rFont val="Calibri"/>
      </rPr>
      <t xml:space="preserve">
</t>
    </r>
    <r>
      <rPr>
        <sz val="11"/>
        <color rgb="FF000000"/>
        <rFont val="Calibri"/>
      </rPr>
      <t>-  If you don't configure this policy setting, Java applets are disabled.</t>
    </r>
  </si>
  <si>
    <t>https://learn.microsoft.com/en-us/intune/device-security/security-baselines/ref-windows-mdm-settings?pivots=mdm-24h2#windows-components--internet-explorer--internet-control-panel--security-page--locked-down-intranet-zone-1</t>
  </si>
  <si>
    <t>https://learn.microsoft.com/en-us/windows/client-management/mdm/policy-csp-internetexplorer?WT.mc_id=Portal-fx#lockeddownintranetjavapermissions</t>
  </si>
  <si>
    <t>./Device/Vendor/MSFT/Policy/Config/InternetExplorer/LockedDownIntranetJavaPermissions</t>
  </si>
  <si>
    <t>IZ_PolicyJavaPermissions_4</t>
  </si>
  <si>
    <t>Windows Components &gt; Internet Explorer &gt; Internet Control Panel &gt; Security Page &gt; Locked-Down Intranet Zone</t>
  </si>
  <si>
    <t>Software\Policies\Microsoft\Windows\CurrentVersion\Internet Settings\Lockdown_Zones\1</t>
  </si>
  <si>
    <t>Locked-Down Local Machine Zone</t>
  </si>
  <si>
    <t>1.8.7.1.2.6.1.1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</si>
  <si>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Local Machine Zone\Java permissions: Java permissions</t>
    </r>
  </si>
  <si>
    <t>https://learn.microsoft.com/en-us/intune/device-security/security-baselines/ref-windows-mdm-settings?pivots=mdm-24h2#windows-components--internet-explorer--internet-control-panel--security-page--locked-down-local-machine-zone-1</t>
  </si>
  <si>
    <t>https://learn.microsoft.com/en-us/windows/client-management/mdm/policy-csp-internetexplorer?WT.mc_id=Portal-fx#lockeddownlocalmachinezonejavapermissions</t>
  </si>
  <si>
    <t>./Device/Vendor/MSFT/Policy/Config/InternetExplorer/LockedDownLocalMachineZoneJavaPermissions</t>
  </si>
  <si>
    <t>IZ_PolicyJavaPermissions_10</t>
  </si>
  <si>
    <t>Windows Components &gt; Internet Explorer &gt; Internet Control Panel &gt; Security Page &gt; Locked-Down Local Machine Zone</t>
  </si>
  <si>
    <t>Software\Policies\Microsoft\Windows\CurrentVersion\Internet Settings\Lockdown_Zones\0</t>
  </si>
  <si>
    <t>Locked-Down Restricted Sites Zone</t>
  </si>
  <si>
    <t>1.8.7.1.2.7.1.1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</si>
  <si>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Restricted Sites Zone\Java permissions: Java permissions</t>
    </r>
  </si>
  <si>
    <t>https://learn.microsoft.com/en-us/intune/device-security/security-baselines/ref-windows-mdm-settings?pivots=mdm-24h2#windows-components--internet-explorer--internet-control-panel--security-page--locked-down-restricted-sites-zone-1</t>
  </si>
  <si>
    <t>1.8.7.1.2.7.2.1</t>
  </si>
  <si>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Restricted Sites Zone\Turn on SmartScreen Filter scan: Use SmartScreen Filter</t>
    </r>
  </si>
  <si>
    <t>https://learn.microsoft.com/en-us/windows/client-management/mdm/policy-csp-internetexplorer?WT.mc_id=Portal-fx#lockeddownrestrictedsiteszoneallowsmartscreenie</t>
  </si>
  <si>
    <t>./Device/Vendor/MSFT/Policy/Config/InternetExplorer/LockedDownRestrictedSitesZoneAllowSmartScreenIE</t>
  </si>
  <si>
    <t>IZ_Policy_Phishing_8</t>
  </si>
  <si>
    <t>Windows Components &gt; Internet Explorer &gt; Internet Control Panel &gt; Security Page &gt; Locked-Down Restricted Sites Zone</t>
  </si>
  <si>
    <t>Software\Policies\Microsoft\Windows\CurrentVersion\Internet Settings\Lockdown_Zones\4</t>
  </si>
  <si>
    <t>Locked-Down Trusted Sites Zone</t>
  </si>
  <si>
    <t>1.8.7.1.2.8.1.1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</si>
  <si>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Page\Locked-Down Trusted Sites Zone\Java permissions: Java permissions</t>
    </r>
  </si>
  <si>
    <t>https://learn.microsoft.com/en-us/intune/device-security/security-baselines/ref-windows-mdm-settings?pivots=mdm-24h2#windows-components--internet-explorer--internet-control-panel--security-page--locked-down-trusted-sites-zone-1</t>
  </si>
  <si>
    <t>https://learn.microsoft.com/en-us/windows/client-management/mdm/policy-csp-internetexplorer?WT.mc_id=Portal-fx#lockeddowntrustedsiteszonejavapermissions</t>
  </si>
  <si>
    <t>./Device/Vendor/MSFT/Policy/Config/InternetExplorer/LockedDownTrustedSitesZoneJavaPermissions</t>
  </si>
  <si>
    <t>IZ_PolicyJavaPermissions_6</t>
  </si>
  <si>
    <t>Windows Components &gt; Internet Explorer &gt; Internet Control Panel &gt; Security Page &gt; Locked-Down Trusted Sites Zone</t>
  </si>
  <si>
    <t>Software\Policies\Microsoft\Windows\CurrentVersion\Internet Settings\Lockdown_Zones\2</t>
  </si>
  <si>
    <t>Restricted Sites Zone</t>
  </si>
  <si>
    <t>1.8.7.1.2.9.1.1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</si>
  <si>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Zone\Access data sources across domains: Access data sources across domains</t>
    </r>
  </si>
  <si>
    <t>https://learn.microsoft.com/en-us/intune/device-security/security-baselines/ref-windows-mdm-settings?pivots=mdm-24h2#windows-components--internet-explorer--internet-control-panel--security-page--restricted-sites-zone-1</t>
  </si>
  <si>
    <t>https://learn.microsoft.com/en-us/windows/client-management/mdm/policy-csp-internetexplorer?WT.mc_id=Portal-fx#restrictedsiteszoneallowaccesstodatasources</t>
  </si>
  <si>
    <t>./Device/Vendor/MSFT/Policy/Config/InternetExplorer/RestrictedSitesZoneAllowAccessToDataSources</t>
  </si>
  <si>
    <t>IZ_PolicyAccessDataSourcesAcrossDomains_7</t>
  </si>
  <si>
    <t>Windows Components &gt; Internet Explorer &gt; Internet Control Panel &gt; Security Page &gt; Restricted Sites Zone</t>
  </si>
  <si>
    <t>Software\Policies\Microsoft\Windows\CurrentVersion\Internet Settings\Zones\4</t>
  </si>
  <si>
    <t>1.8.7.1.2.9.2.1</t>
  </si>
  <si>
    <r>
      <rPr>
        <sz val="11"/>
        <rFont val="Calibri"/>
      </rPr>
      <t xml:space="preserve">Ensure </t>
    </r>
    <r>
      <rPr>
        <sz val="11"/>
        <color rgb="FF000000"/>
        <rFont val="Calibri"/>
      </rPr>
      <t>'</t>
    </r>
    <r>
      <rPr>
        <b/>
        <sz val="11"/>
        <color rgb="FF000000"/>
        <rFont val="Calibri"/>
      </rPr>
      <t>Allow active scripting: 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</si>
  <si>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active scripting: Allow active scripting</t>
    </r>
  </si>
  <si>
    <r>
      <rPr>
        <sz val="11"/>
        <color rgb="FF000000"/>
        <rFont val="Calibri"/>
      </rPr>
      <t>This policy setting allows you to manage whether script code on pages in the zone is run.-  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  If you disable this policy setting, script code on pages in the zone is prevented from running.</t>
    </r>
    <r>
      <rPr>
        <sz val="11"/>
        <color rgb="FF000000"/>
        <rFont val="Calibri"/>
      </rPr>
      <t xml:space="preserve">
</t>
    </r>
    <r>
      <rPr>
        <sz val="11"/>
        <color rgb="FF000000"/>
        <rFont val="Calibri"/>
      </rPr>
      <t>-  If you don't configure this policy setting, script code on pages in the zone is prevented from running.</t>
    </r>
  </si>
  <si>
    <t>https://learn.microsoft.com/en-us/windows/client-management/mdm/policy-csp-internetexplorer?WT.mc_id=Portal-fx#restrictedsiteszoneallowactivescripting</t>
  </si>
  <si>
    <t>./Device/Vendor/MSFT/Policy/Config/InternetExplorer/RestrictedSitesZoneAllowActiveScripting</t>
  </si>
  <si>
    <t>IZ_PolicyActiveScripting_7</t>
  </si>
  <si>
    <t>Allow active scripting</t>
  </si>
  <si>
    <t>1.8.7.1.2.9.3.1</t>
  </si>
  <si>
    <r>
      <rPr>
        <sz val="11"/>
        <rFont val="Calibri"/>
      </rPr>
      <t xml:space="preserve">Ensure </t>
    </r>
    <r>
      <rPr>
        <sz val="11"/>
        <color rgb="FF000000"/>
        <rFont val="Calibri"/>
      </rPr>
      <t>'</t>
    </r>
    <r>
      <rPr>
        <b/>
        <sz val="11"/>
        <color rgb="FF000000"/>
        <rFont val="Calibri"/>
      </rPr>
      <t>Allow binary and script behaviors: 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</si>
  <si>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binary and script behaviors: Allow binary and script behaviors</t>
    </r>
  </si>
  <si>
    <r>
      <rPr>
        <sz val="11"/>
        <color rgb="FF000000"/>
        <rFont val="Calibri"/>
      </rPr>
      <t>This policy setting allows you to manage dynamic binary and script behaviors: components that encapsulate specific functionality for HTML elements to which they were attached.-  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  If you disable this policy setting, binary and script behaviors aren't available unless applications have implemented a custom security manager.</t>
    </r>
    <r>
      <rPr>
        <sz val="11"/>
        <color rgb="FF000000"/>
        <rFont val="Calibri"/>
      </rPr>
      <t xml:space="preserve">
</t>
    </r>
    <r>
      <rPr>
        <sz val="11"/>
        <color rgb="FF000000"/>
        <rFont val="Calibri"/>
      </rPr>
      <t>-  If you don't configure this policy setting, binary and script behaviors aren't available unless applications have implemented a custom security manager.</t>
    </r>
  </si>
  <si>
    <t>https://learn.microsoft.com/en-us/windows/client-management/mdm/policy-csp-internetexplorer?WT.mc_id=Portal-fx#restrictedsiteszoneallowbinaryandscriptbehaviors</t>
  </si>
  <si>
    <t>./Device/Vendor/MSFT/Policy/Config/InternetExplorer/RestrictedSitesZoneAllowBinaryAndScriptBehaviors</t>
  </si>
  <si>
    <t>IZ_PolicyBinaryBehaviors_7</t>
  </si>
  <si>
    <t>Allow binary and script behaviors</t>
  </si>
  <si>
    <t>1.8.7.1.2.9.4.1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</si>
  <si>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cut, copy or paste operations from the clipboard via script: Allow paste operations via script</t>
    </r>
  </si>
  <si>
    <r>
      <rPr>
        <sz val="11"/>
        <color rgb="FF000000"/>
        <rFont val="Calibri"/>
      </rPr>
      <t>This policy setting allows you to manage whether scripts can perform a clipboard operation (for example, cut, copy, and paste) in a specified region.- If you enable this policy setting, a script can perform a clipboard operation.If you select Prompt in the drop-down box, users are queried as to whether to perform clipboard operations.-  If you disable this policy setting, a script can't perform a clipboard operation.</t>
    </r>
    <r>
      <rPr>
        <sz val="11"/>
        <color rgb="FF000000"/>
        <rFont val="Calibri"/>
      </rPr>
      <t xml:space="preserve">
</t>
    </r>
    <r>
      <rPr>
        <sz val="11"/>
        <color rgb="FF000000"/>
        <rFont val="Calibri"/>
      </rPr>
      <t>-  If you don't configure this policy setting, a script can't perform a clipboard operation.</t>
    </r>
  </si>
  <si>
    <t>https://learn.microsoft.com/en-us/windows/client-management/mdm/policy-csp-internetexplorer?WT.mc_id=Portal-fx#restrictedsiteszoneallowcopypasteviascript</t>
  </si>
  <si>
    <t>./Device/Vendor/MSFT/Policy/Config/InternetExplorer/RestrictedSitesZoneAllowCopyPasteViaScript</t>
  </si>
  <si>
    <t>IZ_PolicyAllowPasteViaScript_7</t>
  </si>
  <si>
    <t>1.8.7.1.2.9.5.1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</si>
  <si>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drag and drop or copy and paste files: Allow drag and drop or copy and paste files</t>
    </r>
  </si>
  <si>
    <r>
      <rPr>
        <sz val="11"/>
        <color rgb="FF000000"/>
        <rFont val="Calibri"/>
      </rPr>
      <t>This policy setting allows you to manage whether users can drag files or copy and paste files from a source within the zone.-  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  If you disable this policy setting, users are prevented from dragging files or copying and pasting files from this zone.</t>
    </r>
    <r>
      <rPr>
        <sz val="11"/>
        <color rgb="FF000000"/>
        <rFont val="Calibri"/>
      </rPr>
      <t xml:space="preserve">
</t>
    </r>
    <r>
      <rPr>
        <sz val="11"/>
        <color rgb="FF000000"/>
        <rFont val="Calibri"/>
      </rPr>
      <t>-  If you don't configure this policy setting, users are queried to choose whether to drag or copy files from this zone.</t>
    </r>
  </si>
  <si>
    <t>https://learn.microsoft.com/en-us/windows/client-management/mdm/policy-csp-internetexplorer?WT.mc_id=Portal-fx#restrictedsiteszoneallowdraganddropcopyandpastefiles</t>
  </si>
  <si>
    <t>./Device/Vendor/MSFT/Policy/Config/InternetExplorer/RestrictedSitesZoneAllowDragAndDropCopyAndPasteFiles</t>
  </si>
  <si>
    <t>IZ_PolicyDropOrPasteFiles_7</t>
  </si>
  <si>
    <t>1.8.7.1.2.9.6.1</t>
  </si>
  <si>
    <r>
      <rPr>
        <sz val="11"/>
        <rFont val="Calibri"/>
      </rPr>
      <t xml:space="preserve">Ensure </t>
    </r>
    <r>
      <rPr>
        <sz val="11"/>
        <color rgb="FF000000"/>
        <rFont val="Calibri"/>
      </rPr>
      <t>'</t>
    </r>
    <r>
      <rPr>
        <b/>
        <sz val="11"/>
        <color rgb="FF000000"/>
        <rFont val="Calibri"/>
      </rPr>
      <t>Allow file downloads: 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</si>
  <si>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file downloads: 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</si>
  <si>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  If you enable this policy setting, files can be downloaded from the zone.</t>
    </r>
    <r>
      <rPr>
        <sz val="11"/>
        <color rgb="FF000000"/>
        <rFont val="Calibri"/>
      </rPr>
      <t xml:space="preserve">
</t>
    </r>
    <r>
      <rPr>
        <sz val="11"/>
        <color rgb="FF000000"/>
        <rFont val="Calibri"/>
      </rPr>
      <t>-  If you disable this policy setting, files are prevented from being downloaded from the zone.</t>
    </r>
    <r>
      <rPr>
        <sz val="11"/>
        <color rgb="FF000000"/>
        <rFont val="Calibri"/>
      </rPr>
      <t xml:space="preserve">
</t>
    </r>
    <r>
      <rPr>
        <sz val="11"/>
        <color rgb="FF000000"/>
        <rFont val="Calibri"/>
      </rPr>
      <t>-  If you don't configure this policy setting, files are prevented from being downloaded from the zone.</t>
    </r>
  </si>
  <si>
    <t>https://learn.microsoft.com/en-us/windows/client-management/mdm/policy-csp-internetexplorer?WT.mc_id=Portal-fx#restrictedsiteszoneallowfiledownloads</t>
  </si>
  <si>
    <t>./Device/Vendor/MSFT/Policy/Config/InternetExplorer/RestrictedSitesZoneAllowFileDownloads</t>
  </si>
  <si>
    <t>IZ_PolicyFileDownload_7</t>
  </si>
  <si>
    <t>Allow file downloads</t>
  </si>
  <si>
    <t>1.8.7.1.2.9.7.1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</si>
  <si>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loading of XAML files: XAML Files</t>
    </r>
  </si>
  <si>
    <t>https://learn.microsoft.com/en-us/windows/client-management/mdm/policy-csp-internetexplorer?WT.mc_id=Portal-fx#restrictedsiteszoneallowloadingofxamlfiles</t>
  </si>
  <si>
    <t>./Device/Vendor/MSFT/Policy/Config/InternetExplorer/RestrictedSitesZoneAllowLoadingOfXAMLFiles</t>
  </si>
  <si>
    <t>IZ_Policy_XAML_7</t>
  </si>
  <si>
    <t>1.8.7.1.2.9.8.1</t>
  </si>
  <si>
    <r>
      <rPr>
        <sz val="11"/>
        <rFont val="Calibri"/>
      </rPr>
      <t xml:space="preserve">Ensure </t>
    </r>
    <r>
      <rPr>
        <sz val="11"/>
        <color rgb="FF000000"/>
        <rFont val="Calibri"/>
      </rPr>
      <t>'</t>
    </r>
    <r>
      <rPr>
        <b/>
        <sz val="11"/>
        <color rgb="FF000000"/>
        <rFont val="Calibri"/>
      </rPr>
      <t>Allow META REFRESH: 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</si>
  <si>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META REFRESH: 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</si>
  <si>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  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  If you disable this policy setting, a user's browser that loads a page containing an active Meta Refresh setting can't be redirected to another Web page.</t>
    </r>
    <r>
      <rPr>
        <sz val="11"/>
        <color rgb="FF000000"/>
        <rFont val="Calibri"/>
      </rPr>
      <t xml:space="preserve">
</t>
    </r>
    <r>
      <rPr>
        <sz val="11"/>
        <color rgb="FF000000"/>
        <rFont val="Calibri"/>
      </rPr>
      <t>-  If you don't configure this policy setting, a user's browser that loads a page containing an active Meta Refresh setting can't be redirected to another Web page.</t>
    </r>
  </si>
  <si>
    <t>https://learn.microsoft.com/en-us/windows/client-management/mdm/policy-csp-internetexplorer?WT.mc_id=Portal-fx#restrictedsiteszoneallowmetarefresh</t>
  </si>
  <si>
    <t>./Device/Vendor/MSFT/Policy/Config/InternetExplorer/RestrictedSitesZoneAllowMETAREFRESH</t>
  </si>
  <si>
    <t>IZ_PolicyAllowMETAREFRESH_7</t>
  </si>
  <si>
    <t>Allow META REFRESH</t>
  </si>
  <si>
    <t>1.8.7.1.2.9.9.1</t>
  </si>
  <si>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only approved domains to use ActiveX controls without prompt: Only allow approved domains to use ActiveX controls without prompt</t>
    </r>
  </si>
  <si>
    <t>https://learn.microsoft.com/en-us/windows/client-management/mdm/policy-csp-internetexplorer?WT.mc_id=Portal-fx#restrictedsiteszoneallowonlyapproveddomainstouseactivexcontrols</t>
  </si>
  <si>
    <t>./Device/Vendor/MSFT/Policy/Config/InternetExplorer/RestrictedSitesZoneAllowOnlyApprovedDomainsToUseActiveXControls</t>
  </si>
  <si>
    <t>IZ_PolicyOnlyAllowApprovedDomainsToUseActiveXWithoutPrompt_Both_Restricted</t>
  </si>
  <si>
    <t>1.8.7.1.2.9.10.1</t>
  </si>
  <si>
    <r>
      <rPr>
        <sz val="11"/>
        <color rgb="FF000000"/>
        <rFont val="Calibri"/>
      </rPr>
      <t xml:space="preserve">Set the following Settings Catalog path to </t>
    </r>
    <r>
      <rPr>
        <b/>
        <sz val="11"/>
        <color rgb="FF000000"/>
        <rFont val="Calibri"/>
      </rPr>
      <t>Enabled: Enable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only approved domains to use the TDC ActiveX control: Only allow approved domains to use the TDC ActiveX control</t>
    </r>
  </si>
  <si>
    <t>https://learn.microsoft.com/en-us/windows/client-management/mdm/policy-csp-internetexplorer?WT.mc_id=Portal-fx#restrictedsiteszoneallowonlyapproveddomainstousetdcactivexcontrol</t>
  </si>
  <si>
    <t>./Device/Vendor/MSFT/Policy/Config/InternetExplorer/RestrictedSitesZoneAllowOnlyApprovedDomainsToUseTDCActiveXControl</t>
  </si>
  <si>
    <t>IZ_PolicyAllowTDCControl_Both_Restricted</t>
  </si>
  <si>
    <t>1.8.7.1.2.9.11.1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</si>
  <si>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script-initiated windows without size or position constraints: Allow script-initiated windows without size or position constraints</t>
    </r>
  </si>
  <si>
    <t>https://learn.microsoft.com/en-us/windows/client-management/mdm/policy-csp-internetexplorer?WT.mc_id=Portal-fx#restrictedsiteszoneallowscriptinitiatedwindows</t>
  </si>
  <si>
    <t>./Device/Vendor/MSFT/Policy/Config/InternetExplorer/RestrictedSitesZoneAllowScriptInitiatedWindows</t>
  </si>
  <si>
    <t>IZ_PolicyWindowsRestrictionsURLaction_7</t>
  </si>
  <si>
    <t>1.8.7.1.2.9.12.1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</si>
  <si>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scripting of Internet Explorer WebBrowser controls: Internet Explorer web browser control</t>
    </r>
  </si>
  <si>
    <t>https://learn.microsoft.com/en-us/windows/client-management/mdm/policy-csp-internetexplorer?WT.mc_id=Portal-fx#restrictedsiteszoneallowscriptingofinternetexplorerwebbrowsercontrols</t>
  </si>
  <si>
    <t>./Device/Vendor/MSFT/Policy/Config/InternetExplorer/RestrictedSitesZoneAllowScriptingOfInternetExplorerWebBrowserControls</t>
  </si>
  <si>
    <t>IZ_Policy_WebBrowserControl_7</t>
  </si>
  <si>
    <t>1.8.7.1.2.9.13.1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</si>
  <si>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scriptlets: Scriptlets</t>
    </r>
  </si>
  <si>
    <t>https://learn.microsoft.com/en-us/windows/client-management/mdm/policy-csp-internetexplorer?WT.mc_id=Portal-fx#restrictedsiteszoneallowscriptlets</t>
  </si>
  <si>
    <t>./Device/Vendor/MSFT/Policy/Config/InternetExplorer/RestrictedSitesZoneAllowScriptlets</t>
  </si>
  <si>
    <t>IZ_Policy_AllowScriptlets_7</t>
  </si>
  <si>
    <t>1.8.7.1.2.9.14.1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</si>
  <si>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updates to status bar via script: Status bar updates via script</t>
    </r>
  </si>
  <si>
    <t>https://learn.microsoft.com/en-us/windows/client-management/mdm/policy-csp-internetexplorer?WT.mc_id=Portal-fx#restrictedsiteszoneallowupdatestostatusbarviascript</t>
  </si>
  <si>
    <t>./Device/Vendor/MSFT/Policy/Config/InternetExplorer/RestrictedSitesZoneAllowUpdatesToStatusBarViaScript</t>
  </si>
  <si>
    <t>IZ_Policy_ScriptStatusBar_7</t>
  </si>
  <si>
    <t>1.8.7.1.2.9.15.1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</si>
  <si>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Zone\Allow VBScript to run in Internet Explorer: Allow VBScript to run in Internet Explorer</t>
    </r>
  </si>
  <si>
    <t>https://learn.microsoft.com/en-us/windows/client-management/mdm/policy-csp-internetexplorer?WT.mc_id=Portal-fx#restrictedsiteszoneallowvbscripttorunininternetexplorer</t>
  </si>
  <si>
    <t>./Device/Vendor/MSFT/Policy/Config/InternetExplorer/RestrictedSitesZoneAllowVBScriptToRunInInternetExplorer</t>
  </si>
  <si>
    <t>IZ_PolicyAllowVBScript_7</t>
  </si>
  <si>
    <t>1.8.7.1.2.9.16.1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</si>
  <si>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Zone\Automatic prompting for file downloads: Automatic prompting for file downloads</t>
    </r>
  </si>
  <si>
    <t>https://learn.microsoft.com/en-us/windows/client-management/mdm/policy-csp-internetexplorer?WT.mc_id=Portal-fx#restrictedsiteszoneallowautomaticpromptingforfiledownloads</t>
  </si>
  <si>
    <t>./Device/Vendor/MSFT/Policy/Config/InternetExplorer/RestrictedSitesZoneAllowAutomaticPromptingForFileDownloads</t>
  </si>
  <si>
    <t>IZ_PolicyNotificationBarDownloadURLaction_7</t>
  </si>
  <si>
    <t>1.8.7.1.2.9.17.1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</si>
  <si>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Zone\Don't run antimalware programs against ActiveX controls: Don't run antimalware programs against ActiveX controls</t>
    </r>
  </si>
  <si>
    <t>https://learn.microsoft.com/en-us/windows/client-management/mdm/policy-csp-internetexplorer?WT.mc_id=Portal-fx#restrictedsiteszonedonotrunantimalwareagainstactivexcontrols</t>
  </si>
  <si>
    <t>./Device/Vendor/MSFT/Policy/Config/InternetExplorer/RestrictedSitesZoneDoNotRunAntimalwareAgainstActiveXControls</t>
  </si>
  <si>
    <t>IZ_PolicyAntiMalwareCheckingOfActiveXControls_7</t>
  </si>
  <si>
    <t>1.8.7.1.2.9.18.1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</si>
  <si>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Zone\Download signed ActiveX controls: Download signed ActiveX controls</t>
    </r>
  </si>
  <si>
    <r>
      <rPr>
        <sz val="11"/>
        <color rgb="FF000000"/>
        <rFont val="Calibri"/>
      </rPr>
      <t>This policy setting allows you to manage whether users may download signed ActiveX controls from a page in the zone.-  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  If you disable the policy setting, signed controls can't be downloaded.</t>
    </r>
    <r>
      <rPr>
        <sz val="11"/>
        <color rgb="FF000000"/>
        <rFont val="Calibri"/>
      </rPr>
      <t xml:space="preserve">
</t>
    </r>
    <r>
      <rPr>
        <sz val="11"/>
        <color rgb="FF000000"/>
        <rFont val="Calibri"/>
      </rPr>
      <t>-  If you don't configure this policy setting, signed controls can't be downloaded.</t>
    </r>
  </si>
  <si>
    <t>https://learn.microsoft.com/en-us/windows/client-management/mdm/policy-csp-internetexplorer?WT.mc_id=Portal-fx#restrictedsiteszonedownloadsignedactivexcontrols</t>
  </si>
  <si>
    <t>./Device/Vendor/MSFT/Policy/Config/InternetExplorer/RestrictedSitesZoneDownloadSignedActiveXControls</t>
  </si>
  <si>
    <t>IZ_PolicyDownloadSignedActiveX_7</t>
  </si>
  <si>
    <t>1.8.7.1.2.9.19.1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</si>
  <si>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Zone\Download unsigned ActiveX controls: Download unsigned ActiveX controls</t>
    </r>
  </si>
  <si>
    <t>https://learn.microsoft.com/en-us/windows/client-management/mdm/policy-csp-internetexplorer?WT.mc_id=Portal-fx#restrictedsiteszonedownloadunsignedactivexcontrols</t>
  </si>
  <si>
    <t>./Device/Vendor/MSFT/Policy/Config/InternetExplorer/RestrictedSitesZoneDownloadUnsignedActiveXControls</t>
  </si>
  <si>
    <t>IZ_PolicyDownloadUnsignedActiveX_7</t>
  </si>
  <si>
    <t>1.8.7.1.2.9.20.1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</si>
  <si>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Zone\Enable dragging of content from different domains across windows: Enable dragging of content from different domains across windows</t>
    </r>
  </si>
  <si>
    <t>https://learn.microsoft.com/en-us/windows/client-management/mdm/policy-csp-internetexplorer?WT.mc_id=Portal-fx#restrictedsiteszoneenabledraggingofcontentfromdifferentdomainsacrosswindows</t>
  </si>
  <si>
    <t>./Device/Vendor/MSFT/Policy/Config/InternetExplorer/RestrictedSitesZoneEnableDraggingOfContentFromDifferentDomainsAcrossWindows</t>
  </si>
  <si>
    <t>IZ_PolicyDragDropAcrossDomainsAcrossWindows_Both_Restricted</t>
  </si>
  <si>
    <t>1.8.7.1.2.9.21.1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</si>
  <si>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Zone\Enable dragging of content from different domains within a window: 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</si>
  <si>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can't change this setting.If you enable this policy setting and click Disable, users can't drag content from one domain to a different domain when the source and destination are in the same window. Users can't change this setting in the Internet Options dialog.In Internet Explorer 10, if you disable this policy setting or don't configure it, users can't drag content from one domain to a different domain when the source and destination are in the same window. Users can change this setting in the Internet Options dialog.In Internet Explorer 9 and earlier versions, if you disable this policy setting or don't configure it, users can drag content from one domain to a different domain when the source and destination are in the same window. Users can't change this setting in the Internet Options dialog.</t>
    </r>
  </si>
  <si>
    <t>https://learn.microsoft.com/en-us/windows/client-management/mdm/policy-csp-internetexplorer?WT.mc_id=Portal-fx#restrictedsiteszoneenabledraggingofcontentfromdifferentdomainswithinwindows</t>
  </si>
  <si>
    <t>./Device/Vendor/MSFT/Policy/Config/InternetExplorer/RestrictedSitesZoneEnableDraggingOfContentFromDifferentDomainsWithinWindows</t>
  </si>
  <si>
    <t>IZ_PolicyDragDropAcrossDomainsWithinWindow_Both_Restricted</t>
  </si>
  <si>
    <t>Enable dragging of content from different domains within a window</t>
  </si>
  <si>
    <t>1.8.7.1.2.9.22.1</t>
  </si>
  <si>
    <r>
      <rPr>
        <sz val="11"/>
        <rFont val="Calibri"/>
      </rPr>
      <t xml:space="preserve">Ensure </t>
    </r>
    <r>
      <rPr>
        <sz val="11"/>
        <color rgb="FF000000"/>
        <rFont val="Calibri"/>
      </rPr>
      <t>'</t>
    </r>
    <r>
      <rPr>
        <b/>
        <sz val="11"/>
        <color rgb="FF000000"/>
        <rFont val="Calibri"/>
      </rPr>
      <t>Include local path when user is uploading files to a server: Include local directory path when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</si>
  <si>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Zone\Include local path when user is uploading files to a server: Include local directory path when uploading files to a server</t>
    </r>
  </si>
  <si>
    <t>https://learn.microsoft.com/en-us/windows/client-management/mdm/policy-csp-internetexplorer?WT.mc_id=Portal-fx#restrictedsiteszoneincludelocalpathwhenuploadingfilestoserver</t>
  </si>
  <si>
    <t>./Device/Vendor/MSFT/Policy/Config/InternetExplorer/RestrictedSitesZoneIncludeLocalPathWhenUploadingFilesToServer</t>
  </si>
  <si>
    <t>IZ_Policy_LocalPathForUpload_7</t>
  </si>
  <si>
    <t>1.8.7.1.2.9.23.1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</si>
  <si>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Zone\Initialize and script ActiveX controls not marked as safe: Initialize and script ActiveX controls not marked as safe</t>
    </r>
  </si>
  <si>
    <t>https://learn.microsoft.com/en-us/windows/client-management/mdm/policy-csp-internetexplorer?WT.mc_id=Portal-fx#restrictedsiteszoneinitializeandscriptactivexcontrols</t>
  </si>
  <si>
    <t>./Device/Vendor/MSFT/Policy/Config/InternetExplorer/RestrictedSitesZoneInitializeAndScriptActiveXControls</t>
  </si>
  <si>
    <t>IZ_PolicyScriptActiveXNotMarkedSafe_7</t>
  </si>
  <si>
    <t>1.8.7.1.2.9.24.1</t>
  </si>
  <si>
    <r>
      <rPr>
        <sz val="11"/>
        <color rgb="FF000000"/>
        <rFont val="Calibri"/>
      </rPr>
      <t xml:space="preserve">Set the following Settings Catalog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Zone\Java permissions: Java permissions</t>
    </r>
  </si>
  <si>
    <t>https://learn.microsoft.com/en-us/windows/client-management/mdm/policy-csp-internetexplorer?WT.mc_id=Portal-fx#restrictedsiteszonejavapermissions</t>
  </si>
  <si>
    <t>./Device/Vendor/MSFT/Policy/Config/InternetExplorer/RestrictedSitesZoneJavaPermissions</t>
  </si>
  <si>
    <t>IZ_PolicyJavaPermissions_7</t>
  </si>
  <si>
    <t>1.8.7.1.2.9.25.1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</si>
  <si>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Zone\Launching applications and files in an IFRAME: Launching applications and files in an IFRAME</t>
    </r>
  </si>
  <si>
    <r>
      <rPr>
        <sz val="11"/>
        <color rgb="FF000000"/>
        <rFont val="Calibri"/>
      </rPr>
      <t>This policy setting allows you to manage whether applications may be run and files may be downloaded from an IFRAME reference in the HTML of the pages in this zone.-  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  If you disable this policy setting, users are prevented from running applications and downloading files from IFRAMEs on the pages in this zone.</t>
    </r>
    <r>
      <rPr>
        <sz val="11"/>
        <color rgb="FF000000"/>
        <rFont val="Calibri"/>
      </rPr>
      <t xml:space="preserve">
</t>
    </r>
    <r>
      <rPr>
        <sz val="11"/>
        <color rgb="FF000000"/>
        <rFont val="Calibri"/>
      </rPr>
      <t>-  If you don't configure this policy setting, users are prevented from running applications and downloading files from IFRAMEs on the pages in this zone.</t>
    </r>
  </si>
  <si>
    <t>https://learn.microsoft.com/en-us/windows/client-management/mdm/policy-csp-internetexplorer?WT.mc_id=Portal-fx#restrictedsiteszonelaunchingapplicationsandfilesiniframe</t>
  </si>
  <si>
    <t>./Device/Vendor/MSFT/Policy/Config/InternetExplorer/RestrictedSitesZoneLaunchingApplicationsAndFilesInIFRAME</t>
  </si>
  <si>
    <t>IZ_PolicyLaunchAppsAndFilesInIFRAME_7</t>
  </si>
  <si>
    <t>1.8.7.1.2.9.26.1</t>
  </si>
  <si>
    <r>
      <rPr>
        <sz val="11"/>
        <rFont val="Calibri"/>
      </rPr>
      <t xml:space="preserve">Ensure </t>
    </r>
    <r>
      <rPr>
        <sz val="11"/>
        <color rgb="FF000000"/>
        <rFont val="Calibri"/>
      </rPr>
      <t>'</t>
    </r>
    <r>
      <rPr>
        <b/>
        <sz val="11"/>
        <color rgb="FF000000"/>
        <rFont val="Calibri"/>
      </rPr>
      <t>Logon options: 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Anonymous logon</t>
    </r>
    <r>
      <rPr>
        <sz val="11"/>
        <color rgb="FF000000"/>
        <rFont val="Calibri"/>
      </rPr>
      <t>'</t>
    </r>
  </si>
  <si>
    <r>
      <rPr>
        <sz val="11"/>
        <color rgb="FF000000"/>
        <rFont val="Calibri"/>
      </rPr>
      <t xml:space="preserve">Set the following Settings Catalog path to </t>
    </r>
    <r>
      <rPr>
        <b/>
        <sz val="11"/>
        <color rgb="FF000000"/>
        <rFont val="Calibri"/>
      </rPr>
      <t>Enabled: Anonymous logon</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Zone\Logon options: Logon options</t>
    </r>
  </si>
  <si>
    <r>
      <rPr>
        <sz val="11"/>
        <color rgb="FF000000"/>
        <rFont val="Calibri"/>
      </rPr>
      <t>This policy setting allows you to manage settings for logon options.- 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isn't supported by the server, the user is queried to provide the user name and password.-  If you disable this policy setting, logon is set to Automatic logon only in Intranet zone.</t>
    </r>
    <r>
      <rPr>
        <sz val="11"/>
        <color rgb="FF000000"/>
        <rFont val="Calibri"/>
      </rPr>
      <t xml:space="preserve">
</t>
    </r>
    <r>
      <rPr>
        <sz val="11"/>
        <color rgb="FF000000"/>
        <rFont val="Calibri"/>
      </rPr>
      <t>-  If you don't configure this policy setting, logon is set to Prompt for username and password.</t>
    </r>
  </si>
  <si>
    <t>https://learn.microsoft.com/en-us/windows/client-management/mdm/policy-csp-internetexplorer?WT.mc_id=Portal-fx#restrictedsiteszonelogonoptions</t>
  </si>
  <si>
    <t>./Device/Vendor/MSFT/Policy/Config/InternetExplorer/RestrictedSitesZoneLogonOptions</t>
  </si>
  <si>
    <t>IZ_PolicyLogon_7</t>
  </si>
  <si>
    <t>1.8.7.1.2.9.27.1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</si>
  <si>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Zone\Navigate windows and frames across different domains: Navigate windows and frames across different domains</t>
    </r>
  </si>
  <si>
    <r>
      <rPr>
        <sz val="11"/>
        <color rgb="FF000000"/>
        <rFont val="Calibri"/>
      </rPr>
      <t>This policy setting allows you to manage the opening of windows and frames and access of applications across different domains.-  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  If you disable this policy setting, users can't open other windows and frames from other domains or access applications from different domains.</t>
    </r>
    <r>
      <rPr>
        <sz val="11"/>
        <color rgb="FF000000"/>
        <rFont val="Calibri"/>
      </rPr>
      <t xml:space="preserve">
</t>
    </r>
    <r>
      <rPr>
        <sz val="11"/>
        <color rgb="FF000000"/>
        <rFont val="Calibri"/>
      </rPr>
      <t>-  If you don't configure this policy setting, users can't open other windows and frames from different domains or access applications from different domains.</t>
    </r>
  </si>
  <si>
    <t>https://learn.microsoft.com/en-us/windows/client-management/mdm/policy-csp-internetexplorer?WT.mc_id=Portal-fx#restrictedsiteszonenavigatewindowsandframes</t>
  </si>
  <si>
    <t>./Device/Vendor/MSFT/Policy/Config/InternetExplorer/RestrictedSitesZoneNavigateWindowsAndFrames</t>
  </si>
  <si>
    <t>IZ_PolicyNavigateSubframesAcrossDomains_7</t>
  </si>
  <si>
    <t>1.8.7.1.2.9.28.1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</si>
  <si>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Zone\Run .NET Framework-reliant components not signed with Authenticode: Run .NET Framework-reliant components not signed with Authenticode</t>
    </r>
  </si>
  <si>
    <r>
      <rPr>
        <sz val="11"/>
        <color rgb="FF000000"/>
        <rFont val="Calibri"/>
      </rPr>
      <t>This policy setting allows you to manage whether .NET Framework components that aren't signed with Authenticode can be executed from Internet Explorer. These components include managed controls referenced from an object tag and managed executables referenced from a link.-  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  If you disable this policy setting, Internet Explorer won't execute unsigned managed components.</t>
    </r>
    <r>
      <rPr>
        <sz val="11"/>
        <color rgb="FF000000"/>
        <rFont val="Calibri"/>
      </rPr>
      <t xml:space="preserve">
</t>
    </r>
    <r>
      <rPr>
        <sz val="11"/>
        <color rgb="FF000000"/>
        <rFont val="Calibri"/>
      </rPr>
      <t>-  If you don't configure this policy setting, Internet Explorer won't execute unsigned managed components.</t>
    </r>
  </si>
  <si>
    <t>https://learn.microsoft.com/en-us/windows/client-management/mdm/policy-csp-internetexplorer?WT.mc_id=Portal-fx#restrictedsiteszoneallownetframeworkreliantcomponents</t>
  </si>
  <si>
    <t>./Device/Vendor/MSFT/Policy/Config/InternetExplorer/RestrictedSitesZoneAllowNETFrameworkReliantComponents</t>
  </si>
  <si>
    <t>IZ_PolicyUnsignedFrameworkComponentsURLaction_7</t>
  </si>
  <si>
    <t>1.8.7.1.2.9.29.1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</si>
  <si>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Zone\Run .NET Framework-reliant components signed with Authenticode: 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</si>
  <si>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  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  If you disable this policy setting, Internet Explorer won't execute signed managed components.</t>
    </r>
    <r>
      <rPr>
        <sz val="11"/>
        <color rgb="FF000000"/>
        <rFont val="Calibri"/>
      </rPr>
      <t xml:space="preserve">
</t>
    </r>
    <r>
      <rPr>
        <sz val="11"/>
        <color rgb="FF000000"/>
        <rFont val="Calibri"/>
      </rPr>
      <t>-  If you don't configure this policy setting, Internet Explorer won't execute signed managed components.</t>
    </r>
  </si>
  <si>
    <t>https://learn.microsoft.com/en-us/windows/client-management/mdm/policy-csp-internetexplorer?WT.mc_id=Portal-fx#restrictedsiteszonerunnetframeworkreliantcomponentssignedwithauthenticode</t>
  </si>
  <si>
    <t>./Device/Vendor/MSFT/Policy/Config/InternetExplorer/RestrictedSitesZoneRunNETFrameworkReliantComponentsSignedWithAuthenticode</t>
  </si>
  <si>
    <t>IZ_PolicySignedFrameworkComponentsURLaction_7</t>
  </si>
  <si>
    <t>1.8.7.1.2.9.30.1</t>
  </si>
  <si>
    <r>
      <rPr>
        <sz val="11"/>
        <rFont val="Calibri"/>
      </rPr>
      <t xml:space="preserve">Ensure </t>
    </r>
    <r>
      <rPr>
        <sz val="11"/>
        <color rgb="FF000000"/>
        <rFont val="Calibri"/>
      </rPr>
      <t>'</t>
    </r>
    <r>
      <rPr>
        <b/>
        <sz val="11"/>
        <color rgb="FF000000"/>
        <rFont val="Calibri"/>
      </rPr>
      <t>Run ActiveX controls and plugins: 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</si>
  <si>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Zone\Run ActiveX controls and plugins: Run ActiveX controls and plugins</t>
    </r>
  </si>
  <si>
    <r>
      <rPr>
        <sz val="11"/>
        <color rgb="FF000000"/>
        <rFont val="Calibri"/>
      </rPr>
      <t>This policy setting allows you to manage whether ActiveX controls and plug-ins can be run on pages from the specified zone.- If you enable this policy setting, controls and plug-ins can run without user intervention.If you selected Prompt in the drop-down box, users are asked to choose whether to allow the controls or plug-in to run.-  If you disable this policy setting, controls and plug-ins are prevented from running.</t>
    </r>
    <r>
      <rPr>
        <sz val="11"/>
        <color rgb="FF000000"/>
        <rFont val="Calibri"/>
      </rPr>
      <t xml:space="preserve">
</t>
    </r>
    <r>
      <rPr>
        <sz val="11"/>
        <color rgb="FF000000"/>
        <rFont val="Calibri"/>
      </rPr>
      <t>-  If you don't configure this policy setting, controls and plug-ins are prevented from running.</t>
    </r>
  </si>
  <si>
    <t>https://learn.microsoft.com/en-us/windows/client-management/mdm/policy-csp-internetexplorer?WT.mc_id=Portal-fx#restrictedsiteszonerunactivexcontrolsandplugins</t>
  </si>
  <si>
    <t>./Device/Vendor/MSFT/Policy/Config/InternetExplorer/RestrictedSitesZoneRunActiveXControlsAndPlugins</t>
  </si>
  <si>
    <t>IZ_PolicyRunActiveXControls_7</t>
  </si>
  <si>
    <t>Run ActiveX controls and plugins</t>
  </si>
  <si>
    <t>1.8.7.1.2.9.31.1</t>
  </si>
  <si>
    <r>
      <rPr>
        <sz val="11"/>
        <rFont val="Calibri"/>
      </rPr>
      <t xml:space="preserve">Ensure </t>
    </r>
    <r>
      <rPr>
        <sz val="11"/>
        <color rgb="FF000000"/>
        <rFont val="Calibri"/>
      </rPr>
      <t>'</t>
    </r>
    <r>
      <rPr>
        <b/>
        <sz val="11"/>
        <color rgb="FF000000"/>
        <rFont val="Calibri"/>
      </rPr>
      <t>Script ActiveX controls marked safe for scripting: 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</si>
  <si>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Zone\Script ActiveX controls marked safe for scripting: Script ActiveX controls marked safe for scripting</t>
    </r>
  </si>
  <si>
    <r>
      <rPr>
        <sz val="11"/>
        <color rgb="FF000000"/>
        <rFont val="Calibri"/>
      </rPr>
      <t>This policy setting allows you to manage whether an ActiveX control marked safe for scripting can interact with a script.- If you enable this policy setting, script interaction can occur automatically without user intervention.If you select Prompt in the drop-down box, users are queried to choose whether to allow script interaction.-  If you disable this policy setting, script interaction is prevented from occurring.</t>
    </r>
    <r>
      <rPr>
        <sz val="11"/>
        <color rgb="FF000000"/>
        <rFont val="Calibri"/>
      </rPr>
      <t xml:space="preserve">
</t>
    </r>
    <r>
      <rPr>
        <sz val="11"/>
        <color rgb="FF000000"/>
        <rFont val="Calibri"/>
      </rPr>
      <t>-  If you don't configure this policy setting, script interaction is prevented from occurring.</t>
    </r>
  </si>
  <si>
    <t>https://learn.microsoft.com/en-us/windows/client-management/mdm/policy-csp-internetexplorer?WT.mc_id=Portal-fx#restrictedsiteszonescriptactivexcontrolsmarkedsafeforscripting</t>
  </si>
  <si>
    <t>./Device/Vendor/MSFT/Policy/Config/InternetExplorer/RestrictedSitesZoneScriptActiveXControlsMarkedSafeForScripting</t>
  </si>
  <si>
    <t>IZ_PolicyScriptActiveXMarkedSafe_7</t>
  </si>
  <si>
    <t>Script ActiveX controls marked safe for scripting</t>
  </si>
  <si>
    <t>1.8.7.1.2.9.32.1</t>
  </si>
  <si>
    <r>
      <rPr>
        <sz val="11"/>
        <rFont val="Calibri"/>
      </rPr>
      <t xml:space="preserve">Ensure </t>
    </r>
    <r>
      <rPr>
        <sz val="11"/>
        <color rgb="FF000000"/>
        <rFont val="Calibri"/>
      </rPr>
      <t>'</t>
    </r>
    <r>
      <rPr>
        <b/>
        <sz val="11"/>
        <color rgb="FF000000"/>
        <rFont val="Calibri"/>
      </rPr>
      <t>Scripting of Java applets: 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</si>
  <si>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Zone\Scripting of Java applets: Scripting of Java applets</t>
    </r>
  </si>
  <si>
    <r>
      <rPr>
        <sz val="11"/>
        <color rgb="FF000000"/>
        <rFont val="Calibri"/>
      </rPr>
      <t>This policy setting allows you to manage whether applets are exposed to scripts within the zone.- If you enable this policy setting, scripts can access applets automatically without user intervention.If you select Prompt in the drop-down box, users are queried to choose whether to allow scripts to access applets.-  If you disable this policy setting, scripts are prevented from accessing applets.</t>
    </r>
    <r>
      <rPr>
        <sz val="11"/>
        <color rgb="FF000000"/>
        <rFont val="Calibri"/>
      </rPr>
      <t xml:space="preserve">
</t>
    </r>
    <r>
      <rPr>
        <sz val="11"/>
        <color rgb="FF000000"/>
        <rFont val="Calibri"/>
      </rPr>
      <t>-  If you don't configure this policy setting, scripts are prevented from accessing applets.</t>
    </r>
  </si>
  <si>
    <t>https://learn.microsoft.com/en-us/windows/client-management/mdm/policy-csp-internetexplorer?WT.mc_id=Portal-fx#restrictedsiteszonescriptingofjavaapplets</t>
  </si>
  <si>
    <t>./Device/Vendor/MSFT/Policy/Config/InternetExplorer/RestrictedSitesZoneScriptingOfJavaApplets</t>
  </si>
  <si>
    <t>IZ_PolicyScriptingOfJavaApplets_7</t>
  </si>
  <si>
    <t>Scripting of Java applets</t>
  </si>
  <si>
    <t>1.8.7.1.2.9.33.1</t>
  </si>
  <si>
    <r>
      <rPr>
        <sz val="11"/>
        <rFont val="Calibri"/>
      </rPr>
      <t xml:space="preserve">Ensure </t>
    </r>
    <r>
      <rPr>
        <sz val="11"/>
        <color rgb="FF000000"/>
        <rFont val="Calibri"/>
      </rPr>
      <t>'</t>
    </r>
    <r>
      <rPr>
        <b/>
        <sz val="11"/>
        <color rgb="FF000000"/>
        <rFont val="Calibri"/>
      </rPr>
      <t>Show security warning for potentially unsafe files: Launching programs and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</si>
  <si>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Zone\Show security warning for potentially unsafe files: Launching programs and unsafe files</t>
    </r>
  </si>
  <si>
    <t>https://learn.microsoft.com/en-us/windows/client-management/mdm/policy-csp-internetexplorer?WT.mc_id=Portal-fx#restrictedsiteszoneshowsecuritywarningforpotentiallyunsafefiles</t>
  </si>
  <si>
    <t>./Device/Vendor/MSFT/Policy/Config/InternetExplorer/RestrictedSitesZoneShowSecurityWarningForPotentiallyUnsafeFiles</t>
  </si>
  <si>
    <t>IZ_Policy_UnsafeFiles_7</t>
  </si>
  <si>
    <t>1.8.7.1.2.9.34.1</t>
  </si>
  <si>
    <r>
      <rPr>
        <sz val="11"/>
        <rFont val="Calibri"/>
      </rPr>
      <t xml:space="preserve">Ensure </t>
    </r>
    <r>
      <rPr>
        <sz val="11"/>
        <color rgb="FF000000"/>
        <rFont val="Calibri"/>
      </rPr>
      <t>'</t>
    </r>
    <r>
      <rPr>
        <b/>
        <sz val="11"/>
        <color rgb="FF000000"/>
        <rFont val="Calibri"/>
      </rPr>
      <t>Turn on Cross-Site Scripting Filter: Turn on Cross-Site Scripting (XSS)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t>
    </r>
    <r>
      <rPr>
        <sz val="11"/>
        <color rgb="FF000000"/>
        <rFont val="Calibri"/>
      </rPr>
      <t>'</t>
    </r>
  </si>
  <si>
    <r>
      <rPr>
        <sz val="11"/>
        <color rgb="FF000000"/>
        <rFont val="Calibri"/>
      </rPr>
      <t xml:space="preserve">Set the following Settings Catalog path to </t>
    </r>
    <r>
      <rPr>
        <b/>
        <sz val="11"/>
        <color rgb="FF000000"/>
        <rFont val="Calibri"/>
      </rPr>
      <t>Enabled: 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Zone\Turn on Cross-Site Scripting Filter: Turn on Cross-Site Scripting (XSS) Filter</t>
    </r>
  </si>
  <si>
    <t>https://learn.microsoft.com/en-us/windows/client-management/mdm/policy-csp-internetexplorer?WT.mc_id=Portal-fx#restrictedsiteszoneenablecrosssitescriptingfilter</t>
  </si>
  <si>
    <t>./Device/Vendor/MSFT/Policy/Config/InternetExplorer/RestrictedSitesZoneEnableCrossSiteScriptingFilter</t>
  </si>
  <si>
    <t>IZ_PolicyTurnOnXSSFilter_Both_Restricted</t>
  </si>
  <si>
    <t>1.8.7.1.2.9.35.1</t>
  </si>
  <si>
    <r>
      <rPr>
        <sz val="11"/>
        <rFont val="Calibri"/>
      </rPr>
      <t xml:space="preserve">Ensure </t>
    </r>
    <r>
      <rPr>
        <sz val="11"/>
        <color rgb="FF000000"/>
        <rFont val="Calibri"/>
      </rPr>
      <t>'</t>
    </r>
    <r>
      <rPr>
        <b/>
        <sz val="11"/>
        <color rgb="FF000000"/>
        <rFont val="Calibri"/>
      </rPr>
      <t>Turn on Protected Mode: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t>
    </r>
    <r>
      <rPr>
        <sz val="11"/>
        <color rgb="FF000000"/>
        <rFont val="Calibri"/>
      </rPr>
      <t>'</t>
    </r>
  </si>
  <si>
    <r>
      <rPr>
        <sz val="11"/>
        <color rgb="FF000000"/>
        <rFont val="Calibri"/>
      </rPr>
      <t xml:space="preserve">Set the following Settings Catalog path to </t>
    </r>
    <r>
      <rPr>
        <b/>
        <sz val="11"/>
        <color rgb="FF000000"/>
        <rFont val="Calibri"/>
      </rPr>
      <t>Enabled: 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Zone\Turn on Protected Mode: Protected Mode</t>
    </r>
  </si>
  <si>
    <t>https://learn.microsoft.com/en-us/windows/client-management/mdm/policy-csp-internetexplorer?WT.mc_id=Portal-fx#restrictedsiteszoneturnonprotectedmode</t>
  </si>
  <si>
    <t>./Device/Vendor/MSFT/Policy/Config/InternetExplorer/RestrictedSitesZoneTurnOnProtectedMode</t>
  </si>
  <si>
    <t>IZ_Policy_TurnOnProtectedMode_7</t>
  </si>
  <si>
    <t>1.8.7.1.2.9.36.1</t>
  </si>
  <si>
    <r>
      <rPr>
        <sz val="11"/>
        <rFont val="Calibri"/>
      </rPr>
      <t xml:space="preserve">Ensure </t>
    </r>
    <r>
      <rPr>
        <sz val="11"/>
        <color rgb="FF000000"/>
        <rFont val="Calibri"/>
      </rPr>
      <t>'</t>
    </r>
    <r>
      <rPr>
        <b/>
        <sz val="11"/>
        <color rgb="FF000000"/>
        <rFont val="Calibri"/>
      </rPr>
      <t>Turn on SmartScreen Filter scan: Use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t>
    </r>
    <r>
      <rPr>
        <sz val="11"/>
        <color rgb="FF000000"/>
        <rFont val="Calibri"/>
      </rPr>
      <t>'</t>
    </r>
  </si>
  <si>
    <r>
      <rPr>
        <sz val="11"/>
        <color rgb="FF000000"/>
        <rFont val="Calibri"/>
      </rPr>
      <t xml:space="preserve">Set the following Settings Catalog path to </t>
    </r>
    <r>
      <rPr>
        <b/>
        <sz val="11"/>
        <color rgb="FF000000"/>
        <rFont val="Calibri"/>
      </rPr>
      <t>Enabled: 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Zone\Turn on SmartScreen Filter scan: Use SmartScreen Filter</t>
    </r>
  </si>
  <si>
    <t>https://learn.microsoft.com/en-us/windows/client-management/mdm/policy-csp-internetexplorer?WT.mc_id=Portal-fx#restrictedsiteszoneallowsmartscreenie</t>
  </si>
  <si>
    <t>./Device/Vendor/MSFT/Policy/Config/InternetExplorer/RestrictedSitesZoneAllowSmartScreenIE</t>
  </si>
  <si>
    <t>IZ_Policy_Phishing_7</t>
  </si>
  <si>
    <t>1.8.7.1.2.9.37.1</t>
  </si>
  <si>
    <r>
      <rPr>
        <sz val="11"/>
        <rFont val="Calibri"/>
      </rPr>
      <t xml:space="preserve">Ensure </t>
    </r>
    <r>
      <rPr>
        <sz val="11"/>
        <color rgb="FF000000"/>
        <rFont val="Calibri"/>
      </rPr>
      <t>'</t>
    </r>
    <r>
      <rPr>
        <b/>
        <sz val="11"/>
        <color rgb="FF000000"/>
        <rFont val="Calibri"/>
      </rPr>
      <t>Use Pop-up Blocker: 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t>
    </r>
    <r>
      <rPr>
        <sz val="11"/>
        <color rgb="FF000000"/>
        <rFont val="Calibri"/>
      </rPr>
      <t>'</t>
    </r>
  </si>
  <si>
    <r>
      <rPr>
        <sz val="11"/>
        <color rgb="FF000000"/>
        <rFont val="Calibri"/>
      </rPr>
      <t xml:space="preserve">Set the following Settings Catalog path to </t>
    </r>
    <r>
      <rPr>
        <b/>
        <sz val="11"/>
        <color rgb="FF000000"/>
        <rFont val="Calibri"/>
      </rPr>
      <t>Enabled: 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Zone\Use Pop-up Blocker: Use Pop-up Blocker</t>
    </r>
  </si>
  <si>
    <r>
      <rPr>
        <sz val="11"/>
        <color rgb="FF000000"/>
        <rFont val="Calibri"/>
      </rPr>
      <t>This policy setting allows you to manage whether unwanted pop-up windows appear. Pop-up windows that are opened when the end user clicks a link aren't blocked.-  If you enable this policy setting, most unwanted pop-up windows are prevented from appearing.</t>
    </r>
    <r>
      <rPr>
        <sz val="11"/>
        <color rgb="FF000000"/>
        <rFont val="Calibri"/>
      </rPr>
      <t xml:space="preserve">
</t>
    </r>
    <r>
      <rPr>
        <sz val="11"/>
        <color rgb="FF000000"/>
        <rFont val="Calibri"/>
      </rPr>
      <t>-  If you disable this policy setting, pop-up windows aren't prevented from appearing.</t>
    </r>
    <r>
      <rPr>
        <sz val="11"/>
        <color rgb="FF000000"/>
        <rFont val="Calibri"/>
      </rPr>
      <t xml:space="preserve">
</t>
    </r>
    <r>
      <rPr>
        <sz val="11"/>
        <color rgb="FF000000"/>
        <rFont val="Calibri"/>
      </rPr>
      <t>-  If you don't configure this policy setting, most unwanted pop-up windows are prevented from appearing.</t>
    </r>
  </si>
  <si>
    <t>https://learn.microsoft.com/en-us/windows/client-management/mdm/policy-csp-internetexplorer?WT.mc_id=Portal-fx#restrictedsiteszoneusepopupblocker</t>
  </si>
  <si>
    <t>./Device/Vendor/MSFT/Policy/Config/InternetExplorer/RestrictedSitesZoneUsePopupBlocker</t>
  </si>
  <si>
    <t>IZ_PolicyBlockPopupWindows_7</t>
  </si>
  <si>
    <t>Use Pop-up Blocker</t>
  </si>
  <si>
    <t>1.8.7.1.2.9.38.1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</si>
  <si>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Zone\Userdata persistence: 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</si>
  <si>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  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  If you disable this policy setting, users can't preserve information in the browser's history, in favorites, in an XML store, or directly within a Web page saved to disk.</t>
    </r>
    <r>
      <rPr>
        <sz val="11"/>
        <color rgb="FF000000"/>
        <rFont val="Calibri"/>
      </rPr>
      <t xml:space="preserve">
</t>
    </r>
    <r>
      <rPr>
        <sz val="11"/>
        <color rgb="FF000000"/>
        <rFont val="Calibri"/>
      </rPr>
      <t>-  If you don't configure this policy setting, users can't preserve information in the browser's history, in favorites, in an XML store, or directly within a Web page saved to disk.</t>
    </r>
  </si>
  <si>
    <t>https://learn.microsoft.com/en-us/windows/client-management/mdm/policy-csp-internetexplorer?WT.mc_id=Portal-fx#restrictedsiteszoneallowuserdatapersistence</t>
  </si>
  <si>
    <t>./Device/Vendor/MSFT/Policy/Config/InternetExplorer/RestrictedSitesZoneAllowUserDataPersistence</t>
  </si>
  <si>
    <t>IZ_PolicyUserdataPersistence_7</t>
  </si>
  <si>
    <t>1.8.7.1.2.9.39.1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</si>
  <si>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Page\Restricted Sites Zone\Web sites in less privileged Web content zones can navigate into this zone: Web sites in less privileged Web content zones can navigate into this zone</t>
    </r>
  </si>
  <si>
    <r>
      <rPr>
        <sz val="11"/>
        <color rgb="FF000000"/>
        <rFont val="Calibri"/>
      </rPr>
      <t>This policy setting allows you to manage whether Web sites from less privileged zones, such as Internet sites, can navigate into this zone.-  If you enable this policy setting, Web sites from less privileged zones can open new windows in, or navigate into, this zone. The security zone will run without the added layer of security that's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  If you disable this policy setting, the possibly harmful navigations is prevented. The Internet Explorer security feature will be on in this zone as set by Protection from Zone Elevation feature control.</t>
    </r>
    <r>
      <rPr>
        <sz val="11"/>
        <color rgb="FF000000"/>
        <rFont val="Calibri"/>
      </rPr>
      <t xml:space="preserve">
</t>
    </r>
    <r>
      <rPr>
        <sz val="11"/>
        <color rgb="FF000000"/>
        <rFont val="Calibri"/>
      </rPr>
      <t>-  If you don't configure this policy setting, the possibly harmful navigations is prevented. The Internet Explorer security feature will be on in this zone as set by Protection from Zone Elevation feature control.</t>
    </r>
  </si>
  <si>
    <t>https://learn.microsoft.com/en-us/windows/client-management/mdm/policy-csp-internetexplorer?WT.mc_id=Portal-fx#restrictedsiteszoneallowlessprivilegedsites</t>
  </si>
  <si>
    <t>./Device/Vendor/MSFT/Policy/Config/InternetExplorer/RestrictedSitesZoneAllowLessPrivilegedSites</t>
  </si>
  <si>
    <t>IZ_PolicyZoneElevationURLaction_7</t>
  </si>
  <si>
    <t>Trusted Sites Zone</t>
  </si>
  <si>
    <t>1.8.7.1.2.10.1.1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</si>
  <si>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Page\Trusted Sites Zone\Don't run antimalware programs against ActiveX controls: Don't run antimalware programs against ActiveX controls</t>
    </r>
  </si>
  <si>
    <t>https://learn.microsoft.com/en-us/intune/device-security/security-baselines/ref-windows-mdm-settings?pivots=mdm-24h2#windows-components--internet-explorer--internet-control-panel--security-page--trusted-sites-zone-1</t>
  </si>
  <si>
    <t>https://learn.microsoft.com/en-us/windows/client-management/mdm/policy-csp-internetexplorer?WT.mc_id=Portal-fx#trustedsiteszonedonotrunantimalwareagainstactivexcontrols</t>
  </si>
  <si>
    <t>./Device/Vendor/MSFT/Policy/Config/InternetExplorer/TrustedSitesZoneDoNotRunAntimalwareAgainstActiveXControls</t>
  </si>
  <si>
    <t>IZ_PolicyAntiMalwareCheckingOfActiveXControls_5</t>
  </si>
  <si>
    <t>Windows Components &gt; Internet Explorer &gt; Internet Control Panel &gt; Security Page &gt; Trusted Sites Zone</t>
  </si>
  <si>
    <t>Software\Policies\Microsoft\Windows\CurrentVersion\Internet Settings\Zones\2</t>
  </si>
  <si>
    <t>1.8.7.1.2.10.2.1</t>
  </si>
  <si>
    <r>
      <rPr>
        <sz val="11"/>
        <color rgb="FF000000"/>
        <rFont val="Calibri"/>
      </rPr>
      <t xml:space="preserve">Set the following Settings Catalog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Page\Trusted Sites Zone\Initialize and script ActiveX controls not marked as safe: Initialize and script ActiveX controls not marked as safe</t>
    </r>
  </si>
  <si>
    <r>
      <rPr>
        <sz val="11"/>
        <color rgb="FF000000"/>
        <rFont val="Calibri"/>
      </rPr>
      <t>This policy setting allows you to manage ActiveX controls not marked as safe.-  If you enable this policy setting, ActiveX controls are run, loaded with parameters, and scripted without setting object safety for untrusted data or scripts. This setting isn't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  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  If you disable this policy setting, ActiveX controls that can't be made safe aren't loaded with parameters or scripted.</t>
    </r>
    <r>
      <rPr>
        <sz val="11"/>
        <color rgb="FF000000"/>
        <rFont val="Calibri"/>
      </rPr>
      <t xml:space="preserve">
</t>
    </r>
    <r>
      <rPr>
        <sz val="11"/>
        <color rgb="FF000000"/>
        <rFont val="Calibri"/>
      </rPr>
      <t>-  If you don't configure this policy setting, users are queried whether to allow the control to be loaded with parameters or scripted.</t>
    </r>
  </si>
  <si>
    <t>https://learn.microsoft.com/en-us/windows/client-management/mdm/policy-csp-internetexplorer?WT.mc_id=Portal-fx#trustedsiteszoneinitializeandscriptactivexcontrols</t>
  </si>
  <si>
    <t>./Device/Vendor/MSFT/Policy/Config/InternetExplorer/TrustedSitesZoneInitializeAndScriptActiveXControls</t>
  </si>
  <si>
    <t>IZ_PolicyScriptActiveXNotMarkedSafe_5</t>
  </si>
  <si>
    <t>1.8.7.1.2.10.3.1</t>
  </si>
  <si>
    <r>
      <rPr>
        <sz val="11"/>
        <color rgb="FF000000"/>
        <rFont val="Calibri"/>
      </rPr>
      <t xml:space="preserve">Set the following Settings Catalog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Explorer\Internet Control Panel\Security Page\Trusted Sites Zone\Java permissions: Java permissions</t>
    </r>
  </si>
  <si>
    <r>
      <rPr>
        <sz val="11"/>
        <color rgb="FF000000"/>
        <rFont val="Calibri"/>
      </rPr>
      <t>This policy setting allows you to manage permissions for Java applets.- 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can't make calls), plus capabilities like scratch space (a safe and secure storage area on the client computer) and user-controlled file I/O.High Safety enables applets to run in their sandbox. Disable Java to prevent any applets from running.-  If you disable this policy setting, Java applets can't run.</t>
    </r>
    <r>
      <rPr>
        <sz val="11"/>
        <color rgb="FF000000"/>
        <rFont val="Calibri"/>
      </rPr>
      <t xml:space="preserve">
</t>
    </r>
    <r>
      <rPr>
        <sz val="11"/>
        <color rgb="FF000000"/>
        <rFont val="Calibri"/>
      </rPr>
      <t>-  If you don't configure this policy setting, the permission is set to Low Safety.</t>
    </r>
  </si>
  <si>
    <t>https://learn.microsoft.com/en-us/windows/client-management/mdm/policy-csp-internetexplorer?WT.mc_id=Portal-fx#trustedsiteszonejavapermissions</t>
  </si>
  <si>
    <t>./Device/Vendor/MSFT/Policy/Config/InternetExplorer/TrustedSitesZoneJavaPermissions</t>
  </si>
  <si>
    <t>IZ_PolicyJavaPermissions_5</t>
  </si>
  <si>
    <t>1.8.7.2</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</si>
  <si>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</si>
  <si>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</si>
  <si>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don't commonly download from the Internet.-  If you enable this policy setting, SmartScreen Filter warnings block the user.</t>
    </r>
    <r>
      <rPr>
        <sz val="11"/>
        <color rgb="FF000000"/>
        <rFont val="Calibri"/>
      </rPr>
      <t xml:space="preserve">
</t>
    </r>
    <r>
      <rPr>
        <sz val="11"/>
        <color rgb="FF000000"/>
        <rFont val="Calibri"/>
      </rPr>
      <t>-  If you disable or don't configure this policy setting, the user can bypass SmartScreen Filter warnings.</t>
    </r>
  </si>
  <si>
    <t>https://learn.microsoft.com/en-us/windows/client-management/mdm/policy-csp-internetexplorer?WT.mc_id=Portal-fx#disablebypassofsmartscreenwarningsaboutuncommonfiles</t>
  </si>
  <si>
    <t>./Device/Vendor/MSFT/Policy/Config/InternetExplorer/DisableBypassOfSmartScreenWarningsAboutUncommonFiles</t>
  </si>
  <si>
    <t>DisableSafetyFilterOverrideForAppRepUnknown</t>
  </si>
  <si>
    <t>Prevent bypassing SmartScreen Filter warnings about files that are not commonly downloaded from the Internet</t>
  </si>
  <si>
    <t>PreventOverrideAppRepUnknown</t>
  </si>
  <si>
    <t>Add-on Management</t>
  </si>
  <si>
    <t>1.8.7.2.1.1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</si>
  <si>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</si>
  <si>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</si>
  <si>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  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  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</si>
  <si>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https://learn.microsoft.com/en-us/intune/device-security/security-baselines/ref-windows-mdm-settings?pivots=mdm-24h2#windows-components--internet-explorer--security-features--add-on-management-1</t>
  </si>
  <si>
    <t>https://learn.microsoft.com/en-us/windows/client-management/mdm/policy-csp-internetexplorer?WT.mc_id=Portal-fx#removerunthistimebuttonforoutdatedactivexcontrols</t>
  </si>
  <si>
    <t>./Device/Vendor/MSFT/Policy/Config/InternetExplorer/RemoveRunThisTimeButtonForOutdatedActiveXControls</t>
  </si>
  <si>
    <t>VerMgmtDisableRunThisTime</t>
  </si>
  <si>
    <t>Remove "Run this time" button for outdated ActiveX controls in Internet Explorer</t>
  </si>
  <si>
    <t>Windows Components &gt; Internet Explorer &gt; Security Features &gt; Add-on Management</t>
  </si>
  <si>
    <t>Software\Microsoft\Windows\CurrentVersion\Policies\Ext</t>
  </si>
  <si>
    <t>RunThisTimeEnabled</t>
  </si>
  <si>
    <t>1.8.7.2.1.2</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</si>
  <si>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</si>
  <si>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</si>
  <si>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  If you enable this policy setting, Internet Explorer stops blocking outdated ActiveX controls.</t>
    </r>
    <r>
      <rPr>
        <sz val="11"/>
        <color rgb="FF000000"/>
        <rFont val="Calibri"/>
      </rPr>
      <t xml:space="preserve">
</t>
    </r>
    <r>
      <rPr>
        <sz val="11"/>
        <color rgb="FF000000"/>
        <rFont val="Calibri"/>
      </rPr>
      <t>-  If you disable or don't configure this policy setting, Internet Explorer continues to block specific outdated ActiveX controls.For more information, see "Outdated ActiveX Controls" in the Internet Explorer TechNet library.</t>
    </r>
  </si>
  <si>
    <t>https://learn.microsoft.com/en-us/windows/client-management/mdm/policy-csp-internetexplorer?WT.mc_id=Portal-fx#donotblockoutdatedactivexcontrols</t>
  </si>
  <si>
    <t>./Device/Vendor/MSFT/Policy/Config/InternetExplorer/DoNotBlockOutdatedActiveXControls</t>
  </si>
  <si>
    <t>VerMgmtDisable</t>
  </si>
  <si>
    <t>Turn off blocking of outdated ActiveX controls for Internet Explorer</t>
  </si>
  <si>
    <t>VersionCheckEnabled</t>
  </si>
  <si>
    <t>Security Features</t>
  </si>
  <si>
    <t>1.8.7.2.1.3</t>
  </si>
  <si>
    <r>
      <rPr>
        <sz val="11"/>
        <rFont val="Calibri"/>
      </rPr>
      <t xml:space="preserve">Ensure </t>
    </r>
    <r>
      <rPr>
        <sz val="11"/>
        <color rgb="FF000000"/>
        <rFont val="Calibri"/>
      </rPr>
      <t>'</t>
    </r>
    <r>
      <rPr>
        <b/>
        <sz val="11"/>
        <color rgb="FF000000"/>
        <rFont val="Calibri"/>
      </rPr>
      <t>Allow fallback to SSL 3.0 (Internet Explorer): Allow insecure fallback for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</si>
  <si>
    <r>
      <rPr>
        <sz val="11"/>
        <color rgb="FF000000"/>
        <rFont val="Calibri"/>
      </rPr>
      <t xml:space="preserve">Set the following Settings Catalog path to </t>
    </r>
    <r>
      <rPr>
        <b/>
        <sz val="11"/>
        <color rgb="FF000000"/>
        <rFont val="Calibri"/>
      </rPr>
      <t>Enabled: No Sites</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Features\Allow fallback to SSL 3.0 (Internet Explorer): Allow insecure fallback for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</si>
  <si>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don't allow insecure fallback in order to prevent a man-in-the-middle attack.This policy doesn't affect which security protocols are enabled.If you disable this policy, system defaults will be used.</t>
    </r>
  </si>
  <si>
    <t>https://learn.microsoft.com/en-us/intune/device-security/security-baselines/ref-windows-mdm-settings?pivots=mdm-24h2#windows-components--internet-explorer--security-features-1</t>
  </si>
  <si>
    <t>https://learn.microsoft.com/en-us/windows/client-management/mdm/policy-csp-internetexplorer?WT.mc_id=Portal-fx#allowfallbacktossl3</t>
  </si>
  <si>
    <t>./Device/Vendor/MSFT/Policy/Config/InternetExplorer/AllowFallbackToSSL3</t>
  </si>
  <si>
    <t>Advanced_EnableSSL3Fallback</t>
  </si>
  <si>
    <t>Allow fallback to SSL 3.0 (Internet Explorer)</t>
  </si>
  <si>
    <t>Windows Components &gt; Internet Explorer &gt; Security Features</t>
  </si>
  <si>
    <t>Consistent Mime Handling</t>
  </si>
  <si>
    <t>1.8.7.2.2.1</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</si>
  <si>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</si>
  <si>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</si>
  <si>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  If you enable this policy setting, Internet Explorer requires consistent MIME data for all received files.</t>
    </r>
    <r>
      <rPr>
        <sz val="11"/>
        <color rgb="FF000000"/>
        <rFont val="Calibri"/>
      </rPr>
      <t xml:space="preserve">
</t>
    </r>
    <r>
      <rPr>
        <sz val="11"/>
        <color rgb="FF000000"/>
        <rFont val="Calibri"/>
      </rPr>
      <t>-  If you disable this policy setting, Internet Explorer won't require consistent MIME data for all received files.</t>
    </r>
    <r>
      <rPr>
        <sz val="11"/>
        <color rgb="FF000000"/>
        <rFont val="Calibri"/>
      </rPr>
      <t xml:space="preserve">
</t>
    </r>
    <r>
      <rPr>
        <sz val="11"/>
        <color rgb="FF000000"/>
        <rFont val="Calibri"/>
      </rPr>
      <t>-  If you don't configure this policy setting, Internet Explorer requires consistent MIME data for all received files.</t>
    </r>
  </si>
  <si>
    <t>https://learn.microsoft.com/en-us/intune/device-security/security-baselines/ref-windows-mdm-settings?pivots=mdm-24h2#windows-components--internet-explorer--security-features--consistent-mime-handling-1</t>
  </si>
  <si>
    <t>https://learn.microsoft.com/en-us/windows/client-management/mdm/policy-csp-internetexplorer?WT.mc_id=Portal-fx#consistentmimehandlinginternetexplorerprocesses</t>
  </si>
  <si>
    <t>./Device/Vendor/MSFT/Policy/Config/InternetExplorer/ConsistentMimeHandlingInternetExplorerProcesses</t>
  </si>
  <si>
    <t>IESF_PolicyExplorerProcesses_5</t>
  </si>
  <si>
    <t>Internet Explorer Processes</t>
  </si>
  <si>
    <t>Windows Components &gt; Internet Explorer &gt; Security Features &gt; Consistent Mime Handling</t>
  </si>
  <si>
    <t>Software\Policies\Microsoft\Internet Explorer\Main\FeatureControl\FEATURE_MIME_HANDLING</t>
  </si>
  <si>
    <t>Mime Sniffing Safety Feature</t>
  </si>
  <si>
    <t>1.8.7.2.3.1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</si>
  <si>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</si>
  <si>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  If you enable this policy setting, MIME sniffing will never promote a file of one type to a more dangerous file type.</t>
    </r>
    <r>
      <rPr>
        <sz val="11"/>
        <color rgb="FF000000"/>
        <rFont val="Calibri"/>
      </rPr>
      <t xml:space="preserve">
</t>
    </r>
    <r>
      <rPr>
        <sz val="11"/>
        <color rgb="FF000000"/>
        <rFont val="Calibri"/>
      </rPr>
      <t>-  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  If you don't configure this policy setting, MIME sniffing will never promote a file of one type to a more dangerous file type.</t>
    </r>
  </si>
  <si>
    <t>https://learn.microsoft.com/en-us/intune/device-security/security-baselines/ref-windows-mdm-settings?pivots=mdm-24h2#windows-components--internet-explorer--security-features--mime-sniffing-safety-feature-1</t>
  </si>
  <si>
    <t>https://learn.microsoft.com/en-us/windows/client-management/mdm/policy-csp-internetexplorer?WT.mc_id=Portal-fx#mimesniffingsafetyfeatureinternetexplorerprocesses</t>
  </si>
  <si>
    <t>./Device/Vendor/MSFT/Policy/Config/InternetExplorer/MimeSniffingSafetyFeatureInternetExplorerProcesses</t>
  </si>
  <si>
    <t>IESF_PolicyExplorerProcesses_6</t>
  </si>
  <si>
    <t>Windows Components &gt; Internet Explorer &gt; Security Features &gt; Mime Sniffing Safety Feature</t>
  </si>
  <si>
    <t>Software\Policies\Microsoft\Internet Explorer\Main\FeatureControl\FEATURE_MIME_SNIFFING</t>
  </si>
  <si>
    <t>MK Protocol Security Restriction</t>
  </si>
  <si>
    <t>1.8.7.2.4.1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</si>
  <si>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</si>
  <si>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  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  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  If you don't configure this policy setting, the MK Protocol is prevented for File Explorer and Internet Explorer, and resources hosted on the MK protocol will fail.</t>
    </r>
  </si>
  <si>
    <t>https://learn.microsoft.com/en-us/intune/device-security/security-baselines/ref-windows-mdm-settings?pivots=mdm-24h2#windows-components--internet-explorer--security-features--mk-protocol-security-restriction-1</t>
  </si>
  <si>
    <t>https://learn.microsoft.com/en-us/windows/client-management/mdm/policy-csp-internetexplorer?WT.mc_id=Portal-fx#mkprotocolsecurityrestrictioninternetexplorerprocesses</t>
  </si>
  <si>
    <t>./Device/Vendor/MSFT/Policy/Config/InternetExplorer/MKProtocolSecurityRestrictionInternetExplorerProcesses</t>
  </si>
  <si>
    <t>IESF_PolicyExplorerProcesses_3</t>
  </si>
  <si>
    <t>Windows Components &gt; Internet Explorer &gt; Security Features &gt; MK Protocol Security Restriction</t>
  </si>
  <si>
    <t>Software\Policies\Microsoft\Internet Explorer\Main\FeatureControl\FEATURE_DISABLE_MK_PROTOCOL</t>
  </si>
  <si>
    <t>Notification bar</t>
  </si>
  <si>
    <t>1.8.7.2.5.1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</si>
  <si>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</si>
  <si>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  If you enable this policy setting, the Notification bar will be displayed for Internet Explorer Processes.</t>
    </r>
    <r>
      <rPr>
        <sz val="11"/>
        <color rgb="FF000000"/>
        <rFont val="Calibri"/>
      </rPr>
      <t xml:space="preserve">
</t>
    </r>
    <r>
      <rPr>
        <sz val="11"/>
        <color rgb="FF000000"/>
        <rFont val="Calibri"/>
      </rPr>
      <t>-  If you disable this policy setting, the Notification bar won't be displayed for Internet Explorer processes.</t>
    </r>
    <r>
      <rPr>
        <sz val="11"/>
        <color rgb="FF000000"/>
        <rFont val="Calibri"/>
      </rPr>
      <t xml:space="preserve">
</t>
    </r>
    <r>
      <rPr>
        <sz val="11"/>
        <color rgb="FF000000"/>
        <rFont val="Calibri"/>
      </rPr>
      <t>-  If you don't configure this policy setting, the Notification bar will be displayed for Internet Explorer Processes.</t>
    </r>
  </si>
  <si>
    <t>https://learn.microsoft.com/en-us/intune/device-security/security-baselines/ref-windows-mdm-settings?pivots=mdm-24h2#windows-components--internet-explorer--security-features--notification-bar-1</t>
  </si>
  <si>
    <t>https://learn.microsoft.com/en-us/windows/client-management/mdm/policy-csp-internetexplorer?WT.mc_id=Portal-fx#notificationbarinternetexplorerprocesses</t>
  </si>
  <si>
    <t>./Device/Vendor/MSFT/Policy/Config/InternetExplorer/NotificationBarInternetExplorerProcesses</t>
  </si>
  <si>
    <t>IESF_PolicyExplorerProcesses_10</t>
  </si>
  <si>
    <t>Windows Components &gt; Internet Explorer &gt; Security Features &gt; Notification bar</t>
  </si>
  <si>
    <t>Software\Policies\Microsoft\Internet Explorer\Main\FeatureControl\FEATURE_SECURITYBAND</t>
  </si>
  <si>
    <t>Protection From Zone Elevation</t>
  </si>
  <si>
    <t>1.8.7.2.6.1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</si>
  <si>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</si>
  <si>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  If you enable this policy setting, any zone can be protected from zone elevation by Internet Explorer processes.</t>
    </r>
    <r>
      <rPr>
        <sz val="11"/>
        <color rgb="FF000000"/>
        <rFont val="Calibri"/>
      </rPr>
      <t xml:space="preserve">
</t>
    </r>
    <r>
      <rPr>
        <sz val="11"/>
        <color rgb="FF000000"/>
        <rFont val="Calibri"/>
      </rPr>
      <t>-  If you disable this policy setting, no zone receives such protection for Internet Explorer processes.</t>
    </r>
    <r>
      <rPr>
        <sz val="11"/>
        <color rgb="FF000000"/>
        <rFont val="Calibri"/>
      </rPr>
      <t xml:space="preserve">
</t>
    </r>
    <r>
      <rPr>
        <sz val="11"/>
        <color rgb="FF000000"/>
        <rFont val="Calibri"/>
      </rPr>
      <t>-  If you don't configure this policy setting, any zone can be protected from zone elevation by Internet Explorer processes.</t>
    </r>
  </si>
  <si>
    <t>https://learn.microsoft.com/en-us/intune/device-security/security-baselines/ref-windows-mdm-settings?pivots=mdm-24h2#windows-components--internet-explorer--security-features--protection-from-zone-elevation-1</t>
  </si>
  <si>
    <t>https://learn.microsoft.com/en-us/windows/client-management/mdm/policy-csp-internetexplorer?WT.mc_id=Portal-fx#protectionfromzoneelevationinternetexplorerprocesses</t>
  </si>
  <si>
    <t>./Device/Vendor/MSFT/Policy/Config/InternetExplorer/ProtectionFromZoneElevationInternetExplorerProcesses</t>
  </si>
  <si>
    <t>IESF_PolicyExplorerProcesses_9</t>
  </si>
  <si>
    <t>Windows Components &gt; Internet Explorer &gt; Security Features &gt; Protection From Zone Elevation</t>
  </si>
  <si>
    <t>Software\Policies\Microsoft\Internet Explorer\Main\FeatureControl\FEATURE_ZONE_ELEVATION</t>
  </si>
  <si>
    <t>Restrict ActiveX Install</t>
  </si>
  <si>
    <t>1.8.7.2.7.1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</si>
  <si>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</si>
  <si>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  If you enable this policy setting, prompting for ActiveX control installations will be blocked for Internet Explorer processes.</t>
    </r>
    <r>
      <rPr>
        <sz val="11"/>
        <color rgb="FF000000"/>
        <rFont val="Calibri"/>
      </rPr>
      <t xml:space="preserve">
</t>
    </r>
    <r>
      <rPr>
        <sz val="11"/>
        <color rgb="FF000000"/>
        <rFont val="Calibri"/>
      </rPr>
      <t>-  If you disable this policy setting, prompting for ActiveX control installations won't be blocked for Internet Explorer processes.</t>
    </r>
    <r>
      <rPr>
        <sz val="11"/>
        <color rgb="FF000000"/>
        <rFont val="Calibri"/>
      </rPr>
      <t xml:space="preserve">
</t>
    </r>
    <r>
      <rPr>
        <sz val="11"/>
        <color rgb="FF000000"/>
        <rFont val="Calibri"/>
      </rPr>
      <t>-  If you don't configure this policy setting, the user's preference will be used to determine whether to block ActiveX control installations for Internet Explorer processes.</t>
    </r>
  </si>
  <si>
    <t>https://learn.microsoft.com/en-us/intune/device-security/security-baselines/ref-windows-mdm-settings?pivots=mdm-24h2#windows-components--internet-explorer--security-features--restrict-activex-install-1</t>
  </si>
  <si>
    <t>https://learn.microsoft.com/en-us/windows/client-management/mdm/policy-csp-internetexplorer?WT.mc_id=Portal-fx#restrictactivexinstallinternetexplorerprocesses</t>
  </si>
  <si>
    <t>./Device/Vendor/MSFT/Policy/Config/InternetExplorer/RestrictActiveXInstallInternetExplorerProcesses</t>
  </si>
  <si>
    <t>IESF_PolicyExplorerProcesses_11</t>
  </si>
  <si>
    <t>Windows Components &gt; Internet Explorer &gt; Security Features &gt; Restrict ActiveX Install</t>
  </si>
  <si>
    <t>Software\Policies\Microsoft\Internet Explorer\Main\FeatureControl\FEATURE_RESTRICT_ACTIVEXINSTALL</t>
  </si>
  <si>
    <t>Restrict File Download</t>
  </si>
  <si>
    <t>1.8.7.2.8.1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</si>
  <si>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Features\Restrict File Download\Internet Explorer Processes</t>
    </r>
  </si>
  <si>
    <r>
      <rPr>
        <sz val="11"/>
        <color rgb="FF000000"/>
        <rFont val="Calibri"/>
      </rPr>
      <t>This policy setting enables blocking of file download prompts that aren't user initiated.-  If you enable this policy setting, file download prompts that aren't user initiated will be blocked for Internet Explorer processes.</t>
    </r>
    <r>
      <rPr>
        <sz val="11"/>
        <color rgb="FF000000"/>
        <rFont val="Calibri"/>
      </rPr>
      <t xml:space="preserve">
</t>
    </r>
    <r>
      <rPr>
        <sz val="11"/>
        <color rgb="FF000000"/>
        <rFont val="Calibri"/>
      </rPr>
      <t>-  If you disable this policy setting, prompting will occur for file downloads that aren't user initiated for Internet Explorer processes.</t>
    </r>
    <r>
      <rPr>
        <sz val="11"/>
        <color rgb="FF000000"/>
        <rFont val="Calibri"/>
      </rPr>
      <t xml:space="preserve">
</t>
    </r>
    <r>
      <rPr>
        <sz val="11"/>
        <color rgb="FF000000"/>
        <rFont val="Calibri"/>
      </rPr>
      <t>-  If you don't configure this policy setting, the user's preference determines whether to prompt for file downloads that aren't user initiated for Internet Explorer processes.</t>
    </r>
  </si>
  <si>
    <t>https://learn.microsoft.com/en-us/intune/device-security/security-baselines/ref-windows-mdm-settings?pivots=mdm-24h2#windows-components--internet-explorer--security-features--restrict-file-download-1</t>
  </si>
  <si>
    <t>https://learn.microsoft.com/en-us/windows/client-management/mdm/policy-csp-internetexplorer?WT.mc_id=Portal-fx#restrictfiledownloadinternetexplorerprocesses</t>
  </si>
  <si>
    <t>./Device/Vendor/MSFT/Policy/Config/InternetExplorer/RestrictFileDownloadInternetExplorerProcesses</t>
  </si>
  <si>
    <t>IESF_PolicyExplorerProcesses_12</t>
  </si>
  <si>
    <t>Windows Components &gt; Internet Explorer &gt; Security Features &gt; Restrict File Download</t>
  </si>
  <si>
    <t>Software\Policies\Microsoft\Internet Explorer\Main\FeatureControl\FEATURE_RESTRICT_FILEDOWNLOAD</t>
  </si>
  <si>
    <t>Scripted Window Security Restrictions</t>
  </si>
  <si>
    <t>1.8.7.2.9.1</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</si>
  <si>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</si>
  <si>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aren't visible to the user or obfuscate other Windows' title and status bars.-  If you enable this policy setting, popup windows and other restrictions apply for File Explorer and Internet Explorer processes.</t>
    </r>
    <r>
      <rPr>
        <sz val="11"/>
        <color rgb="FF000000"/>
        <rFont val="Calibri"/>
      </rPr>
      <t xml:space="preserve">
</t>
    </r>
    <r>
      <rPr>
        <sz val="11"/>
        <color rgb="FF000000"/>
        <rFont val="Calibri"/>
      </rPr>
      <t>-  If you disable this policy setting, scripts can continue to create popup windows and windows that obfuscate other windows.</t>
    </r>
    <r>
      <rPr>
        <sz val="11"/>
        <color rgb="FF000000"/>
        <rFont val="Calibri"/>
      </rPr>
      <t xml:space="preserve">
</t>
    </r>
    <r>
      <rPr>
        <sz val="11"/>
        <color rgb="FF000000"/>
        <rFont val="Calibri"/>
      </rPr>
      <t>-  If you don't configure this policy setting, popup windows and other restrictions apply for File Explorer and Internet Explorer processes.</t>
    </r>
  </si>
  <si>
    <t>https://learn.microsoft.com/en-us/intune/device-security/security-baselines/ref-windows-mdm-settings?pivots=mdm-24h2#windows-components--internet-explorer--security-features--scripted-window-security-restrictions-1</t>
  </si>
  <si>
    <t>https://learn.microsoft.com/en-us/windows/client-management/mdm/policy-csp-internetexplorer?WT.mc_id=Portal-fx#scriptedwindowsecurityrestrictionsinternetexplorerprocesses</t>
  </si>
  <si>
    <t>./Device/Vendor/MSFT/Policy/Config/InternetExplorer/ScriptedWindowSecurityRestrictionsInternetExplorerProcesses</t>
  </si>
  <si>
    <t>IESF_PolicyExplorerProcesses_8</t>
  </si>
  <si>
    <t>Windows Components &gt; Internet Explorer &gt; Security Features &gt; Scripted Window Security Restrictions</t>
  </si>
  <si>
    <t>Software\Policies\Microsoft\Internet Explorer\Main\FeatureControl\FEATURE_WINDOW_RESTRICTIONS</t>
  </si>
  <si>
    <t>1.8.7.3.1</t>
  </si>
  <si>
    <r>
      <rPr>
        <sz val="11"/>
        <rFont val="Calibri"/>
      </rPr>
      <t xml:space="preserve">Ensure </t>
    </r>
    <r>
      <rPr>
        <sz val="11"/>
        <color rgb="FF000000"/>
        <rFont val="Calibri"/>
      </rPr>
      <t>'</t>
    </r>
    <r>
      <rPr>
        <b/>
        <sz val="11"/>
        <color rgb="FF000000"/>
        <rFont val="Calibri"/>
      </rPr>
      <t>Prevent managing SmartScreen Filter: Select SmartScreen Filter mode</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</si>
  <si>
    <r>
      <rPr>
        <sz val="11"/>
        <color rgb="FF000000"/>
        <rFont val="Calibri"/>
      </rPr>
      <t xml:space="preserve">Set the following Settings Catalog path to </t>
    </r>
    <r>
      <rPr>
        <b/>
        <sz val="11"/>
        <color rgb="FF000000"/>
        <rFont val="Calibri"/>
      </rPr>
      <t>Enabled: On</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Explorer\Prevent managing SmartScreen Filter: Select SmartScreen Filter mode</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</si>
  <si>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  If you enable this policy setting, the user isn't prompted to turn on SmartScreen Filter. All website addresses that aren't on the filter's allow list are sent automatically to Microsoft without prompting the user.</t>
    </r>
    <r>
      <rPr>
        <sz val="11"/>
        <color rgb="FF000000"/>
        <rFont val="Calibri"/>
      </rPr>
      <t xml:space="preserve">
</t>
    </r>
    <r>
      <rPr>
        <sz val="11"/>
        <color rgb="FF000000"/>
        <rFont val="Calibri"/>
      </rPr>
      <t>-  If you disable or don't configure this policy setting, the user is prompted to decide whether to turn on SmartScreen Filter during the first-run experience.</t>
    </r>
  </si>
  <si>
    <t>https://learn.microsoft.com/en-us/windows/client-management/mdm/policy-csp-internetexplorer?WT.mc_id=Portal-fx#preventmanagingsmartscreenfilter</t>
  </si>
  <si>
    <t>./Device/Vendor/MSFT/Policy/Config/InternetExplorer/PreventManagingSmartScreenFilter</t>
  </si>
  <si>
    <t>Disable_Managing_Safety_Filter_IE9</t>
  </si>
  <si>
    <t>Prevent managing SmartScreen Filter</t>
  </si>
  <si>
    <t>1.8.7.4</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</si>
  <si>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</si>
  <si>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Explorer\Prevent per-user installation of ActiveX controls</t>
    </r>
  </si>
  <si>
    <r>
      <rPr>
        <sz val="11"/>
        <color rgb="FF000000"/>
        <rFont val="Calibri"/>
      </rPr>
      <t>This policy setting allows you to prevent the installation of ActiveX controls on a per-user basis.-  If you enable this policy setting, ActiveX controls can't be installed on a per-user basis.</t>
    </r>
    <r>
      <rPr>
        <sz val="11"/>
        <color rgb="FF000000"/>
        <rFont val="Calibri"/>
      </rPr>
      <t xml:space="preserve">
</t>
    </r>
    <r>
      <rPr>
        <sz val="11"/>
        <color rgb="FF000000"/>
        <rFont val="Calibri"/>
      </rPr>
      <t>-  If you disable or don't configure this policy setting, ActiveX controls can be installed on a per-user basis.</t>
    </r>
  </si>
  <si>
    <t>https://learn.microsoft.com/en-us/windows/client-management/mdm/policy-csp-internetexplorer?WT.mc_id=Portal-fx#preventperuserinstallationofactivexcontrols</t>
  </si>
  <si>
    <t>./Device/Vendor/MSFT/Policy/Config/InternetExplorer/PreventPerUserInstallationOfActiveXControls</t>
  </si>
  <si>
    <t>DisablePerUserActiveXInstall</t>
  </si>
  <si>
    <t>Prevent per-user installation of ActiveX controls</t>
  </si>
  <si>
    <t>Software\Policies\Microsoft\Internet Explorer\Security\ActiveX</t>
  </si>
  <si>
    <t>BlockNonAdminActiveXInstall</t>
  </si>
  <si>
    <t>1.8.7.5</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</si>
  <si>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</si>
  <si>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</si>
  <si>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  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  If you disable this policy or don't configure it, users can add Web sites to or remove sites from the Trusted Sites and Restricted Sites zones, and alter settings for the Local Intranet zone.This policy prevents users from changing site management settings for security zones established by the administrator.</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it's enabled, this policy is ignored.</t>
    </r>
    <r>
      <rPr>
        <sz val="11"/>
        <color rgb="FF000000"/>
        <rFont val="Calibri"/>
      </rPr>
      <t xml:space="preserve">
</t>
    </r>
    <r>
      <rPr>
        <sz val="11"/>
        <color rgb="FF000000"/>
        <rFont val="Calibri"/>
      </rPr>
      <t>The "Disable the Security page" policy (located in \User Configuration\Administrative Templates\Windows Components\Internet Explorer\Internet Control Panel), which removes the Security tab from the interface, takes precedence over this policy. If it's enabled, this policy is ignored.Also, see the "Security zones: Use only machine settings" policy.</t>
    </r>
  </si>
  <si>
    <t>https://learn.microsoft.com/en-us/windows/client-management/mdm/policy-csp-internetexplorer?WT.mc_id=Portal-fx#donotallowuserstoaddsites</t>
  </si>
  <si>
    <t>./Device/Vendor/MSFT/Policy/Config/InternetExplorer/DoNotAllowUsersToAddSites</t>
  </si>
  <si>
    <t>Security_zones_map_edit</t>
  </si>
  <si>
    <t>Security Zones: Do not allow users to add/delete sites</t>
  </si>
  <si>
    <t>1.8.7.6</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</si>
  <si>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</si>
  <si>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</si>
  <si>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  If you enable this policy, the Custom Level button and security-level slider on the Security tab in the Internet Options dialog box are disabled.</t>
    </r>
    <r>
      <rPr>
        <sz val="11"/>
        <color rgb="FF000000"/>
        <rFont val="Calibri"/>
      </rPr>
      <t xml:space="preserve">
</t>
    </r>
    <r>
      <rPr>
        <sz val="11"/>
        <color rgb="FF000000"/>
        <rFont val="Calibri"/>
      </rPr>
      <t>-  If you disable this policy or don't configure it, users can change the settings for security zones.This policy prevents users from changing security zone settings established by the administrator.</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it's enabled, this policy is ignored.</t>
    </r>
    <r>
      <rPr>
        <sz val="11"/>
        <color rgb="FF000000"/>
        <rFont val="Calibri"/>
      </rPr>
      <t xml:space="preserve">
</t>
    </r>
    <r>
      <rPr>
        <sz val="11"/>
        <color rgb="FF000000"/>
        <rFont val="Calibri"/>
      </rPr>
      <t>The "Disable the Security page" policy (located in \User Configuration\Administrative Templates\Windows Components\Internet Explorer\Internet Control Panel), which removes the Security tab from Internet Explorer in Control Panel, takes precedence over this policy. If it's enabled, this policy is ignored.Also, see the "Security zones: Use only machine settings" policy.</t>
    </r>
  </si>
  <si>
    <t>https://learn.microsoft.com/en-us/windows/client-management/mdm/policy-csp-internetexplorer?WT.mc_id=Portal-fx#donotallowuserstochangepolicies</t>
  </si>
  <si>
    <t>./Device/Vendor/MSFT/Policy/Config/InternetExplorer/DoNotAllowUsersToChangePolicies</t>
  </si>
  <si>
    <t>Security_options_edit</t>
  </si>
  <si>
    <t>Security Zones: Do not allow users to change policies</t>
  </si>
  <si>
    <t>1.8.7.7</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</si>
  <si>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</si>
  <si>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</si>
  <si>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  If you enable this policy, changes that the user makes to a security zone will apply to all users of that computer.</t>
    </r>
    <r>
      <rPr>
        <sz val="11"/>
        <color rgb="FF000000"/>
        <rFont val="Calibri"/>
      </rPr>
      <t xml:space="preserve">
</t>
    </r>
    <r>
      <rPr>
        <sz val="11"/>
        <color rgb="FF000000"/>
        <rFont val="Calibri"/>
      </rPr>
      <t>-  If you disable this policy or don't configure it, users of the same computer can establish their own security zone settings.This policy is intended to ensure that security zone settings apply uniformly to the same computer and don't vary from user to user.Also, see the "Security zones: Don't allow users to change policies" policy.</t>
    </r>
  </si>
  <si>
    <t>https://learn.microsoft.com/en-us/windows/client-management/mdm/policy-csp-internetexplorer?WT.mc_id=Portal-fx#securityzonesuseonlymachinesettings</t>
  </si>
  <si>
    <t>./Device/Vendor/MSFT/Policy/Config/InternetExplorer/SecurityZonesUseOnlyMachineSettings</t>
  </si>
  <si>
    <t>Security_HKLM_only</t>
  </si>
  <si>
    <t>Security Zones: Use only machine settings</t>
  </si>
  <si>
    <t>1.8.7.8</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</si>
  <si>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</si>
  <si>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Explorer\Specify use of ActiveX Installer Service for installation of ActiveX controls</t>
    </r>
  </si>
  <si>
    <r>
      <rPr>
        <sz val="11"/>
        <color rgb="FF000000"/>
        <rFont val="Calibri"/>
      </rPr>
      <t>This policy setting allows you to specify how ActiveX controls are installed.-  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  If you disable or don't configure this policy setting, ActiveX controls, including per-user controls, are installed through the standard installation process.</t>
    </r>
  </si>
  <si>
    <t>https://learn.microsoft.com/en-us/windows/client-management/mdm/policy-csp-internetexplorer?WT.mc_id=Portal-fx#specifyuseofactivexinstallerservice</t>
  </si>
  <si>
    <t>./Device/Vendor/MSFT/Policy/Config/InternetExplorer/SpecifyUseOfActiveXInstallerService</t>
  </si>
  <si>
    <t>OnlyUseAXISForActiveXInstall</t>
  </si>
  <si>
    <t>Specify use of ActiveX Installer Service for installation of ActiveX controls</t>
  </si>
  <si>
    <t>Software\Policies\Microsoft\Windows\AxInstaller</t>
  </si>
  <si>
    <t>1.8.7.9</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</si>
  <si>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</si>
  <si>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Explorer\Turn off Crash Detection</t>
    </r>
  </si>
  <si>
    <r>
      <rPr>
        <sz val="11"/>
        <color rgb="FF000000"/>
        <rFont val="Calibri"/>
      </rPr>
      <t>This policy setting allows you to manage the crash detection feature of add-on Management.-  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  If you disable or don't configure this policy setting, the crash detection feature for add-on management will be functional.</t>
    </r>
  </si>
  <si>
    <t>https://learn.microsoft.com/en-us/windows/client-management/mdm/policy-csp-internetexplorer?WT.mc_id=Portal-fx#disablecrashdetection</t>
  </si>
  <si>
    <t>./Device/Vendor/MSFT/Policy/Config/InternetExplorer/DisableCrashDetection</t>
  </si>
  <si>
    <t>AddonManagement_RestrictCrashDetection</t>
  </si>
  <si>
    <t>Turn off Crash Detection</t>
  </si>
  <si>
    <t>Software\Policies\Microsoft\Internet Explorer\Restrictions</t>
  </si>
  <si>
    <t>NoCrashDetection</t>
  </si>
  <si>
    <t>1.8.7.10</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</si>
  <si>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</si>
  <si>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</si>
  <si>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  If you enable this policy setting, the feature is turned off.</t>
    </r>
    <r>
      <rPr>
        <sz val="11"/>
        <color rgb="FF000000"/>
        <rFont val="Calibri"/>
      </rPr>
      <t xml:space="preserve">
</t>
    </r>
    <r>
      <rPr>
        <sz val="11"/>
        <color rgb="FF000000"/>
        <rFont val="Calibri"/>
      </rPr>
      <t>-  If you disable or don't configure this policy setting, the feature is turned on.</t>
    </r>
  </si>
  <si>
    <t>https://learn.microsoft.com/en-us/windows/client-management/mdm/policy-csp-internetexplorer?WT.mc_id=Portal-fx#disablesecuritysettingscheck</t>
  </si>
  <si>
    <t>./Device/Vendor/MSFT/Policy/Config/InternetExplorer/DisableSecuritySettingsCheck</t>
  </si>
  <si>
    <t>Disable_Security_Settings_Check</t>
  </si>
  <si>
    <t>Turn off the Security Settings Check feature</t>
  </si>
  <si>
    <t>Software\Policies\Microsoft\Internet Explorer\Security</t>
  </si>
  <si>
    <t>DisableSecuritySettingsCheck</t>
  </si>
  <si>
    <t>1.8.7.11</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</si>
  <si>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</si>
  <si>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Components\Internet Explorer\Turn on the auto-complete feature for user names and passwords on forms</t>
    </r>
  </si>
  <si>
    <t>https://learn.microsoft.com/en-us/windows/client-management/mdm/policy-csp-internetexplorer?WT.mc_id=Portal-fx#allowautocomplete</t>
  </si>
  <si>
    <t>RestrictFormSuggestPW</t>
  </si>
  <si>
    <t>Turn on the auto-complete feature for user names and passwords on forms</t>
  </si>
  <si>
    <t>FormSuggest Passwords</t>
  </si>
  <si>
    <t>Microsoft Defender Antivirus</t>
  </si>
  <si>
    <t>1.8.8.1</t>
  </si>
  <si>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</si>
  <si>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Components\Microsoft Defender Antivirus\Turn off routine remediation</t>
    </r>
  </si>
  <si>
    <r>
      <rPr>
        <sz val="11"/>
        <color rgb="FF000000"/>
        <rFont val="Calibri"/>
      </rPr>
      <t>This policy setting allows you to configure whether Microsoft Defender Antivirus automatically takes action on all detected threats. The action to be taken on a particular threat is determined by the combination of the policy-defined action, user-defined action, and the signature-defined action.-  If you enable this policy setting, Microsoft Defender Antivirus doesn't automatically take action on the detected threats, but prompts users to choose from the actions available for each threat.</t>
    </r>
    <r>
      <rPr>
        <sz val="11"/>
        <color rgb="FF000000"/>
        <rFont val="Calibri"/>
      </rPr>
      <t xml:space="preserve">
</t>
    </r>
    <r>
      <rPr>
        <sz val="11"/>
        <color rgb="FF000000"/>
        <rFont val="Calibri"/>
      </rPr>
      <t>-  If you disable or don't configure this policy setting, Microsoft Defender Antivirus automatically takes action on all detected threats after a nonconfigurable delay of approximately five seconds.</t>
    </r>
    <r>
      <rPr>
        <sz val="11"/>
        <color rgb="FF000000"/>
        <rFont val="Calibri"/>
      </rPr>
      <t xml:space="preserve">Note: Changes to this setting are not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 not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</si>
  <si>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https://learn.microsoft.com/en-us/intune/device-security/security-baselines/ref-windows-mdm-settings?pivots=mdm-24h2#windows-components--microsoft-defender-antivirus-1</t>
  </si>
  <si>
    <t>https://learn.microsoft.com/en-us/windows/client-management/mdm/policy-csp-admx-microsoftdefenderantivirus?WT.mc_id=Portal-fx#disableroutinelytakingaction</t>
  </si>
  <si>
    <t>./Device/Vendor/MSFT/Policy/Config/ADMX_MicrosoftDefenderAntivirus/DisableRoutinelyTakingAction</t>
  </si>
  <si>
    <t>DisableRoutinelyTakingAction</t>
  </si>
  <si>
    <t>Turn off routine remediation</t>
  </si>
  <si>
    <t>Windows Components &gt; Microsoft Defender Antivirus</t>
  </si>
  <si>
    <t>Software\Policies\Microsoft\Windows Defender</t>
  </si>
  <si>
    <t>WindowsDefender.admx</t>
  </si>
  <si>
    <t>MAPS</t>
  </si>
  <si>
    <t>1.8.8.1.1</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</si>
  <si>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</si>
  <si>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</si>
  <si>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won't occur, which will lower the protection state of the device.Enabled - The Block at First Sight setting is turned on.Disabled - The Block at First Sight setting is turned off.This feature requires these Group Policy settings to be set as follows:MAPS -&gt; The "Join Microsoft MAPS" must be enabled or the "Block at First Sight" feature won't function.MAPS -&gt; The "Send file samples when further analysis is required" should be set to 1 (Send safe samples) or 3 (Send all samples). Setting to 0 (Always Prompt) will lower the protection state of the device. Setting to 2 (Never send) means the "Block at First Sight" feature won't function.Real-time Protection -&gt; The "Scan all downloaded files and attachments" policy must be enabled or the "Block at First Sight" feature won't function.Real-time Protection -&gt; Don't enable the "Turn off real-time protection" policy or the "Block at First Sight" feature won't function.</t>
    </r>
    <r>
      <rPr>
        <sz val="11"/>
        <color rgb="FF000000"/>
        <rFont val="Calibri"/>
      </rPr>
      <t xml:space="preserve">Note: Changes to this setting are not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 not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</si>
  <si>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https://learn.microsoft.com/en-us/intune/device-security/security-baselines/ref-windows-mdm-settings?pivots=mdm-24h2#windows-components--microsoft-defender-antivirus--maps-1</t>
  </si>
  <si>
    <t>https://learn.microsoft.com/en-us/windows/client-management/mdm/policy-csp-admx-microsoftdefenderantivirus?WT.mc_id=Portal-fx#disableblockatfirstseen</t>
  </si>
  <si>
    <t>./Device/Vendor/MSFT/Policy/Config/ADMX_MicrosoftDefenderAntivirus/DisableBlockAtFirstSeen</t>
  </si>
  <si>
    <t>DisableBlockAtFirstSeen</t>
  </si>
  <si>
    <t>Configure the 'Block at First Sight' feature</t>
  </si>
  <si>
    <t>Windows Components &gt; Microsoft Defender Antivirus &gt; MAPS</t>
  </si>
  <si>
    <t>Software\Policies\Microsoft\Windows Defender\Spynet</t>
  </si>
  <si>
    <t>Real-time Protection</t>
  </si>
  <si>
    <t>1.8.8.2.1</t>
  </si>
  <si>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</si>
  <si>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Components\Microsoft Defender Antivirus\Real-time Protection\Turn on process scanning whenever real-time protection is enabled</t>
    </r>
  </si>
  <si>
    <t>https://learn.microsoft.com/en-us/intune/device-security/security-baselines/ref-windows-mdm-settings?pivots=mdm-24h2#windows-components--microsoft-defender-antivirus--real-time-protection-1</t>
  </si>
  <si>
    <t>https://learn.microsoft.com/en-us/windows/client-management/mdm/policy-csp-admx-microsoftdefenderantivirus?WT.mc_id=Portal-fx#realtimeprotection-disablescanonrealtimeenable</t>
  </si>
  <si>
    <t>Scan</t>
  </si>
  <si>
    <t>1.8.8.3.1</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</si>
  <si>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</si>
  <si>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Components\Microsoft Defender Antivirus\Scan\Scan packed executables</t>
    </r>
  </si>
  <si>
    <t>https://learn.microsoft.com/en-us/intune/device-security/security-baselines/ref-windows-mdm-settings?pivots=mdm-24h2#windows-components--microsoft-defender-antivirus--scan</t>
  </si>
  <si>
    <t>https://learn.microsoft.com/en-us/windows/client-management/mdm/policy-csp-admx-microsoftdefenderantivirus?WT.mc_id=Portal-fx#scan-disablepackedexescanning</t>
  </si>
  <si>
    <t>Remote Desktop Connection Client</t>
  </si>
  <si>
    <t>1.8.9.1.1</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</si>
  <si>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</si>
  <si>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</si>
  <si>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  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  If you disable this setting or leave it not configured, the user will be able to save passwords using Remote Desktop Connection.</t>
    </r>
  </si>
  <si>
    <t>https://learn.microsoft.com/en-us/intune/device-security/security-baselines/ref-windows-mdm-settings?pivots=mdm-24h2#windows-components--remote-desktop-services--remote-desktop-connection-client-1</t>
  </si>
  <si>
    <t>https://learn.microsoft.com/en-us/windows/client-management/mdm/policy-csp-remotedesktopservices?WT.mc_id=Portal-fx#donotallowpasswordsaving</t>
  </si>
  <si>
    <t>./Device/Vendor/MSFT/Policy/Config/RemoteDesktopServices/DoNotAllowPasswordSaving</t>
  </si>
  <si>
    <t>TS_CLIENT_DISABLE_PASSWORD_SAVING_2</t>
  </si>
  <si>
    <t>Do not allow passwords to be saved</t>
  </si>
  <si>
    <t>Windows Components &gt; Remote Desktop Services &gt; Remote Desktop Connection Client</t>
  </si>
  <si>
    <t>SOFTWARE\Policies\Microsoft\Windows NT\Terminal Services</t>
  </si>
  <si>
    <t>DisablePasswordSaving</t>
  </si>
  <si>
    <t>TerminalServer.admx</t>
  </si>
  <si>
    <t>Device and Resource Redirection</t>
  </si>
  <si>
    <t>1.8.9.2.1.1</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</si>
  <si>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</si>
  <si>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drive redirection</t>
    </r>
  </si>
  <si>
    <r>
      <rPr>
        <sz val="11"/>
        <color rgb="FF000000"/>
        <rFont val="Calibri"/>
      </rPr>
      <t xml:space="preserve">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t>
    </r>
    <r>
      <rPr>
        <b/>
        <sz val="11"/>
        <color rgb="FF000000"/>
        <rFont val="Calibri"/>
      </rPr>
      <t>&lt;driveletter&gt;</t>
    </r>
    <r>
      <rPr>
        <sz val="11"/>
        <color rgb="FF000000"/>
        <rFont val="Calibri"/>
      </rPr>
      <t xml:space="preserve"> on </t>
    </r>
    <r>
      <rPr>
        <b/>
        <sz val="11"/>
        <color rgb="FF000000"/>
        <rFont val="Calibri"/>
      </rPr>
      <t>&lt;computername&gt;</t>
    </r>
    <r>
      <rPr>
        <sz val="11"/>
        <color rgb="FF000000"/>
        <rFont val="Calibri"/>
      </rPr>
      <t>. You can use this policy setting to override this behavior.-  If you enable this policy setting, client drive redirection isn't allowed in Remote Desktop Services sessions, and Clipboard file copy redirection isn't allowed on computers running Windows XP, Windows Server 2003, Windows Server 2012 (and later) or Windows 8 (and later).</t>
    </r>
    <r>
      <rPr>
        <sz val="11"/>
        <color rgb="FF000000"/>
        <rFont val="Calibri"/>
      </rPr>
      <t xml:space="preserve">
</t>
    </r>
    <r>
      <rPr>
        <sz val="11"/>
        <color rgb="FF000000"/>
        <rFont val="Calibri"/>
      </rPr>
      <t>-  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  If you don't configure this policy setting, client drive redirection and Clipboard file copy redirection aren't specified at the Group Policy level.</t>
    </r>
  </si>
  <si>
    <t>https://learn.microsoft.com/en-us/intune/device-security/security-baselines/ref-windows-mdm-settings?pivots=mdm-24h2#windows-components--remote-desktop-services--remote-desktop-session-host--device-and-resource-redirection-1</t>
  </si>
  <si>
    <t>https://learn.microsoft.com/en-us/windows/client-management/mdm/policy-csp-remotedesktopservices?WT.mc_id=Portal-fx#donotallowdriveredirection</t>
  </si>
  <si>
    <t>./Device/Vendor/MSFT/Policy/Config/RemoteDesktopServices/DoNotAllowDriveRedirection</t>
  </si>
  <si>
    <t>TS_CLIENT_DRIVE_M</t>
  </si>
  <si>
    <t>Do not allow drive redirection</t>
  </si>
  <si>
    <t>Windows Components &gt; Remote Desktop Services &gt; Remote Desktop Session Host &gt; Device and Resource Redirection</t>
  </si>
  <si>
    <t>fDisableCdm</t>
  </si>
  <si>
    <t>1.8.9.2.2.1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</si>
  <si>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</si>
  <si>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</si>
  <si>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  If you enable this policy setting, users can't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  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  If you don't configure this policy setting, automatic logon isn't specified at the Group Policy level.</t>
    </r>
  </si>
  <si>
    <t>https://learn.microsoft.com/en-us/intune/device-security/security-baselines/ref-windows-mdm-settings?pivots=mdm-24h2#windows-components--remote-desktop-services--remote-desktop-session-host--security-1</t>
  </si>
  <si>
    <t>https://learn.microsoft.com/en-us/windows/client-management/mdm/policy-csp-remotedesktopservices?WT.mc_id=Portal-fx#promptforpassworduponconnection</t>
  </si>
  <si>
    <t>./Device/Vendor/MSFT/Policy/Config/RemoteDesktopServices/PromptForPasswordUponConnection</t>
  </si>
  <si>
    <t>TS_PASSWORD</t>
  </si>
  <si>
    <t>Always prompt for password upon connection</t>
  </si>
  <si>
    <t>Windows Components &gt; Remote Desktop Services &gt; Remote Desktop Session Host &gt; Security</t>
  </si>
  <si>
    <t>fPromptForPassword</t>
  </si>
  <si>
    <t>1.8.9.2.2.2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</si>
  <si>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</si>
  <si>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</si>
  <si>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doesn't allow unsecured communication with untrusted clients.If the status is set to Disabled, Remote Desktop Services always requests security for all RPC traffic. However, unsecured communication is allowed for RPC clients that don't respond to the request.If the status is set to Not Configured, unsecured communication is allowed.</t>
    </r>
    <r>
      <rPr>
        <sz val="11"/>
        <color rgb="FF000000"/>
        <rFont val="Calibri"/>
      </rPr>
      <t>Note: The RPC interface is used for administering and configuring Remote Desktop Services.</t>
    </r>
    <r>
      <rPr>
        <sz val="11"/>
        <color rgb="FF000000"/>
        <rFont val="Calibri"/>
      </rPr>
      <t xml:space="preserve">
</t>
    </r>
    <r>
      <rPr>
        <sz val="11"/>
        <color rgb="FF000000"/>
        <rFont val="Calibri"/>
      </rPr>
      <t>The RPC interface is used for administering and configuring Remote Desktop Services.</t>
    </r>
  </si>
  <si>
    <t>https://learn.microsoft.com/en-us/windows/client-management/mdm/policy-csp-remotedesktopservices?WT.mc_id=Portal-fx#requiresecurerpccommunication</t>
  </si>
  <si>
    <t>./Device/Vendor/MSFT/Policy/Config/RemoteDesktopServices/RequireSecureRPCCommunication</t>
  </si>
  <si>
    <t>TS_RPC_ENCRYPTION</t>
  </si>
  <si>
    <t>Require secure RPC communication</t>
  </si>
  <si>
    <t>fEncryptRPCTraffic</t>
  </si>
  <si>
    <t>1.8.9.2.2.3.1</t>
  </si>
  <si>
    <r>
      <rPr>
        <sz val="11"/>
        <rFont val="Calibri"/>
      </rPr>
      <t xml:space="preserve">Ensure </t>
    </r>
    <r>
      <rPr>
        <sz val="11"/>
        <color rgb="FF000000"/>
        <rFont val="Calibri"/>
      </rPr>
      <t>'</t>
    </r>
    <r>
      <rPr>
        <b/>
        <sz val="11"/>
        <color rgb="FF000000"/>
        <rFont val="Calibri"/>
      </rPr>
      <t>Set client connection encryption level: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</si>
  <si>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Settings Catalog path to </t>
    </r>
    <r>
      <rPr>
        <b/>
        <sz val="11"/>
        <color rgb="FF000000"/>
        <rFont val="Calibri"/>
      </rPr>
      <t>Enabled: High Level</t>
    </r>
    <r>
      <rPr>
        <sz val="11"/>
        <color rgb="FF000000"/>
        <rFont val="Calibri"/>
      </rPr>
      <t xml:space="preserve">: </t>
    </r>
    <r>
      <rPr>
        <sz val="11"/>
        <color rgb="FF000000"/>
        <rFont val="Calibri"/>
      </rPr>
      <t xml:space="preserve">
</t>
    </r>
    <r>
      <rPr>
        <sz val="11"/>
        <color rgb="FF006096"/>
        <rFont val="Roboto Condensed"/>
      </rPr>
      <t>Administrative Templates\Windows Components\Remote Desktop Services\Remote Desktop Session Host\Security\Set client connection encryption level: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</si>
  <si>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isn't recommended. This policy doesn't apply to SSL encryption.- 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don't support this encryption level can't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don't support 128-bit encryption.</t>
    </r>
    <r>
      <rPr>
        <sz val="11"/>
        <color rgb="FF000000"/>
        <rFont val="Calibri"/>
      </rPr>
      <t xml:space="preserve">
</t>
    </r>
    <r>
      <rPr>
        <sz val="11"/>
        <color rgb="FF000000"/>
        <rFont val="Calibri"/>
      </rPr>
      <t>-  Low: The Low setting encrypts only data sent from the client to the server by using 56-bit encryption.- If you disable or don't configure this setting, the encryption level to be used for remote connections to RD Session Host servers isn't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</si>
  <si>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https://learn.microsoft.com/en-us/windows/client-management/mdm/policy-csp-remotedesktopservices?WT.mc_id=Portal-fx#clientconnectionencryptionlevel</t>
  </si>
  <si>
    <t>./Device/Vendor/MSFT/Policy/Config/RemoteDesktopServices/ClientConnectionEncryptionLevel</t>
  </si>
  <si>
    <t>TS_ENCRYPTION_POLICY</t>
  </si>
  <si>
    <t>Set client connection encryption level</t>
  </si>
  <si>
    <t>RSS Feeds</t>
  </si>
  <si>
    <t>1.8.10.1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</si>
  <si>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</si>
  <si>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Components\RSS Feeds\Prevent downloading of enclosures</t>
    </r>
  </si>
  <si>
    <r>
      <rPr>
        <sz val="11"/>
        <color rgb="FF000000"/>
        <rFont val="Calibri"/>
      </rPr>
      <t>This policy setting prevents the user from having enclosures (file attachments) downloaded from a feed to the user's computer.-  If you enable this policy setting, the user can't set the Feed Sync Engine to download an enclosure through the Feed property page. A developer can't change the download setting through the Feed APIs.</t>
    </r>
    <r>
      <rPr>
        <sz val="11"/>
        <color rgb="FF000000"/>
        <rFont val="Calibri"/>
      </rPr>
      <t xml:space="preserve">
</t>
    </r>
    <r>
      <rPr>
        <sz val="11"/>
        <color rgb="FF000000"/>
        <rFont val="Calibri"/>
      </rPr>
      <t>-  If you disable or don't configure this policy setting, the user can set the Feed Sync Engine to download an enclosure through the Feed property page. A developer can change the download setting through the Feed APIs.</t>
    </r>
  </si>
  <si>
    <t>https://learn.microsoft.com/en-us/intune/device-security/security-baselines/ref-windows-mdm-settings?pivots=mdm-24h2#windows-components--rss-feeds-1</t>
  </si>
  <si>
    <t>https://learn.microsoft.com/en-us/windows/client-management/mdm/policy-csp-internetexplorer?WT.mc_id=Portal-fx#disableenclosuredownloading</t>
  </si>
  <si>
    <t>./Device/Vendor/MSFT/Policy/Config/InternetExplorer/DisableEnclosureDownloading</t>
  </si>
  <si>
    <t>Disable_Downloading_of_Enclosures</t>
  </si>
  <si>
    <t>Prevent downloading of enclosures</t>
  </si>
  <si>
    <t>Windows Components &gt; RSS Feeds</t>
  </si>
  <si>
    <t>Software\Policies\Microsoft\Internet Explorer\Feeds</t>
  </si>
  <si>
    <t>DisableEnclosureDownload</t>
  </si>
  <si>
    <t>Windows Logon Options</t>
  </si>
  <si>
    <t>1.8.11.1</t>
  </si>
  <si>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</si>
  <si>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Logon Options\Enable MPR notifications for the system</t>
    </r>
  </si>
  <si>
    <r>
      <rPr>
        <sz val="11"/>
        <color rgb="FF000000"/>
        <rFont val="Calibri"/>
      </rPr>
      <t>This policy controls whether the user's password is included in the content of MPR notifications sent by winlogon in the system.-  If you disable this setting or don't configure it, winlogon sends MPR notifications with empty password fields of the user's authentication info.</t>
    </r>
    <r>
      <rPr>
        <sz val="11"/>
        <color rgb="FF000000"/>
        <rFont val="Calibri"/>
      </rPr>
      <t xml:space="preserve">
</t>
    </r>
    <r>
      <rPr>
        <sz val="11"/>
        <color rgb="FF000000"/>
        <rFont val="Calibri"/>
      </rPr>
      <t>-  If you enable this setting, winlogon sends MPR notifications containing the user's password in the authentication info.</t>
    </r>
    <r>
      <rPr>
        <sz val="11"/>
        <color rgb="FF000000"/>
        <rFont val="Calibri"/>
      </rPr>
      <t>Note: Starting in Windows Insiders build 25216, the behavior of EnableMPRNotifications policy was changed, and the Group Policy was updated with the following text:</t>
    </r>
    <r>
      <rPr>
        <sz val="11"/>
        <color rgb="FF000000"/>
        <rFont val="Calibri"/>
      </rPr>
      <t xml:space="preserve">
</t>
    </r>
    <r>
      <rPr>
        <sz val="11"/>
        <color rgb="FF000000"/>
        <rFont val="Calibri"/>
      </rPr>
      <t>Starting in Windows Insiders build 25216, the behavior of EnableMPRNotifications policy was changed, and the Group Policy was updated with the following text:</t>
    </r>
    <r>
      <rPr>
        <sz val="11"/>
        <color rgb="FF000000"/>
        <rFont val="Calibri"/>
      </rPr>
      <t xml:space="preserve">
</t>
    </r>
    <r>
      <rPr>
        <sz val="11"/>
        <color rgb="FF000000"/>
        <rFont val="Calibri"/>
      </rPr>
      <t xml:space="preserve">- </t>
    </r>
    <r>
      <rPr>
        <b/>
        <sz val="11"/>
        <color rgb="FF000000"/>
        <rFont val="Calibri"/>
      </rPr>
      <t>Friendly name</t>
    </r>
    <r>
      <rPr>
        <sz val="11"/>
        <color rgb="FF000000"/>
        <rFont val="Calibri"/>
      </rPr>
      <t>: Configure the transmission of the user's password in the content of MPR notifications sent by winlogon</t>
    </r>
    <r>
      <rPr>
        <sz val="11"/>
        <color rgb="FF000000"/>
        <rFont val="Calibri"/>
      </rPr>
      <t xml:space="preserve">
</t>
    </r>
    <r>
      <rPr>
        <sz val="11"/>
        <color rgb="FF000000"/>
        <rFont val="Calibri"/>
      </rPr>
      <t xml:space="preserve">- </t>
    </r>
    <r>
      <rPr>
        <b/>
        <sz val="11"/>
        <color rgb="FF000000"/>
        <rFont val="Calibri"/>
      </rPr>
      <t>Description</t>
    </r>
    <r>
      <rPr>
        <sz val="11"/>
        <color rgb="FF000000"/>
        <rFont val="Calibri"/>
      </rPr>
      <t>: This policy controls whether the user's password is included in the content of MPR notifications sent by winlogon in the system.</t>
    </r>
    <r>
      <rPr>
        <sz val="11"/>
        <color rgb="FF000000"/>
        <rFont val="Calibri"/>
      </rPr>
      <t xml:space="preserve">
</t>
    </r>
    <r>
      <rPr>
        <sz val="11"/>
        <color rgb="FF000000"/>
        <rFont val="Calibri"/>
      </rPr>
      <t>- If you disable this setting or do not configure it, winlogon sends MPR notifications with empty password fields of the user's authentication info.</t>
    </r>
    <r>
      <rPr>
        <sz val="11"/>
        <color rgb="FF000000"/>
        <rFont val="Calibri"/>
      </rPr>
      <t xml:space="preserve">
</t>
    </r>
    <r>
      <rPr>
        <sz val="11"/>
        <color rgb="FF000000"/>
        <rFont val="Calibri"/>
      </rPr>
      <t>- If you enable this setting, winlogon sends MPR notifications containing the user's password in the authentication info.</t>
    </r>
  </si>
  <si>
    <t>https://learn.microsoft.com/en-us/intune/device-security/security-baselines/ref-windows-mdm-settings?pivots=mdm-24h2#windows-components--windows-logon-options-1</t>
  </si>
  <si>
    <t>https://learn.microsoft.com/en-us/windows/client-management/mdm/policy-csp-windowslogon?WT.mc_id=Portal-fx#enablemprnotifications</t>
  </si>
  <si>
    <t>./Device/Vendor/MSFT/Policy/Config/WindowsLogon/EnableMPRNotifications</t>
  </si>
  <si>
    <t>EnableMPRNotifications</t>
  </si>
  <si>
    <t>Configure the transmission of the user's password in the content of MPR notifications sent by winlogon.</t>
  </si>
  <si>
    <t>Windows Components &gt; Windows Logon Options</t>
  </si>
  <si>
    <t>EnableMPR</t>
  </si>
  <si>
    <t>WinLogon.admx</t>
  </si>
  <si>
    <t>1.8.11.2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</si>
  <si>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</si>
  <si>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</si>
  <si>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didn't sign out before the restart or shutdown.If the device is joined to Active Directory or Microsoft Entra ID, this policy only applies to Windows Update restarts. Otherwise, this will apply to both Windows Update restarts and user-initiated restarts and shutdowns.- If you don't configure this policy setting, it's enabled by default. When the policy is enabled, the user is automatically signed in and the session is automatically locked with all lock screen apps configured for that user after the device boots.After enabling this policy, you can configure its settings through the ConfigAutomaticRestartSignOn policy, which configures the mode of automatically signing in and locking the last interactive user after a restart or cold boot .- If you disable this policy setting, the device doesn't configure automatic sign in. The user's lock screen apps aren't restarted after the system restarts.</t>
    </r>
  </si>
  <si>
    <t>https://learn.microsoft.com/en-us/windows/client-management/mdm/policy-csp-windowslogon?WT.mc_id=Portal-fx#allowautomaticrestartsignon</t>
  </si>
  <si>
    <t>./Device/Vendor/MSFT/Policy/Config/WindowsLogon/AllowAutomaticRestartSignOn</t>
  </si>
  <si>
    <t>AutomaticRestartSignOn</t>
  </si>
  <si>
    <t>Sign-in and lock last interactive user automatically after a restart</t>
  </si>
  <si>
    <t>DisableAutomaticRestartSignOn</t>
  </si>
  <si>
    <t>Windows PowerShell</t>
  </si>
  <si>
    <t>1.8.12.1.1</t>
  </si>
  <si>
    <r>
      <rPr>
        <sz val="11"/>
        <rFont val="Calibri"/>
      </rPr>
      <t xml:space="preserve">Ensure </t>
    </r>
    <r>
      <rPr>
        <sz val="11"/>
        <color rgb="FF000000"/>
        <rFont val="Calibri"/>
      </rPr>
      <t>'</t>
    </r>
    <r>
      <rPr>
        <b/>
        <sz val="11"/>
        <color rgb="FF000000"/>
        <rFont val="Calibri"/>
      </rPr>
      <t>Turn on PowerShell Script Block Logging: Log script block invocation start / stop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</si>
  <si>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 xml:space="preserve">: </t>
    </r>
    <r>
      <rPr>
        <sz val="11"/>
        <color rgb="FF000000"/>
        <rFont val="Calibri"/>
      </rPr>
      <t xml:space="preserve">
</t>
    </r>
    <r>
      <rPr>
        <sz val="11"/>
        <color rgb="FF006096"/>
        <rFont val="Roboto Condensed"/>
      </rPr>
      <t>Administrative Templates\Windows Components\Windows PowerShell\Turn on PowerShell Script Block Logging: Log script block invocation start / stop events</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</si>
  <si>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If you disable this policy setting, logging of PowerShell script input is disabled.If you enable the Script Block Invocation Logging, PowerShell additionally logs events when invocation of a command, script block, function, or script starts or stops. Enabling Invocation Logging generates a high volume of event logs.</t>
    </r>
    <r>
      <rPr>
        <sz val="11"/>
        <color rgb="FF000000"/>
        <rFont val="Calibri"/>
      </rPr>
      <t>Note: This policy setting exists under both Computer Configuration and User Configuration in the Group Policy Editor. The Computer Configuration policy setting takes precedence over the User Configuration policy setting.</t>
    </r>
    <r>
      <rPr>
        <sz val="11"/>
        <color rgb="FF000000"/>
        <rFont val="Calibri"/>
      </rPr>
      <t xml:space="preserve">
</t>
    </r>
    <r>
      <rPr>
        <sz val="11"/>
        <color rgb="FF000000"/>
        <rFont val="Calibri"/>
      </rPr>
      <t>This policy setting exists under both Computer Configuration and User Configuration in the Group Policy Editor. The Computer Configuration policy setting takes precedence over the User Configuration policy setting.</t>
    </r>
  </si>
  <si>
    <t>https://learn.microsoft.com/en-us/intune/device-security/security-baselines/ref-windows-mdm-settings?pivots=mdm-24h2#windows-components--windows-powershell-1</t>
  </si>
  <si>
    <t>https://learn.microsoft.com/en-us/windows/client-management/mdm/policy-csp-windowspowershell?WT.mc_id=Portal-fx#turnonpowershellscriptblocklogging</t>
  </si>
  <si>
    <t>./Device/Vendor/MSFT/Policy/Config/WindowsPowerShell/TurnOnPowerShellScriptBlockLogging</t>
  </si>
  <si>
    <t>EnableScriptBlockLogging</t>
  </si>
  <si>
    <t>Turn on PowerShell Script Block Logging</t>
  </si>
  <si>
    <t>Windows Components &gt; Windows PowerShell</t>
  </si>
  <si>
    <t>Software\Policies\Microsoft\Windows\PowerShell\ScriptBlockLogging</t>
  </si>
  <si>
    <t>PowerShellExecutionPolicy.admx</t>
  </si>
  <si>
    <t>WinRM Client</t>
  </si>
  <si>
    <t>1.8.13.1.1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</si>
  <si>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</si>
  <si>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Client\Allow Basic authentication</t>
    </r>
  </si>
  <si>
    <t>https://learn.microsoft.com/en-us/intune/device-security/security-baselines/ref-windows-mdm-settings?pivots=mdm-24h2#windows-components--windows-remote-management-winrm--winrm-client-1</t>
  </si>
  <si>
    <t>https://learn.microsoft.com/en-us/windows/client-management/mdm/policy-csp-remotemanagement?WT.mc_id=Portal-fx#allowbasicauthentication-service</t>
  </si>
  <si>
    <t>1.8.13.1.2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</si>
  <si>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</si>
  <si>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Client\Allow unencrypted traffic</t>
    </r>
  </si>
  <si>
    <t>https://learn.microsoft.com/en-us/windows/client-management/mdm/policy-csp-remotemanagement?WT.mc_id=Portal-fx#allowunencryptedtraffic-client</t>
  </si>
  <si>
    <t>1.8.13.1.3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</si>
  <si>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</si>
  <si>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</si>
  <si>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  If you enable this policy setting, the WinRM client doesn't use Digest authentication.</t>
    </r>
    <r>
      <rPr>
        <sz val="11"/>
        <color rgb="FF000000"/>
        <rFont val="Calibri"/>
      </rPr>
      <t xml:space="preserve">
</t>
    </r>
    <r>
      <rPr>
        <sz val="11"/>
        <color rgb="FF000000"/>
        <rFont val="Calibri"/>
      </rPr>
      <t>-  If you disable or don't configure this policy setting, the WinRM client uses Digest authentication.</t>
    </r>
  </si>
  <si>
    <t>https://learn.microsoft.com/en-us/windows/client-management/mdm/policy-csp-remotemanagement?WT.mc_id=Portal-fx#disallowdigestauthentication</t>
  </si>
  <si>
    <t>./Device/Vendor/MSFT/Policy/Config/RemoteManagement/DisallowDigestAuthentication</t>
  </si>
  <si>
    <t>DisallowDigest</t>
  </si>
  <si>
    <t>Disallow Digest authentication</t>
  </si>
  <si>
    <t>Windows Components &gt; Windows Remote Management (WinRM) &gt; WinRM Client</t>
  </si>
  <si>
    <t>Software\Policies\Microsoft\Windows\WinRM\Client</t>
  </si>
  <si>
    <t>AllowDigest</t>
  </si>
  <si>
    <t>WindowsRemoteManagement.admx</t>
  </si>
  <si>
    <t>WinRM Service</t>
  </si>
  <si>
    <t>1.8.13.2.1</t>
  </si>
  <si>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Service\Allow Basic authentication</t>
    </r>
  </si>
  <si>
    <t>https://learn.microsoft.com/en-us/intune/device-security/security-baselines/ref-windows-mdm-settings?pivots=mdm-24h2#windows-components--windows-remote-management-winrm--winrm-service-1</t>
  </si>
  <si>
    <t>1.8.13.2.2</t>
  </si>
  <si>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Service\Allow unencrypted traffic</t>
    </r>
  </si>
  <si>
    <t>https://learn.microsoft.com/en-us/windows/client-management/mdm/policy-csp-remotemanagement?WT.mc_id=Portal-fx#allowunencryptedtraffic-service</t>
  </si>
  <si>
    <t>1.8.13.2.3</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</si>
  <si>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</si>
  <si>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</si>
  <si>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won't allow RunAs credentials to be stored for any plug-ins.-  If you enable this policy setting, the WinRM service won't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  If you disable or don't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</si>
  <si>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https://learn.microsoft.com/en-us/windows/client-management/mdm/policy-csp-remotemanagement?WT.mc_id=Portal-fx#disallowstoringofrunascredentials</t>
  </si>
  <si>
    <t>./Device/Vendor/MSFT/Policy/Config/RemoteManagement/DisallowStoringOfRunAsCredentials</t>
  </si>
  <si>
    <t>DisableRunAs</t>
  </si>
  <si>
    <t>Disallow WinRM from storing RunAs credentials</t>
  </si>
  <si>
    <t>Windows Components &gt; Windows Remote Management (WinRM) &gt; WinRM Service</t>
  </si>
  <si>
    <t>Software\Policies\Microsoft\Windows\WinRM\Service</t>
  </si>
  <si>
    <t>Auditing</t>
  </si>
  <si>
    <t>2.1</t>
  </si>
  <si>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</si>
  <si>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Auditing\Account Logon Audit Credential Validation</t>
    </r>
  </si>
  <si>
    <r>
      <rPr>
        <sz val="11"/>
        <color rgb="FF000000"/>
        <rFont val="Calibri"/>
      </rPr>
      <t>This policy setting allows you to audit events generated by validation tests on user account logon credentials. Events in this subcategory occur only on the computer that's authoritative for those credentials. For domain accounts, the domain controller is authoritative. For local accounts, the local computer is authoritative.Volume: High on domain controllers.</t>
    </r>
  </si>
  <si>
    <t>https://learn.microsoft.com/en-us/intune/device-security/security-baselines/ref-windows-mdm-settings?pivots=mdm-24h2#auditing-1</t>
  </si>
  <si>
    <t>https://learn.microsoft.com/en-us/windows/client-management/mdm/policy-csp-Audit?WT.mc_id=Portal-fx#accountlogon_auditcredentialvalidation</t>
  </si>
  <si>
    <t>./Device/Vendor/MSFT/Policy/Config/Audit/AccountLogon_AuditCredentialValidation</t>
  </si>
  <si>
    <t>Audit Credential Validation</t>
  </si>
  <si>
    <t>Windows Settings &gt; Security Settings &gt; Advanced Audit Policy Configuration &gt; System Audit Policies &gt; Account Logon</t>
  </si>
  <si>
    <t>2.2</t>
  </si>
  <si>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</si>
  <si>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Auditing\Account Logon Logoff Audit Account Lockout</t>
    </r>
  </si>
  <si>
    <r>
      <rPr>
        <sz val="11"/>
        <color rgb="FF000000"/>
        <rFont val="Calibri"/>
      </rPr>
      <t>This policy setting allows you to audit events generated by a failed attempt to log on to an account that's locked out. If you configure this policy setting, an audit event is generated when an account can't log on to a computer because the account is locked out. Success audits record successful attempts and Failure audits record unsuccessful attempts. Logon events are essential for understanding user activity and to detect potential attacks.Volume: Low.</t>
    </r>
  </si>
  <si>
    <t>https://learn.microsoft.com/en-us/windows/client-management/mdm/policy-csp-Audit?WT.mc_id=Portal-fx#accountlogonlogoff_auditaccountlockout</t>
  </si>
  <si>
    <t>./Device/Vendor/MSFT/Policy/Config/Audit/AccountLogonLogoff_AuditAccountLockout</t>
  </si>
  <si>
    <t>Audit Account Lockout</t>
  </si>
  <si>
    <t>Windows Settings &gt; Security Settings &gt; Advanced Audit Policy Configuration &gt; System Audit Policies &gt; Logon/Logoff</t>
  </si>
  <si>
    <t>2.3</t>
  </si>
  <si>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</si>
  <si>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Auditing\Account Logon Logoff Audit Group Membership</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</si>
  <si>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logged-on to. For a network logon, such as accessing a shared folder on the network, the security audit event is generated on the computer hosting the resource. When this setting is configured, one or more security audit events are generated for each successful logon. You must also enable the Audit Logon setting under Advanced Audit Policy Configuration\System Audit Policies\Logon/Logoff. Multiple events are generated if the group membership information can't fit in a single security audit event.Volume: Low on a client computer. Medium on a domain controller or a network server.</t>
    </r>
  </si>
  <si>
    <t>https://learn.microsoft.com/en-us/windows/client-management/mdm/policy-csp-Audit?WT.mc_id=Portal-fx#accountlogonlogoff_auditgroupmembership</t>
  </si>
  <si>
    <t>./Device/Vendor/MSFT/Policy/Config/Audit/AccountLogonLogoff_AuditGroupMembership</t>
  </si>
  <si>
    <t>Audit Group Membership</t>
  </si>
  <si>
    <t>2.4</t>
  </si>
  <si>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</si>
  <si>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Auditing\Account Logon Logoff Audit Logon</t>
    </r>
  </si>
  <si>
    <r>
      <rPr>
        <sz val="11"/>
        <color rgb="FF000000"/>
        <rFont val="Calibri"/>
      </rPr>
      <t>This policy setting allows you to audit events generated by user account logon attempts on the computer. Events in this subcategory are related to the creation of logon sessions and occur on the computer which was accessed. For an interactive logon, the security audit event is generated on the computer that the user account logged-on to. For a network logon, such as accessing a shared folder on the network, the security audit event is generated on the computer hosting the resource. The following events are included: Successful logon attempts. Failed logon attempts. Logon attempts using explicit credentials. This event is generated when a process attempts to log on an account by explicitly specifying that account's credentials. This most commonly occurs in batch logon configurations, such as scheduled tasks or when using the RUNAS command. Security identifiers (SIDs) were filtered and not allowed to log on.Volume: Low on a client computer. Medium on a domain controller or a network server.</t>
    </r>
  </si>
  <si>
    <t>https://learn.microsoft.com/en-us/windows/client-management/mdm/policy-csp-Audit?WT.mc_id=Portal-fx#accountlogonlogoff_auditlogon</t>
  </si>
  <si>
    <t>./Device/Vendor/MSFT/Policy/Config/Audit/AccountLogonLogoff_AuditLogon</t>
  </si>
  <si>
    <t>Audit Logon</t>
  </si>
  <si>
    <t>2.5</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</si>
  <si>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</si>
  <si>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Authentication Policy Change</t>
    </r>
  </si>
  <si>
    <r>
      <rPr>
        <sz val="11"/>
        <color rgb="FF000000"/>
        <rFont val="Calibri"/>
      </rPr>
      <t>This policy setting allows you to audit events generated by changes to the authentication policy such as the following: Creation of forest and domain trusts. Modification of forest and domain trusts. Removal of forest and domain trusts. Changes to Kerberos policy under Computer Configuration\Windows Settings\Security Settings\Account Policies\Kerberos Policy. Granting of any of the following user rights to a user or group: Access This Computer From the Network. Allow Logon Locally. Allow Logon Through Terminal Services. Logon as a Batch Job. Logon a Service. Namespace collision. For example, when a new trust has the same name as an existing namespace name.-  If you configure this policy setting, an audit event is generated when an attempt to change the authentication policy is made.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the authentication policy is changed.</t>
    </r>
    <r>
      <rPr>
        <sz val="11"/>
        <color rgb="FF000000"/>
        <rFont val="Calibri"/>
      </rPr>
      <t>Note: The security audit event is logged when the group policy is applied. It doesn't occur at the time when the settings are modified.</t>
    </r>
    <r>
      <rPr>
        <sz val="11"/>
        <color rgb="FF000000"/>
        <rFont val="Calibri"/>
      </rPr>
      <t xml:space="preserve">
</t>
    </r>
    <r>
      <rPr>
        <sz val="11"/>
        <color rgb="FF000000"/>
        <rFont val="Calibri"/>
      </rPr>
      <t>The security audit event is logged when the group policy is applied. It doesn't occur at the time when the settings are modified.Volume: Low.</t>
    </r>
  </si>
  <si>
    <t>https://learn.microsoft.com/en-us/windows/client-management/mdm/policy-csp-Audit?WT.mc_id=Portal-fx#policychange_auditauthenticationpolicychange</t>
  </si>
  <si>
    <t>./Device/Vendor/MSFT/Policy/Config/Audit/PolicyChange_AuditAuthenticationPolicyChange</t>
  </si>
  <si>
    <t>Audit Authentication Policy Change</t>
  </si>
  <si>
    <t>Windows Settings &gt; Security Settings &gt; Advanced Audit Policy Configuration &gt; System Audit Policies &gt; Policy Change</t>
  </si>
  <si>
    <t>2.6</t>
  </si>
  <si>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</si>
  <si>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Changes to Audit Policy</t>
    </r>
  </si>
  <si>
    <r>
      <rPr>
        <sz val="11"/>
        <color rgb="FF000000"/>
        <rFont val="Calibri"/>
      </rPr>
      <t>This policy setting allows you to audit changes in the security audit policy settings such as the following: Settings permissions and audit settings on the Audit Policy object. Changes to the system audit policy. Registration of security event sources. De-registration of security event sources. Changes to the per-user audit settings. Changes to the value of CrashOnAuditFail. Changes to the system access control list on a file system or registry object. Changes to the Special Groups list.</t>
    </r>
    <r>
      <rPr>
        <sz val="11"/>
        <color rgb="FF000000"/>
        <rFont val="Calibri"/>
      </rPr>
      <t>Note: System access control list (SACL) change auditing is done when a SACL for an object changes and the policy change category is enabled. Discretionary access control list (DACL) and ownership changes are audited when object access auditing is enabled and the object's SACL is configured for auditing of DACL/Owner change.</t>
    </r>
    <r>
      <rPr>
        <sz val="11"/>
        <color rgb="FF000000"/>
        <rFont val="Calibri"/>
      </rPr>
      <t xml:space="preserve">
</t>
    </r>
    <r>
      <rPr>
        <sz val="11"/>
        <color rgb="FF000000"/>
        <rFont val="Calibri"/>
      </rPr>
      <t>System access control list (SACL) change auditing is done when a SACL for an object changes and the policy change category is enabled. Discretionary access control list (DACL) and ownership changes are audited when object access auditing is enabled and the object's SACL is configured for auditing of DACL/Owner change.Volume: Low.</t>
    </r>
  </si>
  <si>
    <t>https://learn.microsoft.com/en-us/windows/client-management/mdm/policy-csp-Audit?WT.mc_id=Portal-fx#policychange_auditpolicychange</t>
  </si>
  <si>
    <t>./Device/Vendor/MSFT/Policy/Config/Audit/PolicyChange_AuditPolicyChange</t>
  </si>
  <si>
    <t>Audit Policy Change</t>
  </si>
  <si>
    <t>2.7</t>
  </si>
  <si>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</si>
  <si>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Auditing\Audit File Share Access</t>
    </r>
  </si>
  <si>
    <r>
      <rPr>
        <sz val="11"/>
        <color rgb="FF000000"/>
        <rFont val="Calibri"/>
      </rPr>
      <t>This policy setting allows you to audit attempts to access a shared folder.-  If you configure this policy setting, an audit event is generated when an attempt is made to access a shared folder.</t>
    </r>
    <r>
      <rPr>
        <sz val="11"/>
        <color rgb="FF000000"/>
        <rFont val="Calibri"/>
      </rPr>
      <t xml:space="preserve">
</t>
    </r>
    <r>
      <rPr>
        <sz val="11"/>
        <color rgb="FF000000"/>
        <rFont val="Calibri"/>
      </rPr>
      <t>-  If this policy setting is defined, the administrator can specify whether to audit only successes, only failures, or both successes and failures.</t>
    </r>
    <r>
      <rPr>
        <sz val="11"/>
        <color rgb="FF000000"/>
        <rFont val="Calibri"/>
      </rPr>
      <t>Note: There are no system access control lists (SACLs) for shared folders.</t>
    </r>
    <r>
      <rPr>
        <sz val="11"/>
        <color rgb="FF000000"/>
        <rFont val="Calibri"/>
      </rPr>
      <t xml:space="preserve">
</t>
    </r>
    <r>
      <rPr>
        <sz val="11"/>
        <color rgb="FF000000"/>
        <rFont val="Calibri"/>
      </rPr>
      <t>There are no system access control lists (SACLs) for shared folders.- If this policy setting is enabled, access to all shared folders on the system is audited.Volume: High on a file server or domain controller because of SYSVOL network access required by Group Policy.</t>
    </r>
  </si>
  <si>
    <t>https://learn.microsoft.com/en-us/windows/client-management/mdm/policy-csp-Audit?WT.mc_id=Portal-fx#objectaccess_auditfileshare</t>
  </si>
  <si>
    <t>./Device/Vendor/MSFT/Policy/Config/Audit/ObjectAccess_AuditFileShare</t>
  </si>
  <si>
    <t>Audit File Share</t>
  </si>
  <si>
    <t>Windows Settings &gt; Security Settings &gt; Advanced Audit Policy Configuration &gt; System Audit Policies &gt; Object Access</t>
  </si>
  <si>
    <t>2.8</t>
  </si>
  <si>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</si>
  <si>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Auditing\Audit Other Logon Logoff Events</t>
    </r>
  </si>
  <si>
    <r>
      <rPr>
        <sz val="11"/>
        <color rgb="FF000000"/>
        <rFont val="Calibri"/>
      </rPr>
      <t>This policy setting allows you to audit other logon/logoff-related events that aren't covered in the "Logon/Logoff" policy setting such as the following: Terminal Services session disconnections. New Terminal Services sessions. Locking and unlocking a workstation. Invoking a screen saver. Dismissal of a screen saver. Detection of a Kerberos replay attack, in which a Kerberos request was received twice with identical information. This condition could be caused by network misconfiguration. Access to a wireless network granted to a user or computer account. Access to a wired 802.1x network granted to a user or computer account.Volume: Low.</t>
    </r>
  </si>
  <si>
    <t>https://learn.microsoft.com/en-us/windows/client-management/mdm/policy-csp-Audit?WT.mc_id=Portal-fx#accountlogonlogoff_auditotherlogonlogoffevents</t>
  </si>
  <si>
    <t>./Device/Vendor/MSFT/Policy/Config/Audit/AccountLogonLogoff_AuditOtherLogonLogoffEvents</t>
  </si>
  <si>
    <t>Audit Other Logon Logoff Events</t>
  </si>
  <si>
    <t>2.9</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</si>
  <si>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</si>
  <si>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Security Group Management</t>
    </r>
  </si>
  <si>
    <r>
      <rPr>
        <sz val="11"/>
        <color rgb="FF000000"/>
        <rFont val="Calibri"/>
      </rPr>
      <t>This policy setting allows you to audit events generated by changes to security groups such as the following: Security group is created, changed, or deleted. Member is added or removed from a security group. Group type is changed.-  If you configure this policy setting, an audit event is generated when an attempt to change a security group is made.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 security group changes.Volume: Low.</t>
    </r>
  </si>
  <si>
    <t>https://learn.microsoft.com/en-us/windows/client-management/mdm/policy-csp-Audit?WT.mc_id=Portal-fx#accountmanagement_auditsecuritygroupmanagement</t>
  </si>
  <si>
    <t>./Device/Vendor/MSFT/Policy/Config/Audit/AccountManagement_AuditSecurityGroupManagement</t>
  </si>
  <si>
    <t>Audit Security Group Management</t>
  </si>
  <si>
    <t>Windows Settings &gt; Security Settings &gt; Advanced Audit Policy Configuration &gt; System Audit Policies &gt; Account Management</t>
  </si>
  <si>
    <t>2.10</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</si>
  <si>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</si>
  <si>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Security System Extension</t>
    </r>
  </si>
  <si>
    <r>
      <rPr>
        <sz val="11"/>
        <color rgb="FF000000"/>
        <rFont val="Calibri"/>
      </rPr>
      <t>This policy setting allows you to audit events related to security system extensions or services such as the following: A security system extension, such as an authentication, notification, or security package is loaded and is registered with the Local Security Authority (LSA). It's used to authenticate logon attempts, submit logon requests, and any account or password changes. Examples of security system extensions are Kerberos and NTLM. A service is installed and registered with the Service Control Manager. The audit log contains information about the service name, binary, type, start type, and service account.-  If you configure this policy setting, an audit event is generated when an attempt is made to load a security system extension.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an attempt is made to load a security system extension.Volume: Low. Security system extension events are generated more often on a domain controller than on client computers or member servers.</t>
    </r>
  </si>
  <si>
    <t>https://learn.microsoft.com/en-us/windows/client-management/mdm/policy-csp-Audit?WT.mc_id=Portal-fx#system_auditsecuritysystemextension</t>
  </si>
  <si>
    <t>./Device/Vendor/MSFT/Policy/Config/Audit/System_AuditSecuritySystemExtension</t>
  </si>
  <si>
    <t>Audit Security System Extension</t>
  </si>
  <si>
    <t>Windows Settings &gt; Security Settings &gt; Advanced Audit Policy Configuration &gt; System Audit Policies &gt; System</t>
  </si>
  <si>
    <t>2.11</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</si>
  <si>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</si>
  <si>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Auditing\Audit Special Logon</t>
    </r>
  </si>
  <si>
    <r>
      <rPr>
        <sz val="11"/>
        <color rgb="FF000000"/>
        <rFont val="Calibri"/>
      </rPr>
      <t>This policy setting allows you to audit events generated by special logons such as the following: The use of a special logon, which is a logon that has administrator-equivalent privileges and can be used to elevate a process to a higher level. A logon by a member of a Special Group. Special Groups enable you to audit events generated when a member of a certain group has logged-on to your network. You can configure a list of group security identifiers (SIDs) in the registry. If any of those SIDs are added to a token during logon and the subcategory is enabled, an event is logged.Volume: Low.</t>
    </r>
  </si>
  <si>
    <t>https://learn.microsoft.com/en-us/windows/client-management/mdm/policy-csp-Audit?WT.mc_id=Portal-fx#accountlogonlogoff_auditspeciallogon</t>
  </si>
  <si>
    <t>./Device/Vendor/MSFT/Policy/Config/Audit/AccountLogonLogoff_AuditSpecialLogon</t>
  </si>
  <si>
    <t>Audit Special Logon</t>
  </si>
  <si>
    <t>2.12</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</si>
  <si>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</si>
  <si>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Auditing\Audit User Account Management</t>
    </r>
  </si>
  <si>
    <r>
      <rPr>
        <sz val="11"/>
        <color rgb="FF000000"/>
        <rFont val="Calibri"/>
      </rPr>
      <t>This policy setting allows you to audit changes to user accounts. Events include the following: A user account is created, changed, deleted; renamed, disabled, enabled, locked out, or unlocked. A user account's password is set or changed. A security identifier (SID) is added to the SID History of a user account. The Directory Services Restore Mode password is configured. Permissions on administrative user accounts are changed. Credential Manager credentials are backed up or restored.-  If you configure this policy setting, an audit event is generated when an attempt to change a user account is made.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 user account changes.Volume: Low.</t>
    </r>
  </si>
  <si>
    <t>https://learn.microsoft.com/en-us/windows/client-management/mdm/policy-csp-Audit?WT.mc_id=Portal-fx#accountmanagement_audituseraccountmanagement</t>
  </si>
  <si>
    <t>./Device/Vendor/MSFT/Policy/Config/Audit/AccountManagement_AuditUserAccountManagement</t>
  </si>
  <si>
    <t>Audit User Account Management</t>
  </si>
  <si>
    <t>2.13</t>
  </si>
  <si>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</si>
  <si>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Auditing\Detailed Tracking Audit PNP Activity</t>
    </r>
  </si>
  <si>
    <r>
      <rPr>
        <sz val="11"/>
        <color rgb="FF000000"/>
        <rFont val="Calibri"/>
      </rPr>
      <t>This policy setting allows you to audit when plug and play detects an external device.-  If you configure this policy setting, an audit event is generated whenever plug and play detects an external device. Only Success audits are recorded for this category.</t>
    </r>
    <r>
      <rPr>
        <sz val="11"/>
        <color rgb="FF000000"/>
        <rFont val="Calibri"/>
      </rPr>
      <t xml:space="preserve">
</t>
    </r>
    <r>
      <rPr>
        <sz val="11"/>
        <color rgb="FF000000"/>
        <rFont val="Calibri"/>
      </rPr>
      <t>-  If you don't configure this policy setting, no audit event is generated when an external device is detected by plug and play.Volume: Low.</t>
    </r>
  </si>
  <si>
    <t>https://learn.microsoft.com/en-us/windows/client-management/mdm/policy-csp-Audit?WT.mc_id=Portal-fx#detailedtracking_auditpnpactivity</t>
  </si>
  <si>
    <t>./Device/Vendor/MSFT/Policy/Config/Audit/DetailedTracking_AuditPNPActivity</t>
  </si>
  <si>
    <t>Audit PNP Activity</t>
  </si>
  <si>
    <t>Windows Settings &gt; Security Settings &gt; Advanced Audit Policy Configuration &gt; System Audit Policies &gt; Detailed Tracking</t>
  </si>
  <si>
    <t>2.14</t>
  </si>
  <si>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</si>
  <si>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Auditing\Detailed Tracking Audit Process Creation</t>
    </r>
  </si>
  <si>
    <r>
      <rPr>
        <sz val="11"/>
        <color rgb="FF000000"/>
        <rFont val="Calibri"/>
      </rPr>
      <t>This policy setting allows you to audit events generated when a process is created or starts. The name of the application or user that created the process is also audited.-  If you configure this policy setting, an audit event is generated when a process is created.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 process is created.Volume: Depends on how the computer is used.</t>
    </r>
  </si>
  <si>
    <t>https://learn.microsoft.com/en-us/windows/client-management/mdm/policy-csp-Audit?WT.mc_id=Portal-fx#detailedtracking_auditprocesscreation</t>
  </si>
  <si>
    <t>./Device/Vendor/MSFT/Policy/Config/Audit/DetailedTracking_AuditProcessCreation</t>
  </si>
  <si>
    <t>Audit Process Creation</t>
  </si>
  <si>
    <t>2.15</t>
  </si>
  <si>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</si>
  <si>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Auditing\Object Access Audit Detailed File Share</t>
    </r>
  </si>
  <si>
    <r>
      <rPr>
        <sz val="11"/>
        <color rgb="FF000000"/>
        <rFont val="Calibri"/>
      </rPr>
      <t>This policy setting allows you to audit attempts to access files and folders on a shared folder. The Detailed File Share setting logs an event every time a file or folder is accessed, whereas the File Share setting only records one event for any connection established between a client and file share. Detailed File Share audit events include detailed information about the permissions or other criteria used to grant or deny access.- If you configure this policy setting, an audit event is generated when an attempt is made to access a file or folder on a share. The administrator can specify whether to audit only successes, only failures, or both successes and failures.</t>
    </r>
    <r>
      <rPr>
        <sz val="11"/>
        <color rgb="FF000000"/>
        <rFont val="Calibri"/>
      </rPr>
      <t>Note: There are no system access control lists (SACLs) for shared folders.</t>
    </r>
    <r>
      <rPr>
        <sz val="11"/>
        <color rgb="FF000000"/>
        <rFont val="Calibri"/>
      </rPr>
      <t xml:space="preserve">
</t>
    </r>
    <r>
      <rPr>
        <sz val="11"/>
        <color rgb="FF000000"/>
        <rFont val="Calibri"/>
      </rPr>
      <t>There are no system access control lists (SACLs) for shared folders.- If this policy setting is enabled, access to all shared files and folders on the system is audited.Volume: High on a file server or domain controller because of SYSVOL network access required by Group Policy.</t>
    </r>
  </si>
  <si>
    <t>https://learn.microsoft.com/en-us/windows/client-management/mdm/policy-csp-Audit?WT.mc_id=Portal-fx#objectaccess_auditdetailedfileshare</t>
  </si>
  <si>
    <t>./Device/Vendor/MSFT/Policy/Config/Audit/ObjectAccess_AuditDetailedFileShare</t>
  </si>
  <si>
    <t>Audit Detailed File Share</t>
  </si>
  <si>
    <t>2.16</t>
  </si>
  <si>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</si>
  <si>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Auditing\Object Access Audit Other Object Access Events</t>
    </r>
  </si>
  <si>
    <r>
      <rPr>
        <sz val="11"/>
        <color rgb="FF000000"/>
        <rFont val="Calibri"/>
      </rPr>
      <t>This policy setting allows you to audit events generated by the management of task scheduler jobs or COM+ objects. For scheduler jobs, the following are audited: Job created. Job deleted. Job enabled. Job disabled. Job updated. For COM+ objects, the following are audited: Catalog object added. Catalog object updated. Catalog object deleted.Volume: Low.</t>
    </r>
  </si>
  <si>
    <t>https://learn.microsoft.com/en-us/windows/client-management/mdm/policy-csp-Audit?WT.mc_id=Portal-fx#objectaccess_auditotherobjectaccessevents</t>
  </si>
  <si>
    <t>./Device/Vendor/MSFT/Policy/Config/Audit/ObjectAccess_AuditOtherObjectAccessEvents</t>
  </si>
  <si>
    <t>Audit Other Object Access Events</t>
  </si>
  <si>
    <t>2.17</t>
  </si>
  <si>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</si>
  <si>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Auditing\Object Access Audit Removable Storage</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</si>
  <si>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when an account accesses a file system object on a removable storage.</t>
    </r>
  </si>
  <si>
    <t>https://learn.microsoft.com/en-us/windows/client-management/mdm/policy-csp-Audit?WT.mc_id=Portal-fx#objectaccess_auditremovablestorage</t>
  </si>
  <si>
    <t>./Device/Vendor/MSFT/Policy/Config/Audit/ObjectAccess_AuditRemovableStorage</t>
  </si>
  <si>
    <t>Audit Removable Storage</t>
  </si>
  <si>
    <t>2.18</t>
  </si>
  <si>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</si>
  <si>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Auditing\Policy Change Audit MPSSVC Rule Level Policy Change</t>
    </r>
  </si>
  <si>
    <r>
      <rPr>
        <sz val="11"/>
        <color rgb="FF000000"/>
        <rFont val="Calibri"/>
      </rPr>
      <t>This policy setting allows you to audit events generated by changes in policy rules used by the Microsoft Protection Service (MPSSVC). This service is used by Windows Firewall. Events include the following: Reporting of active policies when Windows Firewall service starts. Changes to Windows Firewall rules. Changes to Windows Firewall exception list. Changes to Windows Firewall settings. Rules ignored or not applied by Windows Firewall Service. Changes to Windows Firewall Group Policy settings.-  If you configure this policy setting, an audit event is generated by attempts to change policy rules used by the MPSSVC. Success audits record successful attempts and Failure audits record unsuccessful attempts.</t>
    </r>
    <r>
      <rPr>
        <sz val="11"/>
        <color rgb="FF000000"/>
        <rFont val="Calibri"/>
      </rPr>
      <t xml:space="preserve">
</t>
    </r>
    <r>
      <rPr>
        <sz val="11"/>
        <color rgb="FF000000"/>
        <rFont val="Calibri"/>
      </rPr>
      <t>-  If you don't configure this policy setting, no audit event is generated by changes in policy rules used by the MPSSVC.Volume: Low.</t>
    </r>
  </si>
  <si>
    <t>https://learn.microsoft.com/en-us/windows/client-management/mdm/policy-csp-Audit?WT.mc_id=Portal-fx#policychange_auditmpssvcrulelevelpolicychange</t>
  </si>
  <si>
    <t>./Device/Vendor/MSFT/Policy/Config/Audit/PolicyChange_AuditMPSSVCRuleLevelPolicyChange</t>
  </si>
  <si>
    <t>Audit MPSSVC Rule Level Policy Change</t>
  </si>
  <si>
    <t>2.19</t>
  </si>
  <si>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</si>
  <si>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Auditing\Policy Change Audit Other Policy Change Events</t>
    </r>
  </si>
  <si>
    <r>
      <rPr>
        <sz val="11"/>
        <color rgb="FF000000"/>
        <rFont val="Calibri"/>
      </rPr>
      <t>This policy setting allows you to audit events generated by other security policy changes that aren't audited in the policy change category, such as the following: Trusted Platform Module (TPM) configuration changes. Kernel-mode cryptographic self tests. Cryptographic provider operations. Cryptographic context operations or modifications. Applied Central Access Policies (CAPs) changes. Boot Configuration Data (BCD) modifications.Volume: Low.</t>
    </r>
  </si>
  <si>
    <t>https://learn.microsoft.com/en-us/windows/client-management/mdm/policy-csp-Audit?WT.mc_id=Portal-fx#policychange_auditotherpolicychangeevents</t>
  </si>
  <si>
    <t>./Device/Vendor/MSFT/Policy/Config/Audit/PolicyChange_AuditOtherPolicyChangeEvents</t>
  </si>
  <si>
    <t>Audit Other Policy Change Events</t>
  </si>
  <si>
    <t>2.20</t>
  </si>
  <si>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</si>
  <si>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Auditing\Privilege Use Audit Sensitive Privilege Use</t>
    </r>
  </si>
  <si>
    <r>
      <rPr>
        <sz val="11"/>
        <color rgb="FF000000"/>
        <rFont val="Calibri"/>
      </rPr>
      <t>This policy setting allows you to audit events generated when sensitive privileges (user rights) are used such as the following: A privileged service is called. One of the following privileges are called: Act as part of the operating system. Back up files and directories. Create a token object. Debug programs. Enable computer and user accounts to be trusted for delegation. Generate security audits. Impersonate a client after authentication. Load and unload device drivers. Manage auditing and security log. Modify firmware environment values. Replace a process-level token. Restore files and directories. Take ownership of files or other objects.-  If you configure this policy setting, an audit event is generated when sensitive privilege requests are made. Success audits record successful requests and Failure audits record unsuccessful requests.</t>
    </r>
    <r>
      <rPr>
        <sz val="11"/>
        <color rgb="FF000000"/>
        <rFont val="Calibri"/>
      </rPr>
      <t xml:space="preserve">
</t>
    </r>
    <r>
      <rPr>
        <sz val="11"/>
        <color rgb="FF000000"/>
        <rFont val="Calibri"/>
      </rPr>
      <t>-  If you don't configure this policy setting, no audit event is generated when sensitive privilege requests are made.Volume: High.</t>
    </r>
  </si>
  <si>
    <t>https://learn.microsoft.com/en-us/windows/client-management/mdm/policy-csp-Audit?WT.mc_id=Portal-fx#privilegeuse_auditsensitiveprivilegeuse</t>
  </si>
  <si>
    <t>./Device/Vendor/MSFT/Policy/Config/Audit/PrivilegeUse_AuditSensitivePrivilegeUse</t>
  </si>
  <si>
    <t>Audit Sensitive Privilege Use</t>
  </si>
  <si>
    <t>Windows Settings &gt; Security Settings &gt; Advanced Audit Policy Configuration &gt; System Audit Policies &gt; Privilege Use</t>
  </si>
  <si>
    <t>2.21</t>
  </si>
  <si>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</si>
  <si>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Auditing\System Audit Other System Events</t>
    </r>
  </si>
  <si>
    <r>
      <rPr>
        <sz val="11"/>
        <color rgb="FF000000"/>
        <rFont val="Calibri"/>
      </rPr>
      <t>This policy setting allows you to audit any of the following events: Startup and shutdown of the Windows Firewall service and driver. Security policy processing by the Windows Firewall Service. Cryptography key file and migration operations.Volume: Low.</t>
    </r>
  </si>
  <si>
    <t>https://learn.microsoft.com/en-us/windows/client-management/mdm/policy-csp-Audit?WT.mc_id=Portal-fx#system_auditothersystemevents</t>
  </si>
  <si>
    <t>./Device/Vendor/MSFT/Policy/Config/Audit/System_AuditOtherSystemEvents</t>
  </si>
  <si>
    <t>Audit Other System Events</t>
  </si>
  <si>
    <t>2.22</t>
  </si>
  <si>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</si>
  <si>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Auditing\System Audit Security State Change</t>
    </r>
  </si>
  <si>
    <r>
      <rPr>
        <sz val="11"/>
        <color rgb="FF000000"/>
        <rFont val="Calibri"/>
      </rPr>
      <t>This policy setting allows you to audit events generated by changes in the security state of the computer such as the following events: Startup and shutdown of the computer. Change of system time. Recovering the system from CrashOnAuditFail, which is logged after a system restarts when the security event log is full and the CrashOnAuditFail registry entry is configured.Volume: Low.</t>
    </r>
  </si>
  <si>
    <t>https://learn.microsoft.com/en-us/windows/client-management/mdm/policy-csp-Audit?WT.mc_id=Portal-fx#system_auditsecuritystatechange</t>
  </si>
  <si>
    <t>./Device/Vendor/MSFT/Policy/Config/Audit/System_AuditSecurityStateChange</t>
  </si>
  <si>
    <t>Audit Security State Change</t>
  </si>
  <si>
    <t>2.23</t>
  </si>
  <si>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Failure</t>
    </r>
    <r>
      <rPr>
        <sz val="11"/>
        <color rgb="FF000000"/>
        <rFont val="Calibri"/>
      </rPr>
      <t>'</t>
    </r>
  </si>
  <si>
    <r>
      <rPr>
        <sz val="11"/>
        <color rgb="FF000000"/>
        <rFont val="Calibri"/>
      </rPr>
      <t xml:space="preserve">Set the following Settings Catalog path to </t>
    </r>
    <r>
      <rPr>
        <b/>
        <sz val="11"/>
        <color rgb="FF000000"/>
        <rFont val="Calibri"/>
      </rPr>
      <t>Success+ Failure</t>
    </r>
    <r>
      <rPr>
        <sz val="11"/>
        <color rgb="FF000000"/>
        <rFont val="Calibri"/>
      </rPr>
      <t xml:space="preserve">: </t>
    </r>
    <r>
      <rPr>
        <sz val="11"/>
        <color rgb="FF000000"/>
        <rFont val="Calibri"/>
      </rPr>
      <t xml:space="preserve">
</t>
    </r>
    <r>
      <rPr>
        <sz val="11"/>
        <color rgb="FF006096"/>
        <rFont val="Roboto Condensed"/>
      </rPr>
      <t>Auditing\System Audit System Integrity</t>
    </r>
  </si>
  <si>
    <r>
      <rPr>
        <sz val="11"/>
        <color rgb="FF000000"/>
        <rFont val="Calibri"/>
      </rPr>
      <t>This policy setting allows you to audit events that violate the integrity of the security subsystem, such as the following: Events that couldn't be written to the event log because of a problem with the auditing system. A process that uses a local procedure call (LPC) port that isn't valid in an attempt to impersonate a client by replying, reading, or writing to or from a client address space. The detection of a Remote Procedure Call (RPC) that compromises system integrity. The detection of a hash value of an executable file that isn't valid as determined by Code Integrity. Cryptographic operations that compromise system integrity.Volume: Low.</t>
    </r>
  </si>
  <si>
    <t>https://learn.microsoft.com/en-us/windows/client-management/mdm/policy-csp-Audit?WT.mc_id=Portal-fx#system_auditsystemintegrity</t>
  </si>
  <si>
    <t>./Device/Vendor/MSFT/Policy/Config/Audit/System_AuditSystemIntegrity</t>
  </si>
  <si>
    <t>Audit System Integrity</t>
  </si>
  <si>
    <t>Browser</t>
  </si>
  <si>
    <t>3.1</t>
  </si>
  <si>
    <r>
      <rPr>
        <sz val="11"/>
        <rFont val="Calibri"/>
      </rPr>
      <t xml:space="preserve">Ensure </t>
    </r>
    <r>
      <rPr>
        <sz val="11"/>
        <color rgb="FF000000"/>
        <rFont val="Calibri"/>
      </rPr>
      <t>'</t>
    </r>
    <r>
      <rPr>
        <b/>
        <sz val="11"/>
        <color rgb="FF000000"/>
        <rFont val="Calibri"/>
      </rPr>
      <t>Allow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</si>
  <si>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Browser\Allow Password Manager</t>
    </r>
  </si>
  <si>
    <r>
      <rPr>
        <sz val="11"/>
        <color rgb="FF000000"/>
        <rFont val="Calibri"/>
      </rPr>
      <t>This policy setting lets you decide whether employees can save their passwords locally, using Password Manager. By default, Password Manager is turned on.-  If you enable this setting, employees can use Password Manager to save their passwords locally.</t>
    </r>
    <r>
      <rPr>
        <sz val="11"/>
        <color rgb="FF000000"/>
        <rFont val="Calibri"/>
      </rPr>
      <t xml:space="preserve">
</t>
    </r>
    <r>
      <rPr>
        <sz val="11"/>
        <color rgb="FF000000"/>
        <rFont val="Calibri"/>
      </rPr>
      <t>-  If you disable this setting, employees can't use Password Manager to save their passwords locally.</t>
    </r>
    <r>
      <rPr>
        <sz val="11"/>
        <color rgb="FF000000"/>
        <rFont val="Calibri"/>
      </rPr>
      <t xml:space="preserve">
</t>
    </r>
    <r>
      <rPr>
        <sz val="11"/>
        <color rgb="FF000000"/>
        <rFont val="Calibri"/>
      </rPr>
      <t>-  If you don't configure this setting, employees can choose whether to use Password Manager to save their passwords locally.</t>
    </r>
  </si>
  <si>
    <t>https://learn.microsoft.com/en-us/intune/device-security/security-baselines/ref-windows-mdm-settings?pivots=mdm-24h2#browser-1</t>
  </si>
  <si>
    <t>https://learn.microsoft.com/en-us/windows/client-management/mdm/policy-csp-Browser?WT.mc_id=Portal-fx#allowpasswordmanager</t>
  </si>
  <si>
    <t>./Device/Vendor/MSFT/Policy/Config/Browser/AllowPasswordManager</t>
  </si>
  <si>
    <t>AllowPasswordManager</t>
  </si>
  <si>
    <t>Configure Password Manager</t>
  </si>
  <si>
    <t>Windows Components &gt; Microsoft Edge</t>
  </si>
  <si>
    <t>Software\Policies\Microsoft\MicrosoftEdge\Main</t>
  </si>
  <si>
    <t>MicrosoftEdge.admx</t>
  </si>
  <si>
    <t>3.2</t>
  </si>
  <si>
    <r>
      <rPr>
        <sz val="11"/>
        <rFont val="Calibri"/>
      </rPr>
      <t xml:space="preserve">Ensure </t>
    </r>
    <r>
      <rPr>
        <sz val="11"/>
        <color rgb="FF000000"/>
        <rFont val="Calibri"/>
      </rPr>
      <t>'</t>
    </r>
    <r>
      <rPr>
        <b/>
        <sz val="11"/>
        <color rgb="FF000000"/>
        <rFont val="Calibri"/>
      </rPr>
      <t>Allow Smart Screen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</si>
  <si>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Browser\Allow Smart Screen</t>
    </r>
  </si>
  <si>
    <r>
      <rPr>
        <sz val="11"/>
        <color rgb="FF000000"/>
        <rFont val="Calibri"/>
      </rPr>
      <t>This policy setting lets you configure whether to turn on Windows Defender SmartScreen. Windows Defender SmartScreen provides warning messages to help protect your employees from potential phishing scams and malicious software. By default, Windows Defender SmartScreen is turned on.-  If you enable this setting, Windows Defender SmartScreen is turned on and employees can't turn it off.</t>
    </r>
    <r>
      <rPr>
        <sz val="11"/>
        <color rgb="FF000000"/>
        <rFont val="Calibri"/>
      </rPr>
      <t xml:space="preserve">
</t>
    </r>
    <r>
      <rPr>
        <sz val="11"/>
        <color rgb="FF000000"/>
        <rFont val="Calibri"/>
      </rPr>
      <t>-  If you disable this setting, Windows Defender SmartScreen is turned off and employees can't turn it on.</t>
    </r>
    <r>
      <rPr>
        <sz val="11"/>
        <color rgb="FF000000"/>
        <rFont val="Calibri"/>
      </rPr>
      <t xml:space="preserve">
</t>
    </r>
    <r>
      <rPr>
        <sz val="11"/>
        <color rgb="FF000000"/>
        <rFont val="Calibri"/>
      </rPr>
      <t>-  If you don't configure this setting, employees can choose whether to use Windows Defender SmartScreen.</t>
    </r>
  </si>
  <si>
    <t>https://learn.microsoft.com/en-us/windows/client-management/mdm/policy-csp-Browser?WT.mc_id=Portal-fx#allowsmartscreen</t>
  </si>
  <si>
    <t>./Device/Vendor/MSFT/Policy/Config/Browser/AllowSmartScreen</t>
  </si>
  <si>
    <t>AllowSmartScreen</t>
  </si>
  <si>
    <t>Software\Policies\Microsoft\MicrosoftEdge\PhishingFilter</t>
  </si>
  <si>
    <t>EnabledV9</t>
  </si>
  <si>
    <t>3.3</t>
  </si>
  <si>
    <r>
      <rPr>
        <sz val="11"/>
        <rFont val="Calibri"/>
      </rPr>
      <t xml:space="preserve">Ensure </t>
    </r>
    <r>
      <rPr>
        <sz val="11"/>
        <color rgb="FF000000"/>
        <rFont val="Calibri"/>
      </rPr>
      <t>'</t>
    </r>
    <r>
      <rPr>
        <b/>
        <sz val="11"/>
        <color rgb="FF000000"/>
        <rFont val="Calibri"/>
      </rPr>
      <t>Prevent Cert Error Overrides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</si>
  <si>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Browser\Prevent Cert Error Overrides</t>
    </r>
  </si>
  <si>
    <r>
      <rPr>
        <sz val="11"/>
        <color rgb="FF000000"/>
        <rFont val="Calibri"/>
      </rPr>
      <t>Web security certificates are used to ensure a site your users go to is legitimate, and in some circumstances encrypts the data. With this policy, you can specify whether to prevent users from bypassing the security warning to sites that have SSL errors.If enabled, overriding certificate errors aren't allowed.If disabled or not configured, overriding certificate errors are allowed.</t>
    </r>
  </si>
  <si>
    <t>https://learn.microsoft.com/en-us/windows/client-management/mdm/policy-csp-Browser?WT.mc_id=Portal-fx#preventcerterroroverrides</t>
  </si>
  <si>
    <t>./Device/Vendor/MSFT/Policy/Config/Browser/PreventCertErrorOverrides</t>
  </si>
  <si>
    <t>PreventCertErrorOverrides</t>
  </si>
  <si>
    <t>Prevent certificate error overrides</t>
  </si>
  <si>
    <t>Software\Policies\Microsoft\MicrosoftEdge\Internet Settings</t>
  </si>
  <si>
    <t>3.4</t>
  </si>
  <si>
    <r>
      <rPr>
        <sz val="11"/>
        <rFont val="Calibri"/>
      </rPr>
      <t xml:space="preserve">Ensure </t>
    </r>
    <r>
      <rPr>
        <sz val="11"/>
        <color rgb="FF000000"/>
        <rFont val="Calibri"/>
      </rPr>
      <t>'</t>
    </r>
    <r>
      <rPr>
        <b/>
        <sz val="11"/>
        <color rgb="FF000000"/>
        <rFont val="Calibri"/>
      </rPr>
      <t>Prevent Smart Screen Prompt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</si>
  <si>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Browser\Prevent Smart Screen Prompt Override</t>
    </r>
  </si>
  <si>
    <r>
      <rPr>
        <sz val="11"/>
        <color rgb="FF000000"/>
        <rFont val="Calibri"/>
      </rPr>
      <t>This policy setting lets you decide whether employees can override the Windows Defender SmartScreen warnings about potentially malicious websites.-  If you enable this setting, employees can't ignore Windows Defender SmartScreen warnings and they're blocked from continuing to the site.</t>
    </r>
    <r>
      <rPr>
        <sz val="11"/>
        <color rgb="FF000000"/>
        <rFont val="Calibri"/>
      </rPr>
      <t xml:space="preserve">
</t>
    </r>
    <r>
      <rPr>
        <sz val="11"/>
        <color rgb="FF000000"/>
        <rFont val="Calibri"/>
      </rPr>
      <t>-  If you disable or don't configure this setting, employees can ignore Windows Defender SmartScreen warnings and continue to the site.</t>
    </r>
  </si>
  <si>
    <t>https://learn.microsoft.com/en-us/windows/client-management/mdm/policy-csp-Browser?WT.mc_id=Portal-fx#preventsmartscreenpromptoverride</t>
  </si>
  <si>
    <t>./Device/Vendor/MSFT/Policy/Config/Browser/PreventSmartScreenPromptOverride</t>
  </si>
  <si>
    <t>PreventSmartScreenPromptOverride</t>
  </si>
  <si>
    <t>Prevent bypassing Windows Defender SmartScreen prompts for sites</t>
  </si>
  <si>
    <t>3.5</t>
  </si>
  <si>
    <r>
      <rPr>
        <sz val="11"/>
        <rFont val="Calibri"/>
      </rPr>
      <t xml:space="preserve">Ensure </t>
    </r>
    <r>
      <rPr>
        <sz val="11"/>
        <color rgb="FF000000"/>
        <rFont val="Calibri"/>
      </rPr>
      <t>'</t>
    </r>
    <r>
      <rPr>
        <b/>
        <sz val="11"/>
        <color rgb="FF000000"/>
        <rFont val="Calibri"/>
      </rPr>
      <t>Prevent Smart Screen Prompt Override For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</si>
  <si>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Browser\Prevent Smart Screen Prompt Override For Files</t>
    </r>
  </si>
  <si>
    <r>
      <rPr>
        <sz val="11"/>
        <color rgb="FF000000"/>
        <rFont val="Calibri"/>
      </rPr>
      <t>This policy setting lets you decide whether employees can override the Windows Defender SmartScreen warnings about downloading unverified files.-  If you enable this setting, employees can't ignore Windows Defender SmartScreen warnings and they're blocked from downloading the unverified files.</t>
    </r>
    <r>
      <rPr>
        <sz val="11"/>
        <color rgb="FF000000"/>
        <rFont val="Calibri"/>
      </rPr>
      <t xml:space="preserve">
</t>
    </r>
    <r>
      <rPr>
        <sz val="11"/>
        <color rgb="FF000000"/>
        <rFont val="Calibri"/>
      </rPr>
      <t>-  If you disable or don't configure this setting, employees can ignore Windows Defender SmartScreen warnings and continue the download process.</t>
    </r>
  </si>
  <si>
    <t>https://learn.microsoft.com/en-us/windows/client-management/mdm/policy-csp-Browser?WT.mc_id=Portal-fx#preventsmartscreenpromptoverrideforfiles</t>
  </si>
  <si>
    <t>./Device/Vendor/MSFT/Policy/Config/Browser/PreventSmartScreenPromptOverrideForFiles</t>
  </si>
  <si>
    <t>PreventSmartScreenPromptOverrideForFiles</t>
  </si>
  <si>
    <t>Prevent bypassing Windows Defender SmartScreen prompts for files</t>
  </si>
  <si>
    <t>Data Protection</t>
  </si>
  <si>
    <t>4.1</t>
  </si>
  <si>
    <r>
      <rPr>
        <sz val="11"/>
        <rFont val="Calibri"/>
      </rPr>
      <t xml:space="preserve">Ensure </t>
    </r>
    <r>
      <rPr>
        <sz val="11"/>
        <color rgb="FF000000"/>
        <rFont val="Calibri"/>
      </rPr>
      <t>'</t>
    </r>
    <r>
      <rPr>
        <b/>
        <sz val="11"/>
        <color rgb="FF000000"/>
        <rFont val="Calibri"/>
      </rPr>
      <t>Allow Direct Memory Access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</si>
  <si>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Data Protection\Allow Direct Memory Access</t>
    </r>
  </si>
  <si>
    <r>
      <rPr>
        <sz val="11"/>
        <color rgb="FF000000"/>
        <rFont val="Calibri"/>
      </rPr>
      <t xml:space="preserve">This policy setting allows you to block direct memory access (DMA) for all hot pluggable PCI downstream ports until a user logs into Windows. Once a user logs in, Windows will enumerate the PCI devices connected to the host plug PCI ports. Every time the user locks the machine, DMA will be blocked on hot plug PCI ports with no children devices until the user logs in again. Devices which were already enumerated when the machine was unlocked will continue to function until unplugged. This policy setting is only enforced when BitLocker Device Encryption </t>
    </r>
    <r>
      <rPr>
        <sz val="11"/>
        <color rgb="FF0000FF"/>
        <rFont val="Calibri"/>
      </rPr>
      <t>(https://learn.microsoft.com/en-us/windows/security/information-protection/bitlocker/bitlocker-device-encryption-overview-windows-10#bitlocker-device-encryption)</t>
    </r>
    <r>
      <rPr>
        <sz val="11"/>
        <color rgb="FF000000"/>
        <rFont val="Calibri"/>
      </rPr>
      <t xml:space="preserve"> is enabled. Most restricted value is 0.</t>
    </r>
  </si>
  <si>
    <t>https://learn.microsoft.com/en-us/intune/device-security/security-baselines/ref-windows-mdm-settings?pivots=mdm-24h2#data-protection-1</t>
  </si>
  <si>
    <t>https://learn.microsoft.com/en-us/windows/client-management/mdm/policy-csp-dataprotection?WT.mc_id=Portal-fx#allowdirectmemoryaccess</t>
  </si>
  <si>
    <t>./Device/Vendor/MSFT/Policy/Config/DataProtection/AllowDirectMemoryAccess</t>
  </si>
  <si>
    <t>Defender</t>
  </si>
  <si>
    <t>5.1</t>
  </si>
  <si>
    <r>
      <rPr>
        <sz val="11"/>
        <rFont val="Calibri"/>
      </rPr>
      <t xml:space="preserve">Ensure </t>
    </r>
    <r>
      <rPr>
        <sz val="11"/>
        <color rgb="FF000000"/>
        <rFont val="Calibri"/>
      </rPr>
      <t>'</t>
    </r>
    <r>
      <rPr>
        <b/>
        <sz val="11"/>
        <color rgb="FF000000"/>
        <rFont val="Calibri"/>
      </rPr>
      <t>Allow Archive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the archive files.</t>
    </r>
    <r>
      <rPr>
        <sz val="11"/>
        <color rgb="FF000000"/>
        <rFont val="Calibri"/>
      </rPr>
      <t>'</t>
    </r>
  </si>
  <si>
    <r>
      <rPr>
        <sz val="11"/>
        <color rgb="FF000000"/>
        <rFont val="Calibri"/>
      </rPr>
      <t xml:space="preserve">Set the following Settings Catalog path to </t>
    </r>
    <r>
      <rPr>
        <b/>
        <sz val="11"/>
        <color rgb="FF000000"/>
        <rFont val="Calibri"/>
      </rPr>
      <t>Allowed. Scans the archive files.</t>
    </r>
    <r>
      <rPr>
        <sz val="11"/>
        <color rgb="FF000000"/>
        <rFont val="Calibri"/>
      </rPr>
      <t xml:space="preserve">: </t>
    </r>
    <r>
      <rPr>
        <sz val="11"/>
        <color rgb="FF000000"/>
        <rFont val="Calibri"/>
      </rPr>
      <t xml:space="preserve">
</t>
    </r>
    <r>
      <rPr>
        <sz val="11"/>
        <color rgb="FF006096"/>
        <rFont val="Roboto Condensed"/>
      </rPr>
      <t>Defender\Allow Archive Scanning</t>
    </r>
  </si>
  <si>
    <r>
      <rPr>
        <sz val="11"/>
        <color rgb="FF000000"/>
        <rFont val="Calibri"/>
      </rPr>
      <t>This policy setting allows you to configure scans for malicious software and unwanted software in archive files such as .ZIP or .CAB files.-  If you enable or don't configure this setting, archive files will be scanned.</t>
    </r>
    <r>
      <rPr>
        <sz val="11"/>
        <color rgb="FF000000"/>
        <rFont val="Calibri"/>
      </rPr>
      <t xml:space="preserve">
</t>
    </r>
    <r>
      <rPr>
        <sz val="11"/>
        <color rgb="FF000000"/>
        <rFont val="Calibri"/>
      </rPr>
      <t>-  If you disable this setting, archive files won't be scanned. However, archives are always scanned during directed scans.</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</si>
  <si>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https://learn.microsoft.com/en-us/intune/device-security/security-baselines/ref-windows-mdm-settings?pivots=mdm-24h2#defender-1</t>
  </si>
  <si>
    <t>https://learn.microsoft.com/en-us/windows/client-management/mdm/policy-csp-defender?WT.mc_id=Portal-fx#allowarchivescanning</t>
  </si>
  <si>
    <t>./Device/Vendor/MSFT/Policy/Config/Defender/AllowArchiveScanning</t>
  </si>
  <si>
    <t>Scan_DisableArchiveScanning</t>
  </si>
  <si>
    <t>Scan archive files</t>
  </si>
  <si>
    <t>Windows Components &gt; Microsoft Defender Antivirus &gt; Scan</t>
  </si>
  <si>
    <t>Software\Policies\Microsoft\Windows Defender\Scan</t>
  </si>
  <si>
    <t>DisableArchiveScanning</t>
  </si>
  <si>
    <t>5.2</t>
  </si>
  <si>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real-time behavior monitoring.</t>
    </r>
    <r>
      <rPr>
        <sz val="11"/>
        <color rgb="FF000000"/>
        <rFont val="Calibri"/>
      </rPr>
      <t>'</t>
    </r>
  </si>
  <si>
    <r>
      <rPr>
        <sz val="11"/>
        <color rgb="FF000000"/>
        <rFont val="Calibri"/>
      </rPr>
      <t xml:space="preserve">Set the following Settings Catalog path to </t>
    </r>
    <r>
      <rPr>
        <b/>
        <sz val="11"/>
        <color rgb="FF000000"/>
        <rFont val="Calibri"/>
      </rPr>
      <t>Allowed. Turns on real-time behavior monitoring.</t>
    </r>
    <r>
      <rPr>
        <sz val="11"/>
        <color rgb="FF000000"/>
        <rFont val="Calibri"/>
      </rPr>
      <t xml:space="preserve">: </t>
    </r>
    <r>
      <rPr>
        <sz val="11"/>
        <color rgb="FF000000"/>
        <rFont val="Calibri"/>
      </rPr>
      <t xml:space="preserve">
</t>
    </r>
    <r>
      <rPr>
        <sz val="11"/>
        <color rgb="FF006096"/>
        <rFont val="Roboto Condensed"/>
      </rPr>
      <t>Defender\Allow Behavior Monitoring</t>
    </r>
  </si>
  <si>
    <r>
      <rPr>
        <sz val="11"/>
        <color rgb="FF000000"/>
        <rFont val="Calibri"/>
      </rPr>
      <t>This policy setting allows you to configure behavior monitoring.-  If you enable or don't configure this setting, behavior monitoring will be enabled.</t>
    </r>
    <r>
      <rPr>
        <sz val="11"/>
        <color rgb="FF000000"/>
        <rFont val="Calibri"/>
      </rPr>
      <t xml:space="preserve">
</t>
    </r>
    <r>
      <rPr>
        <sz val="11"/>
        <color rgb="FF000000"/>
        <rFont val="Calibri"/>
      </rPr>
      <t>-  If you disable this setting, behavior monitoring will be disabled.</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</si>
  <si>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https://learn.microsoft.com/en-us/windows/client-management/mdm/policy-csp-defender?WT.mc_id=Portal-fx#allowbehaviormonitoring</t>
  </si>
  <si>
    <t>./Device/Vendor/MSFT/Policy/Config/Defender/AllowBehaviorMonitoring</t>
  </si>
  <si>
    <t>RealtimeProtection_DisableBehaviorMonitoring</t>
  </si>
  <si>
    <t>Turn on behavior monitoring</t>
  </si>
  <si>
    <t>Windows Components &gt; Microsoft Defender Antivirus &gt; Real-time Protection</t>
  </si>
  <si>
    <t>Software\Policies\Microsoft\Windows Defender\Real-Time Protection</t>
  </si>
  <si>
    <t>DisableBehaviorMonitoring</t>
  </si>
  <si>
    <t>5.3</t>
  </si>
  <si>
    <r>
      <rPr>
        <sz val="11"/>
        <rFont val="Calibri"/>
      </rPr>
      <t xml:space="preserve">Ensure </t>
    </r>
    <r>
      <rPr>
        <sz val="11"/>
        <color rgb="FF000000"/>
        <rFont val="Calibri"/>
      </rPr>
      <t>'</t>
    </r>
    <r>
      <rPr>
        <b/>
        <sz val="11"/>
        <color rgb="FF000000"/>
        <rFont val="Calibri"/>
      </rPr>
      <t>Allow Cloud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Cloud Protection.</t>
    </r>
    <r>
      <rPr>
        <sz val="11"/>
        <color rgb="FF000000"/>
        <rFont val="Calibri"/>
      </rPr>
      <t>'</t>
    </r>
  </si>
  <si>
    <r>
      <rPr>
        <sz val="11"/>
        <color rgb="FF000000"/>
        <rFont val="Calibri"/>
      </rPr>
      <t xml:space="preserve">Set the following Settings Catalog path to </t>
    </r>
    <r>
      <rPr>
        <b/>
        <sz val="11"/>
        <color rgb="FF000000"/>
        <rFont val="Calibri"/>
      </rPr>
      <t>Allowed. Turns on Cloud Protection.</t>
    </r>
    <r>
      <rPr>
        <sz val="11"/>
        <color rgb="FF000000"/>
        <rFont val="Calibri"/>
      </rPr>
      <t xml:space="preserve">: </t>
    </r>
    <r>
      <rPr>
        <sz val="11"/>
        <color rgb="FF000000"/>
        <rFont val="Calibri"/>
      </rPr>
      <t xml:space="preserve">
</t>
    </r>
    <r>
      <rPr>
        <sz val="11"/>
        <color rgb="FF006096"/>
        <rFont val="Roboto Condensed"/>
      </rPr>
      <t>Defender\Allow Cloud Protection</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</si>
  <si>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won't use this information to identify you or contact you.Possible options are:(0x0) Disabled (default)(0x1) Basic membership (0x2) Advanced membership.Basic membership will send basic information to Microsoft about software that has been detected, including where the software came from, the actions that you apply or that are applied automatically, and whether the actions were successful.Advanced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you'll join Microsoft MAPS with the membership specified.</t>
    </r>
    <r>
      <rPr>
        <sz val="11"/>
        <color rgb="FF000000"/>
        <rFont val="Calibri"/>
      </rPr>
      <t xml:space="preserve">
</t>
    </r>
    <r>
      <rPr>
        <sz val="11"/>
        <color rgb="FF000000"/>
        <rFont val="Calibri"/>
      </rPr>
      <t>-  If you disable or don't configure this setting, you won't join Microsoft MAPS.In Windows 10, Basic membership is no longer available, so setting the value to 1 or 2 enrolls the device into Advanced membership.</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</si>
  <si>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https://learn.microsoft.com/en-us/windows/client-management/mdm/policy-csp-defender?WT.mc_id=Portal-fx#allowcloudprotection</t>
  </si>
  <si>
    <t>./Device/Vendor/MSFT/Policy/Config/Defender/AllowCloudProtection</t>
  </si>
  <si>
    <t>SpynetReporting</t>
  </si>
  <si>
    <t>Join Microsoft MAPS</t>
  </si>
  <si>
    <t>5.4</t>
  </si>
  <si>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 Scans removable drives.</t>
    </r>
    <r>
      <rPr>
        <sz val="11"/>
        <color rgb="FF000000"/>
        <rFont val="Calibri"/>
      </rPr>
      <t>'</t>
    </r>
  </si>
  <si>
    <r>
      <rPr>
        <sz val="11"/>
        <color rgb="FF000000"/>
        <rFont val="Calibri"/>
      </rPr>
      <t xml:space="preserve">Set the following Settings Catalog path to </t>
    </r>
    <r>
      <rPr>
        <b/>
        <sz val="11"/>
        <color rgb="FF000000"/>
        <rFont val="Calibri"/>
      </rPr>
      <t>Allowed. Scans removable drives.</t>
    </r>
    <r>
      <rPr>
        <sz val="11"/>
        <color rgb="FF000000"/>
        <rFont val="Calibri"/>
      </rPr>
      <t xml:space="preserve">: </t>
    </r>
    <r>
      <rPr>
        <sz val="11"/>
        <color rgb="FF000000"/>
        <rFont val="Calibri"/>
      </rPr>
      <t xml:space="preserve">
</t>
    </r>
    <r>
      <rPr>
        <sz val="11"/>
        <color rgb="FF006096"/>
        <rFont val="Roboto Condensed"/>
      </rPr>
      <t>Defender\Allow Full Scan Removable Drive Scanning</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</si>
  <si>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t>
    </r>
    <r>
      <rPr>
        <sz val="11"/>
        <color rgb="FF000000"/>
        <rFont val="Calibri"/>
      </rPr>
      <t xml:space="preserve">
</t>
    </r>
    <r>
      <rPr>
        <sz val="11"/>
        <color rgb="FF000000"/>
        <rFont val="Calibri"/>
      </rPr>
      <t>-  If you disable or don't configure this setting, removable drives won't be scanned during a full scan. Removable drives may still be scanned during quick scan and custom scan.</t>
    </r>
  </si>
  <si>
    <t>https://learn.microsoft.com/en-us/windows/client-management/mdm/policy-csp-defender?WT.mc_id=Portal-fx#allowfullscanremovabledrivescanning</t>
  </si>
  <si>
    <t>./Device/Vendor/MSFT/Policy/Config/Defender/AllowFullScanRemovableDriveScanning</t>
  </si>
  <si>
    <t>Scan_DisableRemovableDriveScanning</t>
  </si>
  <si>
    <t>Scan removable drives</t>
  </si>
  <si>
    <t>DisableRemovableDriveScanning</t>
  </si>
  <si>
    <t>5.5</t>
  </si>
  <si>
    <r>
      <rPr>
        <sz val="11"/>
        <rFont val="Calibri"/>
      </rPr>
      <t xml:space="preserve">Ensure </t>
    </r>
    <r>
      <rPr>
        <sz val="11"/>
        <color rgb="FF000000"/>
        <rFont val="Calibri"/>
      </rPr>
      <t>'</t>
    </r>
    <r>
      <rPr>
        <b/>
        <sz val="11"/>
        <color rgb="FF000000"/>
        <rFont val="Calibri"/>
      </rPr>
      <t>Allow On Access Protection</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</si>
  <si>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 xml:space="preserve">: </t>
    </r>
    <r>
      <rPr>
        <sz val="11"/>
        <color rgb="FF000000"/>
        <rFont val="Calibri"/>
      </rPr>
      <t xml:space="preserve">
</t>
    </r>
    <r>
      <rPr>
        <sz val="11"/>
        <color rgb="FF006096"/>
        <rFont val="Roboto Condensed"/>
      </rPr>
      <t>Defender\Allow On Access Protection</t>
    </r>
  </si>
  <si>
    <r>
      <rPr>
        <sz val="11"/>
        <color rgb="FF000000"/>
        <rFont val="Calibri"/>
      </rPr>
      <t>This policy setting allows you to configure monitoring for file and program activity.-  If you enable or don't configure this setting, monitoring for file and program activity will be enabled.</t>
    </r>
    <r>
      <rPr>
        <sz val="11"/>
        <color rgb="FF000000"/>
        <rFont val="Calibri"/>
      </rPr>
      <t xml:space="preserve">
</t>
    </r>
    <r>
      <rPr>
        <sz val="11"/>
        <color rgb="FF000000"/>
        <rFont val="Calibri"/>
      </rPr>
      <t>-  If you disable this setting, monitoring for file and program activity will be disabled.</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</si>
  <si>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https://learn.microsoft.com/en-us/windows/client-management/mdm/policy-csp-defender?WT.mc_id=Portal-fx#allowonaccessprotection</t>
  </si>
  <si>
    <t>./Device/Vendor/MSFT/Policy/Config/Defender/AllowOnAccessProtection</t>
  </si>
  <si>
    <t>RealtimeProtection_DisableOnAccessProtection</t>
  </si>
  <si>
    <t>Monitor file and program activity on your computer</t>
  </si>
  <si>
    <t>DisableOnAccessProtection</t>
  </si>
  <si>
    <t>5.6</t>
  </si>
  <si>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 Turns on and runs the real-time monitoring service.</t>
    </r>
    <r>
      <rPr>
        <sz val="11"/>
        <color rgb="FF000000"/>
        <rFont val="Calibri"/>
      </rPr>
      <t>'</t>
    </r>
  </si>
  <si>
    <r>
      <rPr>
        <sz val="11"/>
        <color rgb="FF000000"/>
        <rFont val="Calibri"/>
      </rPr>
      <t xml:space="preserve">Set the following Settings Catalog path to </t>
    </r>
    <r>
      <rPr>
        <b/>
        <sz val="11"/>
        <color rgb="FF000000"/>
        <rFont val="Calibri"/>
      </rPr>
      <t>Allowed. Turns on and runs the real-time monitoring service.</t>
    </r>
    <r>
      <rPr>
        <sz val="11"/>
        <color rgb="FF000000"/>
        <rFont val="Calibri"/>
      </rPr>
      <t xml:space="preserve">: </t>
    </r>
    <r>
      <rPr>
        <sz val="11"/>
        <color rgb="FF000000"/>
        <rFont val="Calibri"/>
      </rPr>
      <t xml:space="preserve">
</t>
    </r>
    <r>
      <rPr>
        <sz val="11"/>
        <color rgb="FF006096"/>
        <rFont val="Roboto Condensed"/>
      </rPr>
      <t>Defender\Allow Realtime Monitoring</t>
    </r>
  </si>
  <si>
    <r>
      <rPr>
        <sz val="11"/>
        <color rgb="FF000000"/>
        <rFont val="Calibri"/>
      </rPr>
      <t>Allows or disallows Windows Defender Realtime Monitoring functionality.</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</si>
  <si>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https://learn.microsoft.com/en-us/windows/client-management/mdm/policy-csp-defender?WT.mc_id=Portal-fx#allowrealtimemonitoring</t>
  </si>
  <si>
    <t>./Device/Vendor/MSFT/Policy/Config/Defender/AllowRealtimeMonitoring</t>
  </si>
  <si>
    <t>DisableRealtimeMonitoring</t>
  </si>
  <si>
    <t>Turn off real-time protection</t>
  </si>
  <si>
    <t>5.7</t>
  </si>
  <si>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</si>
  <si>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 xml:space="preserve">: </t>
    </r>
    <r>
      <rPr>
        <sz val="11"/>
        <color rgb="FF000000"/>
        <rFont val="Calibri"/>
      </rPr>
      <t xml:space="preserve">
</t>
    </r>
    <r>
      <rPr>
        <sz val="11"/>
        <color rgb="FF006096"/>
        <rFont val="Roboto Condensed"/>
      </rPr>
      <t>Defender\Allow scanning of all downloaded files and attachments</t>
    </r>
  </si>
  <si>
    <r>
      <rPr>
        <sz val="11"/>
        <color rgb="FF000000"/>
        <rFont val="Calibri"/>
      </rPr>
      <t>This policy setting allows you to configure scanning for all downloaded files and attachments.-  If you enable or don't configure this setting, scanning for all downloaded files and attachments will be enabled.</t>
    </r>
    <r>
      <rPr>
        <sz val="11"/>
        <color rgb="FF000000"/>
        <rFont val="Calibri"/>
      </rPr>
      <t xml:space="preserve">
</t>
    </r>
    <r>
      <rPr>
        <sz val="11"/>
        <color rgb="FF000000"/>
        <rFont val="Calibri"/>
      </rPr>
      <t>-  If you disable this setting, scanning for all downloaded files and attachments will be disabled.</t>
    </r>
    <r>
      <rPr>
        <sz val="11"/>
        <color rgb="FF000000"/>
        <rFont val="Calibri"/>
      </rPr>
      <t xml:space="preserve">Note: 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r>
      <rPr>
        <sz val="11"/>
        <color rgb="FF000000"/>
        <rFont val="Calibri"/>
      </rPr>
      <t xml:space="preserve">
</t>
    </r>
    <r>
      <rPr>
        <sz val="11"/>
        <color rgb="FF000000"/>
        <rFont val="Calibri"/>
      </rPr>
      <t xml:space="preserve">Changes to this setting aren't applied when tamper protection </t>
    </r>
    <r>
      <rPr>
        <sz val="11"/>
        <color rgb="FF0000FF"/>
        <rFont val="Calibri"/>
      </rPr>
      <t>(https://learn.microsoft.com/en-us/microsoft-365/security/defender-endpoint/prevent-changes-to-security-settings-with-tamper-protection)</t>
    </r>
    <r>
      <rPr>
        <sz val="11"/>
        <color rgb="FF000000"/>
        <rFont val="Calibri"/>
      </rPr>
      <t xml:space="preserve"> is enabled.</t>
    </r>
  </si>
  <si>
    <t>https://learn.microsoft.com/en-us/windows/client-management/mdm/policy-csp-defender?WT.mc_id=Portal-fx#allowioavprotection</t>
  </si>
  <si>
    <t>./Device/Vendor/MSFT/Policy/Config/Defender/AllowIOAVProtection</t>
  </si>
  <si>
    <t>RealtimeProtection_DisableIOAVProtection</t>
  </si>
  <si>
    <t>Scan all downloaded files and attachments</t>
  </si>
  <si>
    <t>DisableIOAVProtection</t>
  </si>
  <si>
    <t>5.8.1</t>
  </si>
  <si>
    <r>
      <rPr>
        <sz val="11"/>
        <rFont val="Calibri"/>
      </rPr>
      <t xml:space="preserve">Ensure </t>
    </r>
    <r>
      <rPr>
        <sz val="11"/>
        <color rgb="FF000000"/>
        <rFont val="Calibri"/>
      </rPr>
      <t>'</t>
    </r>
    <r>
      <rPr>
        <b/>
        <sz val="11"/>
        <color rgb="FF000000"/>
        <rFont val="Calibri"/>
      </rPr>
      <t>Allow Script Scanning: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</si>
  <si>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execution of potentially obfuscated scripts</t>
    </r>
  </si>
  <si>
    <t>https://learn.microsoft.com/en-us/windows/security/threat-protection/microsoft-defender-atp/attack-surface-reduction?WT.mc_id=Portal-fx</t>
  </si>
  <si>
    <t>5.8.2</t>
  </si>
  <si>
    <r>
      <rPr>
        <sz val="11"/>
        <rFont val="Calibri"/>
      </rPr>
      <t xml:space="preserve">Ensure </t>
    </r>
    <r>
      <rPr>
        <sz val="11"/>
        <color rgb="FF000000"/>
        <rFont val="Calibri"/>
      </rPr>
      <t>'</t>
    </r>
    <r>
      <rPr>
        <b/>
        <sz val="11"/>
        <color rgb="FF000000"/>
        <rFont val="Calibri"/>
      </rPr>
      <t>Allow Script Scanning: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</si>
  <si>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Win32 API calls from Office macros</t>
    </r>
  </si>
  <si>
    <t>5.8.3</t>
  </si>
  <si>
    <r>
      <rPr>
        <sz val="11"/>
        <rFont val="Calibri"/>
      </rPr>
      <t xml:space="preserve">Ensure </t>
    </r>
    <r>
      <rPr>
        <sz val="11"/>
        <color rgb="FF000000"/>
        <rFont val="Calibri"/>
      </rPr>
      <t>'</t>
    </r>
    <r>
      <rPr>
        <b/>
        <sz val="11"/>
        <color rgb="FF000000"/>
        <rFont val="Calibri"/>
      </rPr>
      <t>Allow Script Scanning: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</si>
  <si>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Office communication application from creating child processes</t>
    </r>
  </si>
  <si>
    <t>5.8.4</t>
  </si>
  <si>
    <r>
      <rPr>
        <sz val="11"/>
        <rFont val="Calibri"/>
      </rPr>
      <t xml:space="preserve">Ensure </t>
    </r>
    <r>
      <rPr>
        <sz val="11"/>
        <color rgb="FF000000"/>
        <rFont val="Calibri"/>
      </rPr>
      <t>'</t>
    </r>
    <r>
      <rPr>
        <b/>
        <sz val="11"/>
        <color rgb="FF000000"/>
        <rFont val="Calibri"/>
      </rPr>
      <t>Allow Script Scanning: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</si>
  <si>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all Office applications from creating child processes</t>
    </r>
  </si>
  <si>
    <t>5.8.5</t>
  </si>
  <si>
    <r>
      <rPr>
        <sz val="11"/>
        <rFont val="Calibri"/>
      </rPr>
      <t xml:space="preserve">Ensure </t>
    </r>
    <r>
      <rPr>
        <sz val="11"/>
        <color rgb="FF000000"/>
        <rFont val="Calibri"/>
      </rPr>
      <t>'</t>
    </r>
    <r>
      <rPr>
        <b/>
        <sz val="11"/>
        <color rgb="FF000000"/>
        <rFont val="Calibri"/>
      </rPr>
      <t>Allow Script Scanning: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</si>
  <si>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JavaScript or VBScript from launching downloaded executable content</t>
    </r>
  </si>
  <si>
    <t>5.8.6</t>
  </si>
  <si>
    <r>
      <rPr>
        <sz val="11"/>
        <rFont val="Calibri"/>
      </rPr>
      <t xml:space="preserve">Ensure </t>
    </r>
    <r>
      <rPr>
        <sz val="11"/>
        <color rgb="FF000000"/>
        <rFont val="Calibri"/>
      </rPr>
      <t>'</t>
    </r>
    <r>
      <rPr>
        <b/>
        <sz val="11"/>
        <color rgb="FF000000"/>
        <rFont val="Calibri"/>
      </rPr>
      <t>Allow Script Scanning: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</si>
  <si>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untrusted and unsigned processes that run from USB</t>
    </r>
  </si>
  <si>
    <t>5.8.7</t>
  </si>
  <si>
    <r>
      <rPr>
        <sz val="11"/>
        <rFont val="Calibri"/>
      </rPr>
      <t xml:space="preserve">Ensure </t>
    </r>
    <r>
      <rPr>
        <sz val="11"/>
        <color rgb="FF000000"/>
        <rFont val="Calibri"/>
      </rPr>
      <t>'</t>
    </r>
    <r>
      <rPr>
        <b/>
        <sz val="11"/>
        <color rgb="FF000000"/>
        <rFont val="Calibri"/>
      </rPr>
      <t>Allow Script Scanning: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</si>
  <si>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Adobe Reader from creating child processes</t>
    </r>
  </si>
  <si>
    <t>5.8.8</t>
  </si>
  <si>
    <r>
      <rPr>
        <sz val="11"/>
        <rFont val="Calibri"/>
      </rPr>
      <t xml:space="preserve">Ensure </t>
    </r>
    <r>
      <rPr>
        <sz val="11"/>
        <color rgb="FF000000"/>
        <rFont val="Calibri"/>
      </rPr>
      <t>'</t>
    </r>
    <r>
      <rPr>
        <b/>
        <sz val="11"/>
        <color rgb="FF000000"/>
        <rFont val="Calibri"/>
      </rPr>
      <t>Allow Script Scanning: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</si>
  <si>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credential stealing from the Windows local security authority subsystem</t>
    </r>
  </si>
  <si>
    <t>5.8.9</t>
  </si>
  <si>
    <r>
      <rPr>
        <sz val="11"/>
        <rFont val="Calibri"/>
      </rPr>
      <t xml:space="preserve">Ensure </t>
    </r>
    <r>
      <rPr>
        <sz val="11"/>
        <color rgb="FF000000"/>
        <rFont val="Calibri"/>
      </rPr>
      <t>'</t>
    </r>
    <r>
      <rPr>
        <b/>
        <sz val="11"/>
        <color rgb="FF000000"/>
        <rFont val="Calibri"/>
      </rPr>
      <t>Allow Script Scanning: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Allowed.: Audit</t>
    </r>
    <r>
      <rPr>
        <sz val="11"/>
        <color rgb="FF000000"/>
        <rFont val="Calibri"/>
      </rPr>
      <t>'</t>
    </r>
  </si>
  <si>
    <r>
      <rPr>
        <sz val="11"/>
        <color rgb="FF000000"/>
        <rFont val="Calibri"/>
      </rPr>
      <t xml:space="preserve">Set the following Settings Catalog path to </t>
    </r>
    <r>
      <rPr>
        <b/>
        <sz val="11"/>
        <color rgb="FF000000"/>
        <rFont val="Calibri"/>
      </rPr>
      <t>Allowed.: Audit</t>
    </r>
    <r>
      <rPr>
        <sz val="11"/>
        <color rgb="FF000000"/>
        <rFont val="Calibri"/>
      </rPr>
      <t xml:space="preserve">: </t>
    </r>
    <r>
      <rPr>
        <sz val="11"/>
        <color rgb="FF000000"/>
        <rFont val="Calibri"/>
      </rPr>
      <t xml:space="preserve">
</t>
    </r>
    <r>
      <rPr>
        <sz val="11"/>
        <color rgb="FF006096"/>
        <rFont val="Roboto Condensed"/>
      </rPr>
      <t>Defender\Allow Script Scanning: Block process creations originating from PSExec and WMI commands</t>
    </r>
  </si>
  <si>
    <t>5.8.10</t>
  </si>
  <si>
    <r>
      <rPr>
        <sz val="11"/>
        <rFont val="Calibri"/>
      </rPr>
      <t xml:space="preserve">Ensure </t>
    </r>
    <r>
      <rPr>
        <sz val="11"/>
        <color rgb="FF000000"/>
        <rFont val="Calibri"/>
      </rPr>
      <t>'</t>
    </r>
    <r>
      <rPr>
        <b/>
        <sz val="11"/>
        <color rgb="FF000000"/>
        <rFont val="Calibri"/>
      </rPr>
      <t>Allow Script Scanning: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</si>
  <si>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Office applications from creating executable content</t>
    </r>
  </si>
  <si>
    <t>5.8.11</t>
  </si>
  <si>
    <r>
      <rPr>
        <sz val="11"/>
        <rFont val="Calibri"/>
      </rPr>
      <t xml:space="preserve">Ensure </t>
    </r>
    <r>
      <rPr>
        <sz val="11"/>
        <color rgb="FF000000"/>
        <rFont val="Calibri"/>
      </rPr>
      <t>'</t>
    </r>
    <r>
      <rPr>
        <b/>
        <sz val="11"/>
        <color rgb="FF000000"/>
        <rFont val="Calibri"/>
      </rPr>
      <t>Allow Script Scanning: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</si>
  <si>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Office applications from injecting code into other processes</t>
    </r>
  </si>
  <si>
    <t>5.8.12</t>
  </si>
  <si>
    <r>
      <rPr>
        <sz val="11"/>
        <rFont val="Calibri"/>
      </rPr>
      <t xml:space="preserve">Ensure </t>
    </r>
    <r>
      <rPr>
        <sz val="11"/>
        <color rgb="FF000000"/>
        <rFont val="Calibri"/>
      </rPr>
      <t>'</t>
    </r>
    <r>
      <rPr>
        <b/>
        <sz val="11"/>
        <color rgb="FF000000"/>
        <rFont val="Calibri"/>
      </rPr>
      <t>Allow Script Scanning: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Allowed.: Block</t>
    </r>
    <r>
      <rPr>
        <sz val="11"/>
        <color rgb="FF000000"/>
        <rFont val="Calibri"/>
      </rPr>
      <t>'</t>
    </r>
  </si>
  <si>
    <r>
      <rPr>
        <sz val="11"/>
        <color rgb="FF000000"/>
        <rFont val="Calibri"/>
      </rPr>
      <t xml:space="preserve">Set the following Settings Catalog path to </t>
    </r>
    <r>
      <rPr>
        <b/>
        <sz val="11"/>
        <color rgb="FF000000"/>
        <rFont val="Calibri"/>
      </rPr>
      <t>Allowed.: Block</t>
    </r>
    <r>
      <rPr>
        <sz val="11"/>
        <color rgb="FF000000"/>
        <rFont val="Calibri"/>
      </rPr>
      <t xml:space="preserve">: </t>
    </r>
    <r>
      <rPr>
        <sz val="11"/>
        <color rgb="FF000000"/>
        <rFont val="Calibri"/>
      </rPr>
      <t xml:space="preserve">
</t>
    </r>
    <r>
      <rPr>
        <sz val="11"/>
        <color rgb="FF006096"/>
        <rFont val="Roboto Condensed"/>
      </rPr>
      <t>Defender\Allow Script Scanning: Block executable content from email client and webmail</t>
    </r>
  </si>
  <si>
    <t>5.9</t>
  </si>
  <si>
    <r>
      <rPr>
        <sz val="11"/>
        <rFont val="Calibri"/>
      </rPr>
      <t xml:space="preserve">Ensure </t>
    </r>
    <r>
      <rPr>
        <sz val="11"/>
        <color rgb="FF000000"/>
        <rFont val="Calibri"/>
      </rPr>
      <t>'</t>
    </r>
    <r>
      <rPr>
        <b/>
        <sz val="11"/>
        <color rgb="FF000000"/>
        <rFont val="Calibri"/>
      </rPr>
      <t>Cloud Block Level</t>
    </r>
    <r>
      <rPr>
        <sz val="11"/>
        <color rgb="FF000000"/>
        <rFont val="Calibri"/>
      </rPr>
      <t>'</t>
    </r>
    <r>
      <rPr>
        <sz val="11"/>
        <color rgb="FF000000"/>
        <rFont val="Calibri"/>
      </rPr>
      <t xml:space="preserve"> is set to </t>
    </r>
    <r>
      <rPr>
        <sz val="11"/>
        <color rgb="FF000000"/>
        <rFont val="Calibri"/>
      </rPr>
      <t>'</t>
    </r>
    <r>
      <rPr>
        <b/>
        <sz val="11"/>
        <color rgb="FF000000"/>
        <rFont val="Calibri"/>
      </rPr>
      <t>High</t>
    </r>
    <r>
      <rPr>
        <sz val="11"/>
        <color rgb="FF000000"/>
        <rFont val="Calibri"/>
      </rPr>
      <t>'</t>
    </r>
  </si>
  <si>
    <r>
      <rPr>
        <sz val="11"/>
        <color rgb="FF000000"/>
        <rFont val="Calibri"/>
      </rPr>
      <t xml:space="preserve">Set the following Settings Catalog path to </t>
    </r>
    <r>
      <rPr>
        <b/>
        <sz val="11"/>
        <color rgb="FF000000"/>
        <rFont val="Calibri"/>
      </rPr>
      <t>High</t>
    </r>
    <r>
      <rPr>
        <sz val="11"/>
        <color rgb="FF000000"/>
        <rFont val="Calibri"/>
      </rPr>
      <t xml:space="preserve">: </t>
    </r>
    <r>
      <rPr>
        <sz val="11"/>
        <color rgb="FF000000"/>
        <rFont val="Calibri"/>
      </rPr>
      <t xml:space="preserve">
</t>
    </r>
    <r>
      <rPr>
        <sz val="11"/>
        <color rgb="FF006096"/>
        <rFont val="Roboto Condensed"/>
      </rPr>
      <t>Defender\Cloud Block Level</t>
    </r>
  </si>
  <si>
    <r>
      <rPr>
        <sz val="11"/>
        <color rgb="FF000000"/>
        <rFont val="Calibri"/>
      </rPr>
      <t>This policy setting determines how aggressive Microsoft Defender Antivirus will be in blocking and scanning suspicious files.If this setting is on, Microsoft Defender Antivirus will be more aggressive when identifying suspicious files to block and scan; otherwise, it will be less aggressive and therefore block and scan with less frequency.For more information about specific values that are supported, see the Microsoft Defender Antivirus documentation site.</t>
    </r>
    <r>
      <rPr>
        <sz val="11"/>
        <color rgb="FF000000"/>
        <rFont val="Calibri"/>
      </rPr>
      <t>Note: This feature requires the "Join Microsoft MAPS" setting enabled in order to function.</t>
    </r>
    <r>
      <rPr>
        <sz val="11"/>
        <color rgb="FF000000"/>
        <rFont val="Calibri"/>
      </rPr>
      <t xml:space="preserve">
</t>
    </r>
    <r>
      <rPr>
        <sz val="11"/>
        <color rgb="FF000000"/>
        <rFont val="Calibri"/>
      </rPr>
      <t>This feature requires the "Join Microsoft MAPS" setting enabled in order to function.Possible options are:(0x0)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positives)(0x4) High+ blocking level - aggressively block unknowns and apply additional protection measures (may impact client performance)(0x6) Zero tolerance blocking level - block all unknown executables.</t>
    </r>
  </si>
  <si>
    <t>https://learn.microsoft.com/en-us/windows/client-management/mdm/policy-csp-defender?WT.mc_id=Portal-fx#cloudblocklevel</t>
  </si>
  <si>
    <t>./Device/Vendor/MSFT/Policy/Config/Defender/CloudBlockLevel</t>
  </si>
  <si>
    <t>MpEngine_MpCloudBlockLevel</t>
  </si>
  <si>
    <t>Select cloud protection level</t>
  </si>
  <si>
    <t>Windows Components &gt; Microsoft Defender Antivirus &gt; MpEngine</t>
  </si>
  <si>
    <t>Software\Policies\Microsoft\Windows Defender\MpEngine</t>
  </si>
  <si>
    <t>5.10</t>
  </si>
  <si>
    <r>
      <rPr>
        <sz val="11"/>
        <rFont val="Calibri"/>
      </rPr>
      <t xml:space="preserve">Ensure </t>
    </r>
    <r>
      <rPr>
        <sz val="11"/>
        <color rgb="FF000000"/>
        <rFont val="Calibri"/>
      </rPr>
      <t>'</t>
    </r>
    <r>
      <rPr>
        <b/>
        <sz val="11"/>
        <color rgb="FF000000"/>
        <rFont val="Calibri"/>
      </rPr>
      <t>Cloud Extended Timeout</t>
    </r>
    <r>
      <rPr>
        <sz val="11"/>
        <color rgb="FF000000"/>
        <rFont val="Calibri"/>
      </rPr>
      <t>'</t>
    </r>
    <r>
      <rPr>
        <sz val="11"/>
        <color rgb="FF000000"/>
        <rFont val="Calibri"/>
      </rPr>
      <t xml:space="preserve"> is set to </t>
    </r>
    <r>
      <rPr>
        <sz val="11"/>
        <color rgb="FF000000"/>
        <rFont val="Calibri"/>
      </rPr>
      <t>'</t>
    </r>
    <r>
      <rPr>
        <b/>
        <sz val="11"/>
        <color rgb="FF000000"/>
        <rFont val="Calibri"/>
      </rPr>
      <t>50</t>
    </r>
    <r>
      <rPr>
        <sz val="11"/>
        <color rgb="FF000000"/>
        <rFont val="Calibri"/>
      </rPr>
      <t>'</t>
    </r>
  </si>
  <si>
    <r>
      <rPr>
        <sz val="11"/>
        <color rgb="FF000000"/>
        <rFont val="Calibri"/>
      </rPr>
      <t xml:space="preserve">Set the following Settings Catalog path to </t>
    </r>
    <r>
      <rPr>
        <b/>
        <sz val="11"/>
        <color rgb="FF000000"/>
        <rFont val="Calibri"/>
      </rPr>
      <t>50</t>
    </r>
    <r>
      <rPr>
        <sz val="11"/>
        <color rgb="FF000000"/>
        <rFont val="Calibri"/>
      </rPr>
      <t xml:space="preserve">: </t>
    </r>
    <r>
      <rPr>
        <sz val="11"/>
        <color rgb="FF000000"/>
        <rFont val="Calibri"/>
      </rPr>
      <t xml:space="preserve">
</t>
    </r>
    <r>
      <rPr>
        <sz val="11"/>
        <color rgb="FF006096"/>
        <rFont val="Roboto Condensed"/>
      </rPr>
      <t>Defender\Cloud Extended Timeout</t>
    </r>
  </si>
  <si>
    <r>
      <rPr>
        <sz val="11"/>
        <color rgb="FF000000"/>
        <rFont val="Calibri"/>
      </rPr>
      <t>This feature allows Microsoft Defender Antivirus to block a suspicious file for up to 60 seconds, and scan it in the cloud to make sure it's safe.The typical cloud check timeout is 10 seconds. To enable the extended cloud check feature, specify the extended time in seconds, up to an additional 50 seconds.For example, if the desired timeout is 60 seconds, specify 50 seconds in this setting, which will enable the extended cloud check feature, and will raise the total time to 60 seconds.</t>
    </r>
    <r>
      <rPr>
        <sz val="11"/>
        <color rgb="FF000000"/>
        <rFont val="Calibri"/>
      </rPr>
      <t>Note: This feature depends on three other MAPS settings - "Configure the 'Block at First Sight' feature; "Join Microsoft MAPS"; "Send file samples when further analysis is required" all need to be enabled.</t>
    </r>
    <r>
      <rPr>
        <sz val="11"/>
        <color rgb="FF000000"/>
        <rFont val="Calibri"/>
      </rPr>
      <t xml:space="preserve">
</t>
    </r>
    <r>
      <rPr>
        <sz val="11"/>
        <color rgb="FF000000"/>
        <rFont val="Calibri"/>
      </rPr>
      <t>This feature depends on three other MAPS settings - "Configure the 'Block at First Sight' feature; "Join Microsoft MAPS"; "Send file samples when further analysis is required" all need to be enabled.</t>
    </r>
  </si>
  <si>
    <t>https://learn.microsoft.com/en-us/windows/client-management/mdm/policy-csp-defender?WT.mc_id=Portal-fx#cloudextendedtimeout</t>
  </si>
  <si>
    <t>./Device/Vendor/MSFT/Policy/Config/Defender/CloudExtendedTimeout</t>
  </si>
  <si>
    <t>MpEngine_MpBafsExtendedTimeout</t>
  </si>
  <si>
    <t>Configure extended cloud check</t>
  </si>
  <si>
    <t>5.11</t>
  </si>
  <si>
    <r>
      <rPr>
        <sz val="11"/>
        <rFont val="Calibri"/>
      </rPr>
      <t xml:space="preserve">Ensure </t>
    </r>
    <r>
      <rPr>
        <sz val="11"/>
        <color rgb="FF000000"/>
        <rFont val="Calibri"/>
      </rPr>
      <t>'</t>
    </r>
    <r>
      <rPr>
        <b/>
        <sz val="11"/>
        <color rgb="FF000000"/>
        <rFont val="Calibri"/>
      </rPr>
      <t>Disable Local Admin Merge</t>
    </r>
    <r>
      <rPr>
        <sz val="11"/>
        <color rgb="FF000000"/>
        <rFont val="Calibri"/>
      </rPr>
      <t>'</t>
    </r>
    <r>
      <rPr>
        <sz val="11"/>
        <color rgb="FF000000"/>
        <rFont val="Calibri"/>
      </rPr>
      <t xml:space="preserve"> is set to </t>
    </r>
    <r>
      <rPr>
        <sz val="11"/>
        <color rgb="FF000000"/>
        <rFont val="Calibri"/>
      </rPr>
      <t>'</t>
    </r>
    <r>
      <rPr>
        <b/>
        <sz val="11"/>
        <color rgb="FF000000"/>
        <rFont val="Calibri"/>
      </rPr>
      <t>Disable Local Admin Merge</t>
    </r>
    <r>
      <rPr>
        <sz val="11"/>
        <color rgb="FF000000"/>
        <rFont val="Calibri"/>
      </rPr>
      <t>'</t>
    </r>
  </si>
  <si>
    <r>
      <rPr>
        <sz val="11"/>
        <color rgb="FF000000"/>
        <rFont val="Calibri"/>
      </rPr>
      <t xml:space="preserve">Set the following Settings Catalog path to </t>
    </r>
    <r>
      <rPr>
        <b/>
        <sz val="11"/>
        <color rgb="FF000000"/>
        <rFont val="Calibri"/>
      </rPr>
      <t>Disable Local Admin Merge</t>
    </r>
    <r>
      <rPr>
        <sz val="11"/>
        <color rgb="FF000000"/>
        <rFont val="Calibri"/>
      </rPr>
      <t xml:space="preserve">: </t>
    </r>
    <r>
      <rPr>
        <sz val="11"/>
        <color rgb="FF000000"/>
        <rFont val="Calibri"/>
      </rPr>
      <t xml:space="preserve">
</t>
    </r>
    <r>
      <rPr>
        <sz val="11"/>
        <color rgb="FF006096"/>
        <rFont val="Roboto Condensed"/>
      </rPr>
      <t>Defender\Disable Local Admin Merge</t>
    </r>
  </si>
  <si>
    <r>
      <rPr>
        <sz val="11"/>
        <color rgb="FF000000"/>
        <rFont val="Calibri"/>
      </rPr>
      <t>When this value is set to no, it allows a local admin the ability to specify some settings for complex list type that will then merge /override the Preference settings with the Policy settings.</t>
    </r>
  </si>
  <si>
    <t>https://learn.microsoft.com/en-us/windows/client-management/mdm/Defender-csp?WT.mc_id=Portal-fx#configurationdisablelocaladminmerge</t>
  </si>
  <si>
    <t>./Device/Vendor/MSFT/Defender/Configuration/DisableLocalAdminMerge</t>
  </si>
  <si>
    <t>5.12</t>
  </si>
  <si>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</si>
  <si>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Defender\Enable File Hash Computation</t>
    </r>
  </si>
  <si>
    <r>
      <rPr>
        <sz val="11"/>
        <color rgb="FF000000"/>
        <rFont val="Calibri"/>
      </rPr>
      <t>Enables or disables file hash computation feature. When this feature is enabled Windows defender will compute hashes for files it scans.</t>
    </r>
  </si>
  <si>
    <t>https://learn.microsoft.com/en-us/windows/client-management/mdm/Defender-csp?WT.mc_id=Portal-fx#configurationenablefilehashcomputation</t>
  </si>
  <si>
    <t>./Device/Vendor/MSFT/Defender/Configuration/EnableFileHashComputation</t>
  </si>
  <si>
    <t>5.13</t>
  </si>
  <si>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</si>
  <si>
    <r>
      <rPr>
        <sz val="11"/>
        <color rgb="FF000000"/>
        <rFont val="Calibri"/>
      </rPr>
      <t xml:space="preserve">Set the following Settings Catalog path to </t>
    </r>
    <r>
      <rPr>
        <b/>
        <sz val="11"/>
        <color rgb="FF000000"/>
        <rFont val="Calibri"/>
      </rPr>
      <t>Enabled (block mode)</t>
    </r>
    <r>
      <rPr>
        <sz val="11"/>
        <color rgb="FF000000"/>
        <rFont val="Calibri"/>
      </rPr>
      <t xml:space="preserve">: </t>
    </r>
    <r>
      <rPr>
        <sz val="11"/>
        <color rgb="FF000000"/>
        <rFont val="Calibri"/>
      </rPr>
      <t xml:space="preserve">
</t>
    </r>
    <r>
      <rPr>
        <sz val="11"/>
        <color rgb="FF006096"/>
        <rFont val="Roboto Condensed"/>
      </rPr>
      <t>Defender\Enable Network Protection</t>
    </r>
  </si>
  <si>
    <r>
      <rPr>
        <sz val="11"/>
        <color rgb="FF000000"/>
        <rFont val="Calibri"/>
      </rPr>
      <t>Enable or disable Microsoft Defender Exploit Guard network protection to prevent employees from using any application to access dangerous domains that may host phishing scams, exploit-hosting sites, and other malicious content on the Internet.Enabled:Specify the mode in the Options section:-Block: Users and applications won't be able to access dangerous domains-Audit Mode: Users and applications can connect to dangerous domains, however if this feature would've blocked access if it were set to Block, then a record of the event will be in the event logs.Disabled:Users and applications won't be blocked from connecting to dangerous domains.Not configured:Same as Disabled.</t>
    </r>
  </si>
  <si>
    <t>https://learn.microsoft.com/en-us/windows/client-management/mdm/policy-csp-defender?WT.mc_id=Portal-fx#enablenetworkprotection</t>
  </si>
  <si>
    <t>./Device/Vendor/MSFT/Policy/Config/Defender/EnableNetworkProtection</t>
  </si>
  <si>
    <t>ExploitGuard_EnableNetworkProtection</t>
  </si>
  <si>
    <t>Prevent users and apps from accessing dangerous websites</t>
  </si>
  <si>
    <t>Windows Components &gt; Microsoft Defender Antivirus &gt; Microsoft Defender Exploit Guard &gt; Network Protection</t>
  </si>
  <si>
    <t>Software\Policies\Microsoft\Windows Defender\Windows Defender Exploit Guard\Network Protection</t>
  </si>
  <si>
    <t>5.14</t>
  </si>
  <si>
    <r>
      <rPr>
        <sz val="11"/>
        <rFont val="Calibri"/>
      </rPr>
      <t xml:space="preserve">Ensure </t>
    </r>
    <r>
      <rPr>
        <sz val="11"/>
        <color rgb="FF000000"/>
        <rFont val="Calibri"/>
      </rPr>
      <t>'</t>
    </r>
    <r>
      <rPr>
        <b/>
        <sz val="11"/>
        <color rgb="FF000000"/>
        <rFont val="Calibri"/>
      </rPr>
      <t>Hide Exclusions From Local Admins</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local admins will no longer be able to see the exclusion list in Windows Security App or via PowerShell.</t>
    </r>
    <r>
      <rPr>
        <sz val="11"/>
        <color rgb="FF000000"/>
        <rFont val="Calibri"/>
      </rPr>
      <t>'</t>
    </r>
  </si>
  <si>
    <r>
      <rPr>
        <sz val="11"/>
        <color rgb="FF000000"/>
        <rFont val="Calibri"/>
      </rPr>
      <t xml:space="preserve">Set the following Settings Catalog path to </t>
    </r>
    <r>
      <rPr>
        <b/>
        <sz val="11"/>
        <color rgb="FF000000"/>
        <rFont val="Calibri"/>
      </rPr>
      <t>If you enable this setting, local admins will no longer be able to see the exclusion list in Windows Security App or via PowerShell.</t>
    </r>
    <r>
      <rPr>
        <sz val="11"/>
        <color rgb="FF000000"/>
        <rFont val="Calibri"/>
      </rPr>
      <t xml:space="preserve">: </t>
    </r>
    <r>
      <rPr>
        <sz val="11"/>
        <color rgb="FF000000"/>
        <rFont val="Calibri"/>
      </rPr>
      <t xml:space="preserve">
</t>
    </r>
    <r>
      <rPr>
        <sz val="11"/>
        <color rgb="FF006096"/>
        <rFont val="Roboto Condensed"/>
      </rPr>
      <t>Defender\Hide Exclusions From Local Admins</t>
    </r>
  </si>
  <si>
    <r>
      <rPr>
        <sz val="11"/>
        <color rgb="FF000000"/>
        <rFont val="Calibri"/>
      </rPr>
      <t>This policy setting controls whether or not exclusions are visible to local admins. To control local users exclusions visibility use HideExclusionsFromLocalUsers. If HideExclusionsFromLocalAdmins is set then HideExclusionsFromLocalUsers will be implicitly set.</t>
    </r>
    <r>
      <rPr>
        <sz val="11"/>
        <color rgb="FF000000"/>
        <rFont val="Calibri"/>
      </rPr>
      <t>Note: Applying this setting won't remove exclusions from the device registry. They will be applied and enforced, but they will not be visible via the Defender manageability tools like Get-MpPreference nor by the registry editor to the Defender owned registry hive.</t>
    </r>
    <r>
      <rPr>
        <sz val="11"/>
        <color rgb="FF000000"/>
        <rFont val="Calibri"/>
      </rPr>
      <t xml:space="preserve">
</t>
    </r>
    <r>
      <rPr>
        <sz val="11"/>
        <color rgb="FF000000"/>
        <rFont val="Calibri"/>
      </rPr>
      <t>Applying this setting won't remove exclusions from the device registry. They will be applied and enforced, but they will not be visible via the Defender manageability tools like Get-MpPreference nor by the registry editor to the Defender owned registry hive.</t>
    </r>
  </si>
  <si>
    <t>https://learn.microsoft.com/en-us/windows/client-management/mdm/Defender-csp?WT.mc_id=Portal-fx#configurationhideexclusionsfromlocaladmins</t>
  </si>
  <si>
    <t>./Device/Vendor/MSFT/Defender/Configuration/HideExclusionsFromLocalAdmins</t>
  </si>
  <si>
    <t>5.15</t>
  </si>
  <si>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 Detected items are blocked. They will show in history along with other threats.</t>
    </r>
    <r>
      <rPr>
        <sz val="11"/>
        <color rgb="FF000000"/>
        <rFont val="Calibri"/>
      </rPr>
      <t>'</t>
    </r>
  </si>
  <si>
    <r>
      <rPr>
        <sz val="11"/>
        <color rgb="FF000000"/>
        <rFont val="Calibri"/>
      </rPr>
      <t xml:space="preserve">Set the following Settings Catalog path to </t>
    </r>
    <r>
      <rPr>
        <b/>
        <sz val="11"/>
        <color rgb="FF000000"/>
        <rFont val="Calibri"/>
      </rPr>
      <t>PUA Protection on. Detected items are blocked. They will show in history along with other threats.</t>
    </r>
    <r>
      <rPr>
        <sz val="11"/>
        <color rgb="FF000000"/>
        <rFont val="Calibri"/>
      </rPr>
      <t xml:space="preserve">: </t>
    </r>
    <r>
      <rPr>
        <sz val="11"/>
        <color rgb="FF000000"/>
        <rFont val="Calibri"/>
      </rPr>
      <t xml:space="preserve">
</t>
    </r>
    <r>
      <rPr>
        <sz val="11"/>
        <color rgb="FF006096"/>
        <rFont val="Roboto Condensed"/>
      </rPr>
      <t>Defender\PUA Protection</t>
    </r>
  </si>
  <si>
    <r>
      <rPr>
        <sz val="11"/>
        <color rgb="FF000000"/>
        <rFont val="Calibri"/>
      </rPr>
      <t>Enable or disable detection for potentially unwanted applications. You can choose to block, audit, or allow when potentially unwanted software is being downloaded or attempts to install itself on your computer.Enabled:Specify the mode in the Options section:-Block: Potentially unwanted software will be blocked.-Audit Mode: Potentially unwanted software won't be blocked, however if this feature would've blocked access if it were set to Block, then a record of the event will be in the event logs.Disabled:Potentially unwanted software won't be blocked.Not configured:Same as Disabled.</t>
    </r>
  </si>
  <si>
    <t>https://learn.microsoft.com/en-us/windows/client-management/mdm/policy-csp-defender?WT.mc_id=Portal-fx#puaprotection</t>
  </si>
  <si>
    <t>./Device/Vendor/MSFT/Policy/Config/Defender/PUAProtection</t>
  </si>
  <si>
    <t>Root_PUAProtection</t>
  </si>
  <si>
    <t>Configure detection for potentially unwanted applications</t>
  </si>
  <si>
    <t>5.16</t>
  </si>
  <si>
    <r>
      <rPr>
        <sz val="11"/>
        <rFont val="Calibri"/>
      </rPr>
      <t xml:space="preserve">Ensure </t>
    </r>
    <r>
      <rPr>
        <sz val="11"/>
        <color rgb="FF000000"/>
        <rFont val="Calibri"/>
      </rPr>
      <t>'</t>
    </r>
    <r>
      <rPr>
        <b/>
        <sz val="11"/>
        <color rgb="FF000000"/>
        <rFont val="Calibri"/>
      </rPr>
      <t>Real Time Scan Direction</t>
    </r>
    <r>
      <rPr>
        <sz val="11"/>
        <color rgb="FF000000"/>
        <rFont val="Calibri"/>
      </rPr>
      <t>'</t>
    </r>
    <r>
      <rPr>
        <sz val="11"/>
        <color rgb="FF000000"/>
        <rFont val="Calibri"/>
      </rPr>
      <t xml:space="preserve"> is set to </t>
    </r>
    <r>
      <rPr>
        <sz val="11"/>
        <color rgb="FF000000"/>
        <rFont val="Calibri"/>
      </rPr>
      <t>'</t>
    </r>
    <r>
      <rPr>
        <b/>
        <sz val="11"/>
        <color rgb="FF000000"/>
        <rFont val="Calibri"/>
      </rPr>
      <t>Monitor all files (bi-directional).</t>
    </r>
    <r>
      <rPr>
        <sz val="11"/>
        <color rgb="FF000000"/>
        <rFont val="Calibri"/>
      </rPr>
      <t>'</t>
    </r>
  </si>
  <si>
    <r>
      <rPr>
        <sz val="11"/>
        <color rgb="FF000000"/>
        <rFont val="Calibri"/>
      </rPr>
      <t xml:space="preserve">Set the following Settings Catalog path to </t>
    </r>
    <r>
      <rPr>
        <b/>
        <sz val="11"/>
        <color rgb="FF000000"/>
        <rFont val="Calibri"/>
      </rPr>
      <t>Monitor all files (bi-directional).</t>
    </r>
    <r>
      <rPr>
        <sz val="11"/>
        <color rgb="FF000000"/>
        <rFont val="Calibri"/>
      </rPr>
      <t xml:space="preserve">: </t>
    </r>
    <r>
      <rPr>
        <sz val="11"/>
        <color rgb="FF000000"/>
        <rFont val="Calibri"/>
      </rPr>
      <t xml:space="preserve">
</t>
    </r>
    <r>
      <rPr>
        <sz val="11"/>
        <color rgb="FF006096"/>
        <rFont val="Roboto Condensed"/>
      </rPr>
      <t>Defender\Real Time Scan Direction</t>
    </r>
  </si>
  <si>
    <t>https://learn.microsoft.com/en-us/windows/client-management/mdm/policy-csp-Defender?WT.mc_id=Portal-fx##realtimescandirection</t>
  </si>
  <si>
    <t>5.17</t>
  </si>
  <si>
    <r>
      <rPr>
        <sz val="11"/>
        <rFont val="Calibri"/>
      </rPr>
      <t xml:space="preserve">Ensure </t>
    </r>
    <r>
      <rPr>
        <sz val="11"/>
        <color rgb="FF000000"/>
        <rFont val="Calibri"/>
      </rPr>
      <t>'</t>
    </r>
    <r>
      <rPr>
        <b/>
        <sz val="11"/>
        <color rgb="FF000000"/>
        <rFont val="Calibri"/>
      </rPr>
      <t>Submit Samples Consent</t>
    </r>
    <r>
      <rPr>
        <sz val="11"/>
        <color rgb="FF000000"/>
        <rFont val="Calibri"/>
      </rPr>
      <t>'</t>
    </r>
    <r>
      <rPr>
        <sz val="11"/>
        <color rgb="FF000000"/>
        <rFont val="Calibri"/>
      </rPr>
      <t xml:space="preserve"> is set to </t>
    </r>
    <r>
      <rPr>
        <sz val="11"/>
        <color rgb="FF000000"/>
        <rFont val="Calibri"/>
      </rPr>
      <t>'</t>
    </r>
    <r>
      <rPr>
        <b/>
        <sz val="11"/>
        <color rgb="FF000000"/>
        <rFont val="Calibri"/>
      </rPr>
      <t>Send all samples automatically.</t>
    </r>
    <r>
      <rPr>
        <sz val="11"/>
        <color rgb="FF000000"/>
        <rFont val="Calibri"/>
      </rPr>
      <t>'</t>
    </r>
  </si>
  <si>
    <r>
      <rPr>
        <sz val="11"/>
        <color rgb="FF000000"/>
        <rFont val="Calibri"/>
      </rPr>
      <t xml:space="preserve">Set the following Settings Catalog path to </t>
    </r>
    <r>
      <rPr>
        <b/>
        <sz val="11"/>
        <color rgb="FF000000"/>
        <rFont val="Calibri"/>
      </rPr>
      <t>Send all samples automatically.</t>
    </r>
    <r>
      <rPr>
        <sz val="11"/>
        <color rgb="FF000000"/>
        <rFont val="Calibri"/>
      </rPr>
      <t xml:space="preserve">: </t>
    </r>
    <r>
      <rPr>
        <sz val="11"/>
        <color rgb="FF000000"/>
        <rFont val="Calibri"/>
      </rPr>
      <t xml:space="preserve">
</t>
    </r>
    <r>
      <rPr>
        <sz val="11"/>
        <color rgb="FF006096"/>
        <rFont val="Roboto Condensed"/>
      </rPr>
      <t>Defender\Submit Samples Consent</t>
    </r>
  </si>
  <si>
    <r>
      <rPr>
        <sz val="11"/>
        <color rgb="FF000000"/>
        <rFont val="Calibri"/>
      </rPr>
      <t>This policy setting configures behavior of samples submission when opt-in for MAPS telemetry is set.Possible options are:(0x0) Always prompt (0x1) Send safe samples automatically (0x2) Never send (0x3) Send all samples automatically.</t>
    </r>
  </si>
  <si>
    <t>https://learn.microsoft.com/en-us/windows/client-management/mdm/policy-csp-defender?WT.mc_id=Portal-fx#submitsamplesconsent</t>
  </si>
  <si>
    <t>./Device/Vendor/MSFT/Policy/Config/Defender/SubmitSamplesConsent</t>
  </si>
  <si>
    <t>SubmitSamplesConsent</t>
  </si>
  <si>
    <t>Send file samples when further analysis is required</t>
  </si>
  <si>
    <t>5.18</t>
  </si>
  <si>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</si>
  <si>
    <r>
      <rPr>
        <sz val="11"/>
        <color rgb="FF000000"/>
        <rFont val="Calibri"/>
      </rPr>
      <t xml:space="preserve">Set the following Settings Catalog path to </t>
    </r>
    <r>
      <rPr>
        <b/>
        <sz val="11"/>
        <color rgb="FF000000"/>
        <rFont val="Calibri"/>
      </rPr>
      <t>Warn verdicts are converted to block</t>
    </r>
    <r>
      <rPr>
        <sz val="11"/>
        <color rgb="FF000000"/>
        <rFont val="Calibri"/>
      </rPr>
      <t xml:space="preserve">: </t>
    </r>
    <r>
      <rPr>
        <sz val="11"/>
        <color rgb="FF000000"/>
        <rFont val="Calibri"/>
      </rPr>
      <t xml:space="preserve">
</t>
    </r>
    <r>
      <rPr>
        <sz val="11"/>
        <color rgb="FF006096"/>
        <rFont val="Roboto Condensed"/>
      </rPr>
      <t>Defender\Enable Convert Warn To Block</t>
    </r>
  </si>
  <si>
    <r>
      <rPr>
        <sz val="11"/>
        <color rgb="FF000000"/>
        <rFont val="Calibri"/>
      </rPr>
      <t>This setting controls whether network protection blocks network traffic instead of displaying a warning.</t>
    </r>
  </si>
  <si>
    <t>https://learn.microsoft.com/en-us/windows/client-management/mdm/Defender-csp?WT.mc_id=Portal-fx#configurationenableconvertwarntoblock</t>
  </si>
  <si>
    <t>./Device/Vendor/MSFT/Defender/Configuration/EnableConvertWarnToBlock</t>
  </si>
  <si>
    <t>5.19</t>
  </si>
  <si>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If you enable this setting, real-time protection and Security Intelligence Updates are enabled during OOBE.</t>
    </r>
    <r>
      <rPr>
        <sz val="11"/>
        <color rgb="FF000000"/>
        <rFont val="Calibri"/>
      </rPr>
      <t>'</t>
    </r>
  </si>
  <si>
    <r>
      <rPr>
        <sz val="11"/>
        <color rgb="FF000000"/>
        <rFont val="Calibri"/>
      </rPr>
      <t xml:space="preserve">Set the following Settings Catalog path to </t>
    </r>
    <r>
      <rPr>
        <b/>
        <sz val="11"/>
        <color rgb="FF000000"/>
        <rFont val="Calibri"/>
      </rPr>
      <t>If you enable this setting, real-time protection and Security Intelligence Updates are enabled during OOBE.</t>
    </r>
    <r>
      <rPr>
        <sz val="11"/>
        <color rgb="FF000000"/>
        <rFont val="Calibri"/>
      </rPr>
      <t xml:space="preserve">: </t>
    </r>
    <r>
      <rPr>
        <sz val="11"/>
        <color rgb="FF000000"/>
        <rFont val="Calibri"/>
      </rPr>
      <t xml:space="preserve">
</t>
    </r>
    <r>
      <rPr>
        <sz val="11"/>
        <color rgb="FF006096"/>
        <rFont val="Roboto Condensed"/>
      </rPr>
      <t>Defender\Oobe Enable Rtp And Sig Update</t>
    </r>
  </si>
  <si>
    <r>
      <rPr>
        <sz val="11"/>
        <color rgb="FF000000"/>
        <rFont val="Calibri"/>
      </rPr>
      <t>This setting allows you to configure whether real-time protection and Security Intelligence Updates are enabled during OOBE (Out of Box experience).</t>
    </r>
  </si>
  <si>
    <t>https://learn.microsoft.com/en-us/windows/client-management/mdm/defender-csp?WT.mc_id=Portal-fx#configurationoobeenablertpandsigupdate</t>
  </si>
  <si>
    <t>./Device/Vendor/MSFT/Defender/Configuration/OobeEnableRtpAndSigUpdate</t>
  </si>
  <si>
    <t>5.20</t>
  </si>
  <si>
    <r>
      <rPr>
        <sz val="11"/>
        <rFont val="Calibri"/>
      </rPr>
      <t xml:space="preserve">Ensure </t>
    </r>
    <r>
      <rPr>
        <sz val="11"/>
        <color rgb="FF000000"/>
        <rFont val="Calibri"/>
      </rPr>
      <t>'</t>
    </r>
    <r>
      <rPr>
        <b/>
        <sz val="11"/>
        <color rgb="FF000000"/>
        <rFont val="Calibri"/>
      </rPr>
      <t>Passive Remediation</t>
    </r>
    <r>
      <rPr>
        <sz val="11"/>
        <color rgb="FF000000"/>
        <rFont val="Calibri"/>
      </rPr>
      <t>'</t>
    </r>
    <r>
      <rPr>
        <sz val="11"/>
        <color rgb="FF000000"/>
        <rFont val="Calibri"/>
      </rPr>
      <t xml:space="preserve"> is set to </t>
    </r>
    <r>
      <rPr>
        <sz val="11"/>
        <color rgb="FF000000"/>
        <rFont val="Calibri"/>
      </rPr>
      <t>'</t>
    </r>
    <r>
      <rPr>
        <b/>
        <sz val="11"/>
        <color rgb="FF000000"/>
        <rFont val="Calibri"/>
      </rPr>
      <t>PASSIVEREMEDIATIONFLAGSENSEAUTOREMEDIATION: Passive Remediation Sense AutoRemediation</t>
    </r>
    <r>
      <rPr>
        <sz val="11"/>
        <color rgb="FF000000"/>
        <rFont val="Calibri"/>
      </rPr>
      <t>'</t>
    </r>
  </si>
  <si>
    <r>
      <rPr>
        <sz val="11"/>
        <color rgb="FF000000"/>
        <rFont val="Calibri"/>
      </rPr>
      <t xml:space="preserve">Set the following Settings Catalog path to </t>
    </r>
    <r>
      <rPr>
        <b/>
        <sz val="11"/>
        <color rgb="FF000000"/>
        <rFont val="Calibri"/>
      </rPr>
      <t>PASSIVEREMEDIATIONFLAGSENSEAUTOREMEDIATION: Passive Remediation Sense AutoRemediation</t>
    </r>
    <r>
      <rPr>
        <sz val="11"/>
        <color rgb="FF000000"/>
        <rFont val="Calibri"/>
      </rPr>
      <t xml:space="preserve">: </t>
    </r>
    <r>
      <rPr>
        <sz val="11"/>
        <color rgb="FF000000"/>
        <rFont val="Calibri"/>
      </rPr>
      <t xml:space="preserve">
</t>
    </r>
    <r>
      <rPr>
        <sz val="11"/>
        <color rgb="FF006096"/>
        <rFont val="Roboto Condensed"/>
      </rPr>
      <t>Defender\Passive Remediation</t>
    </r>
  </si>
  <si>
    <r>
      <rPr>
        <sz val="11"/>
        <color rgb="FF000000"/>
        <rFont val="Calibri"/>
      </rPr>
      <t>Setting to control automatic remediation for Sense scans.</t>
    </r>
  </si>
  <si>
    <t>https://learn.microsoft.com/en-us/windows/client-management/mdm/Defender-csp?WT.mc_id=Portal-fx#configurationpassiveremediation</t>
  </si>
  <si>
    <t>./Device/Vendor/MSFT/Defender/Configuration/PassiveRemediation</t>
  </si>
  <si>
    <t>5.21</t>
  </si>
  <si>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</si>
  <si>
    <r>
      <rPr>
        <sz val="11"/>
        <color rgb="FF000000"/>
        <rFont val="Calibri"/>
      </rPr>
      <t xml:space="preserve">Set the following Settings Catalog path to </t>
    </r>
    <r>
      <rPr>
        <b/>
        <sz val="11"/>
        <color rgb="FF000000"/>
        <rFont val="Calibri"/>
      </rPr>
      <t>If you set this setting to 1, all files and directories that are excluded from real-time protection using contextual exclusions are scanned during a quick scan.</t>
    </r>
    <r>
      <rPr>
        <sz val="11"/>
        <color rgb="FF000000"/>
        <rFont val="Calibri"/>
      </rPr>
      <t xml:space="preserve">: </t>
    </r>
    <r>
      <rPr>
        <sz val="11"/>
        <color rgb="FF000000"/>
        <rFont val="Calibri"/>
      </rPr>
      <t xml:space="preserve">
</t>
    </r>
    <r>
      <rPr>
        <sz val="11"/>
        <color rgb="FF006096"/>
        <rFont val="Roboto Condensed"/>
      </rPr>
      <t>Defender\Quick Scan Include Exclusions</t>
    </r>
  </si>
  <si>
    <r>
      <rPr>
        <sz val="11"/>
        <color rgb="FF000000"/>
        <rFont val="Calibri"/>
      </rPr>
      <t>This setting allows you to scan excluded files and directories during quick scans.</t>
    </r>
  </si>
  <si>
    <t>https://learn.microsoft.com/en-us/windows/client-management/mdm/Defender-csp?WT.mc_id=Portal-fx#configurationquickscanincludeexclusions</t>
  </si>
  <si>
    <t>./Device/Vendor/MSFT/Defender/Configuration/QuickScanIncludeExclusions</t>
  </si>
  <si>
    <t>Device Guard</t>
  </si>
  <si>
    <t>6.1</t>
  </si>
  <si>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</si>
  <si>
    <r>
      <rPr>
        <sz val="11"/>
        <color rgb="FF000000"/>
        <rFont val="Calibri"/>
      </rPr>
      <t xml:space="preserve">Set the following Settings Catalog path to </t>
    </r>
    <r>
      <rPr>
        <b/>
        <sz val="11"/>
        <color rgb="FF000000"/>
        <rFont val="Calibri"/>
      </rPr>
      <t>Unmanaged Enables Secure Launch if supported by hardware</t>
    </r>
    <r>
      <rPr>
        <sz val="11"/>
        <color rgb="FF000000"/>
        <rFont val="Calibri"/>
      </rPr>
      <t xml:space="preserve">: </t>
    </r>
    <r>
      <rPr>
        <sz val="11"/>
        <color rgb="FF000000"/>
        <rFont val="Calibri"/>
      </rPr>
      <t xml:space="preserve">
</t>
    </r>
    <r>
      <rPr>
        <sz val="11"/>
        <color rgb="FF006096"/>
        <rFont val="Roboto Condensed"/>
      </rPr>
      <t>Device Guard\Configure System Guard Launch</t>
    </r>
  </si>
  <si>
    <r>
      <rPr>
        <sz val="11"/>
        <color rgb="FF000000"/>
        <rFont val="Calibri"/>
      </rPr>
      <t xml:space="preserve">Secure Launch configuration: 0 - Unmanaged, configurable by Administrative user, 1 - Enables Secure Launch if supported by hardware, 2 - Disables Secure Launch.For more information about System Guard, see Introducing Windows Defender System Guard runtime attestation </t>
    </r>
    <r>
      <rPr>
        <sz val="11"/>
        <color rgb="FF0000FF"/>
        <rFont val="Calibri"/>
      </rPr>
      <t>(https://www.microsoft.com/security/blog/2018/04/19/introducing-windows-defender-system-guard-runtime-attestation)</t>
    </r>
    <r>
      <rPr>
        <sz val="11"/>
        <color rgb="FF000000"/>
        <rFont val="Calibri"/>
      </rPr>
      <t xml:space="preserve"> and How a hardware-based root of trust helps protect Windows 10 </t>
    </r>
    <r>
      <rPr>
        <sz val="11"/>
        <color rgb="FF0000FF"/>
        <rFont val="Calibri"/>
      </rPr>
      <t>(https://learn.microsoft.com/en-us/windows/security/hardware-security/how-hardware-based-root-of-trust-helps-protect-windows)</t>
    </r>
    <r>
      <rPr>
        <sz val="11"/>
        <color rgb="FF000000"/>
        <rFont val="Calibri"/>
      </rPr>
      <t>.</t>
    </r>
  </si>
  <si>
    <t>https://learn.microsoft.com/en-us/intune/device-security/security-baselines/ref-windows-mdm-settings?pivots=mdm-24h2#device-guard-1</t>
  </si>
  <si>
    <t>https://learn.microsoft.com/en-us/windows/client-management/mdm/policy-csp-deviceguard?WT.mc_id=Portal-fx#configuresystemguardlaunch</t>
  </si>
  <si>
    <t>./Device/Vendor/MSFT/Policy/Config/DeviceGuard/ConfigureSystemGuardLaunch</t>
  </si>
  <si>
    <t>VirtualizationBasedSecurity</t>
  </si>
  <si>
    <t>Turn On Virtualization Based Security</t>
  </si>
  <si>
    <t>System &gt; Device Guard</t>
  </si>
  <si>
    <t>SOFTWARE\Policies\Microsoft\Windows\DeviceGuard</t>
  </si>
  <si>
    <t>DeviceGuard.admx</t>
  </si>
  <si>
    <t>6.2</t>
  </si>
  <si>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Credential Guard with UEFI lock.</t>
    </r>
    <r>
      <rPr>
        <sz val="11"/>
        <color rgb="FF000000"/>
        <rFont val="Calibri"/>
      </rPr>
      <t>'</t>
    </r>
  </si>
  <si>
    <r>
      <rPr>
        <sz val="11"/>
        <color rgb="FF000000"/>
        <rFont val="Calibri"/>
      </rPr>
      <t xml:space="preserve">Set the following Settings Catalog path to </t>
    </r>
    <r>
      <rPr>
        <b/>
        <sz val="11"/>
        <color rgb="FF000000"/>
        <rFont val="Calibri"/>
      </rPr>
      <t>(Enabled with UEFI lock) Turns on Credential Guard with UEFI lock.</t>
    </r>
    <r>
      <rPr>
        <sz val="11"/>
        <color rgb="FF000000"/>
        <rFont val="Calibri"/>
      </rPr>
      <t xml:space="preserve">: </t>
    </r>
    <r>
      <rPr>
        <sz val="11"/>
        <color rgb="FF000000"/>
        <rFont val="Calibri"/>
      </rPr>
      <t xml:space="preserve">
</t>
    </r>
    <r>
      <rPr>
        <sz val="11"/>
        <color rgb="FF006096"/>
        <rFont val="Roboto Condensed"/>
      </rPr>
      <t>Device Guard\Credential Guard</t>
    </r>
  </si>
  <si>
    <r>
      <rPr>
        <sz val="11"/>
        <color rgb="FF000000"/>
        <rFont val="Calibri"/>
      </rPr>
      <t>Credential Guard Configuration: 0 - Turns off CredentialGuard remotely if configured previously without UEFI Lock, 1 - Turns on CredentialGuard with UEFI lock. 2 - Turns on CredentialGuard without UEFI lock.</t>
    </r>
  </si>
  <si>
    <t>https://learn.microsoft.com/en-us/windows/client-management/mdm/policy-csp-deviceguard?WT.mc_id=Portal-fx#lsacfgflags</t>
  </si>
  <si>
    <t>./Device/Vendor/MSFT/Policy/Config/DeviceGuard/LsaCfgFlags</t>
  </si>
  <si>
    <t>6.3</t>
  </si>
  <si>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</si>
  <si>
    <r>
      <rPr>
        <sz val="11"/>
        <color rgb="FF000000"/>
        <rFont val="Calibri"/>
      </rPr>
      <t xml:space="preserve">Set the following Settings Catalog path to </t>
    </r>
    <r>
      <rPr>
        <b/>
        <sz val="11"/>
        <color rgb="FF000000"/>
        <rFont val="Calibri"/>
      </rPr>
      <t>Enable virtualization based security.</t>
    </r>
    <r>
      <rPr>
        <sz val="11"/>
        <color rgb="FF000000"/>
        <rFont val="Calibri"/>
      </rPr>
      <t xml:space="preserve">: </t>
    </r>
    <r>
      <rPr>
        <sz val="11"/>
        <color rgb="FF000000"/>
        <rFont val="Calibri"/>
      </rPr>
      <t xml:space="preserve">
</t>
    </r>
    <r>
      <rPr>
        <sz val="11"/>
        <color rgb="FF006096"/>
        <rFont val="Roboto Condensed"/>
      </rPr>
      <t>Device Guard\Enable Virtualization Based Security</t>
    </r>
  </si>
  <si>
    <r>
      <rPr>
        <sz val="11"/>
        <color rgb="FF000000"/>
        <rFont val="Calibri"/>
      </rPr>
      <t>Turns On Virtualization Based Security(VBS)</t>
    </r>
  </si>
  <si>
    <t>https://learn.microsoft.com/en-us/windows/client-management/mdm/policy-csp-deviceguard?WT.mc_id=Portal-fx#enablevirtualizationbasedsecurity</t>
  </si>
  <si>
    <t>./Device/Vendor/MSFT/Policy/Config/DeviceGuard/EnableVirtualizationBasedSecurity</t>
  </si>
  <si>
    <t>EnableVirtualizationBasedSecurity</t>
  </si>
  <si>
    <t>6.4</t>
  </si>
  <si>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</si>
  <si>
    <r>
      <rPr>
        <sz val="11"/>
        <color rgb="FF000000"/>
        <rFont val="Calibri"/>
      </rPr>
      <t xml:space="preserve">Set the following Settings Catalog path to </t>
    </r>
    <r>
      <rPr>
        <b/>
        <sz val="11"/>
        <color rgb="FF000000"/>
        <rFont val="Calibri"/>
      </rPr>
      <t>Turns on VBS with Secure Boot.</t>
    </r>
    <r>
      <rPr>
        <sz val="11"/>
        <color rgb="FF000000"/>
        <rFont val="Calibri"/>
      </rPr>
      <t xml:space="preserve">: </t>
    </r>
    <r>
      <rPr>
        <sz val="11"/>
        <color rgb="FF000000"/>
        <rFont val="Calibri"/>
      </rPr>
      <t xml:space="preserve">
</t>
    </r>
    <r>
      <rPr>
        <sz val="11"/>
        <color rgb="FF006096"/>
        <rFont val="Roboto Condensed"/>
      </rPr>
      <t>Device Guard\Require Platform Security Features</t>
    </r>
  </si>
  <si>
    <r>
      <rPr>
        <sz val="11"/>
        <color rgb="FF000000"/>
        <rFont val="Calibri"/>
      </rPr>
      <t>Select Platform Security Level: 1 - Turns on VBS with Secure Boot, 3 - Turns on VBS with Secure Boot and DMA. DMA requires hardware support.This setting lets users turn on Credential Guard with virtualization-based security to help protect credentials at next reboot. Value type is integer.</t>
    </r>
  </si>
  <si>
    <t>https://learn.microsoft.com/en-us/windows/client-management/mdm/policy-csp-deviceguard?WT.mc_id=Portal-fx#requireplatformsecurityfeatures</t>
  </si>
  <si>
    <t>./Device/Vendor/MSFT/Policy/Config/DeviceGuard/RequirePlatformSecurityFeatures</t>
  </si>
  <si>
    <t>6.5</t>
  </si>
  <si>
    <r>
      <rPr>
        <sz val="11"/>
        <rFont val="Calibri"/>
      </rPr>
      <t xml:space="preserve">Ensure </t>
    </r>
    <r>
      <rPr>
        <sz val="11"/>
        <color rgb="FF000000"/>
        <rFont val="Calibri"/>
      </rPr>
      <t>'</t>
    </r>
    <r>
      <rPr>
        <b/>
        <sz val="11"/>
        <color rgb="FF000000"/>
        <rFont val="Calibri"/>
      </rPr>
      <t>Machine Identity Isolation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 Machine password is only LSASS-bound and stored in $MACHINE.ACC registry key.</t>
    </r>
    <r>
      <rPr>
        <sz val="11"/>
        <color rgb="FF000000"/>
        <rFont val="Calibri"/>
      </rPr>
      <t>'</t>
    </r>
  </si>
  <si>
    <r>
      <rPr>
        <sz val="11"/>
        <color rgb="FF000000"/>
        <rFont val="Calibri"/>
      </rPr>
      <t xml:space="preserve">Set the following Settings Catalog path to </t>
    </r>
    <r>
      <rPr>
        <b/>
        <sz val="11"/>
        <color rgb="FF000000"/>
        <rFont val="Calibri"/>
      </rPr>
      <t>(Disabled) Machine password is only LSASS-bound and stored in $MACHINE.ACC registry key.</t>
    </r>
    <r>
      <rPr>
        <sz val="11"/>
        <color rgb="FF000000"/>
        <rFont val="Calibri"/>
      </rPr>
      <t xml:space="preserve">: </t>
    </r>
    <r>
      <rPr>
        <sz val="11"/>
        <color rgb="FF000000"/>
        <rFont val="Calibri"/>
      </rPr>
      <t xml:space="preserve">
</t>
    </r>
    <r>
      <rPr>
        <sz val="11"/>
        <color rgb="FF006096"/>
        <rFont val="Roboto Condensed"/>
      </rPr>
      <t>Device Guard\Machine Identity Isolation</t>
    </r>
  </si>
  <si>
    <r>
      <rPr>
        <sz val="11"/>
        <color rgb="FF000000"/>
        <rFont val="Calibri"/>
      </rPr>
      <t>Machine Identity Isolation: 0 - Machine password is only LSASS-bound and stored in $MACHINE.ACC registry key. 1 - Machine password both LSASS-bound and IUM-bound. It's stored in $MACHINE.ACC and $MACHINE.ACC.IUM registry keys. 2 - Machine password is only IUM-bound and stored in $MACHINE.ACC.IUM registry key.</t>
    </r>
  </si>
  <si>
    <t>https://learn.microsoft.com/en-us/windows/client-management/mdm/policy-csp-DeviceGuard?WT.mc_id=Portal-fx#machineidentityisolation</t>
  </si>
  <si>
    <t>./Device/Vendor/MSFT/Policy/Config/DeviceGuard/MachineIdentityIsolation</t>
  </si>
  <si>
    <t>Device Lock</t>
  </si>
  <si>
    <t>7.1.1</t>
  </si>
  <si>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Enabled: 24</t>
    </r>
    <r>
      <rPr>
        <sz val="11"/>
        <color rgb="FF000000"/>
        <rFont val="Calibri"/>
      </rPr>
      <t>'</t>
    </r>
  </si>
  <si>
    <r>
      <rPr>
        <sz val="11"/>
        <color rgb="FF000000"/>
        <rFont val="Calibri"/>
      </rPr>
      <t xml:space="preserve">Set the following Settings Catalog path to </t>
    </r>
    <r>
      <rPr>
        <b/>
        <sz val="11"/>
        <color rgb="FF000000"/>
        <rFont val="Calibri"/>
      </rPr>
      <t>Enabled: 24</t>
    </r>
    <r>
      <rPr>
        <sz val="11"/>
        <color rgb="FF000000"/>
        <rFont val="Calibri"/>
      </rPr>
      <t xml:space="preserve">: </t>
    </r>
    <r>
      <rPr>
        <sz val="11"/>
        <color rgb="FF000000"/>
        <rFont val="Calibri"/>
      </rPr>
      <t xml:space="preserve">
</t>
    </r>
    <r>
      <rPr>
        <sz val="11"/>
        <color rgb="FF006096"/>
        <rFont val="Roboto Condensed"/>
      </rPr>
      <t>Device Lock\Device Password Enabled: Device Password History</t>
    </r>
  </si>
  <si>
    <r>
      <rPr>
        <sz val="11"/>
        <color rgb="FF000000"/>
        <rFont val="Calibri"/>
      </rPr>
      <t xml:space="preserve">Specifies how many passwords can be stored in the history that can't be used.The value includes the user's current password. This value denotes that with a setting of 1, the user can't reuse their current password when choosing a new password, while a setting of 5 means that a user can't set their new password to their current password or any of their previous four passwords.Max policy value is the most restricted.For more information about this policy, see Exchange ActiveSync Policy Engine Overview </t>
    </r>
    <r>
      <rPr>
        <sz val="11"/>
        <color rgb="FF0000FF"/>
        <rFont val="Calibri"/>
      </rPr>
      <t>(https://learn.microsoft.com/en-us/previous-versions/windows/it-pro/windows-server-2012-R2-and-2012/dn282287(v=ws.11))</t>
    </r>
    <r>
      <rPr>
        <sz val="11"/>
        <color rgb="FF000000"/>
        <rFont val="Calibri"/>
      </rPr>
      <t>.</t>
    </r>
    <r>
      <rPr>
        <sz val="11"/>
        <color rgb="FF000000"/>
        <rFont val="Calibri"/>
      </rPr>
      <t>Note: This policy must be wrapped in an Atomic command.</t>
    </r>
    <r>
      <rPr>
        <sz val="11"/>
        <color rgb="FF000000"/>
        <rFont val="Calibri"/>
      </rPr>
      <t xml:space="preserve">
</t>
    </r>
    <r>
      <rPr>
        <sz val="11"/>
        <color rgb="FF000000"/>
        <rFont val="Calibri"/>
      </rPr>
      <t>This policy must be wrapped in an Atomic command.</t>
    </r>
  </si>
  <si>
    <t>https://learn.microsoft.com/en-us/intune/device-security/security-baselines/ref-windows-mdm-settings?pivots=mdm-24h2#device-lock-1</t>
  </si>
  <si>
    <t>https://learn.microsoft.com/en-us/windows/client-management/mdm/policy-csp-devicelock?WT.mc_id=Portal-fx#devicepasswordhistory</t>
  </si>
  <si>
    <t>./Device/Vendor/MSFT/Policy/Config/DeviceLock/DevicePasswordHistory</t>
  </si>
  <si>
    <t>7.1.2</t>
  </si>
  <si>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14</t>
    </r>
    <r>
      <rPr>
        <sz val="11"/>
        <color rgb="FF000000"/>
        <rFont val="Calibri"/>
      </rPr>
      <t>'</t>
    </r>
  </si>
  <si>
    <r>
      <rPr>
        <sz val="11"/>
        <color rgb="FF000000"/>
        <rFont val="Calibri"/>
      </rPr>
      <t xml:space="preserve">Set the following Settings Catalog path to </t>
    </r>
    <r>
      <rPr>
        <b/>
        <sz val="11"/>
        <color rgb="FF000000"/>
        <rFont val="Calibri"/>
      </rPr>
      <t>Enabled: 14</t>
    </r>
    <r>
      <rPr>
        <sz val="11"/>
        <color rgb="FF000000"/>
        <rFont val="Calibri"/>
      </rPr>
      <t xml:space="preserve">: </t>
    </r>
    <r>
      <rPr>
        <sz val="11"/>
        <color rgb="FF000000"/>
        <rFont val="Calibri"/>
      </rPr>
      <t xml:space="preserve">
</t>
    </r>
    <r>
      <rPr>
        <sz val="11"/>
        <color rgb="FF006096"/>
        <rFont val="Roboto Condensed"/>
      </rPr>
      <t>Device Lock\Device Password Enabled: Min Device Password Length</t>
    </r>
  </si>
  <si>
    <r>
      <rPr>
        <sz val="11"/>
        <color rgb="FF000000"/>
        <rFont val="Calibri"/>
      </rPr>
      <t xml:space="preserve">Specifies the minimum number or characters required in the PIN or password.Max policy value is the most restricted.For more information about this policy, see Exchange ActiveSync Policy Engine Overview </t>
    </r>
    <r>
      <rPr>
        <sz val="11"/>
        <color rgb="FF0000FF"/>
        <rFont val="Calibri"/>
      </rPr>
      <t>(https://learn.microsoft.com/en-us/previous-versions/windows/it-pro/windows-server-2012-R2-and-2012/dn282287(v=ws.11))</t>
    </r>
    <r>
      <rPr>
        <sz val="11"/>
        <color rgb="FF000000"/>
        <rFont val="Calibri"/>
      </rPr>
      <t xml:space="preserve"> and KB article </t>
    </r>
    <r>
      <rPr>
        <sz val="11"/>
        <color rgb="FF0000FF"/>
        <rFont val="Calibri"/>
      </rPr>
      <t>(https://support.office.com/article/This-device-doesn-t-meet-the-security-requirements-set-by-your-email-administrator-87132fc7-2c7f-4a71-9de0-779ff81c86ca)</t>
    </r>
    <r>
      <rPr>
        <sz val="11"/>
        <color rgb="FF000000"/>
        <rFont val="Calibri"/>
      </rPr>
      <t>.</t>
    </r>
    <r>
      <rPr>
        <sz val="11"/>
        <color rgb="FF000000"/>
        <rFont val="Calibri"/>
      </rPr>
      <t>Note: This policy must be wrapped in an Atomic command. Always use the Replace command instead of Add for this policy in Windows for desktop editions.</t>
    </r>
    <r>
      <rPr>
        <sz val="11"/>
        <color rgb="FF000000"/>
        <rFont val="Calibri"/>
      </rPr>
      <t xml:space="preserve">
</t>
    </r>
    <r>
      <rPr>
        <sz val="11"/>
        <color rgb="FF000000"/>
        <rFont val="Calibri"/>
      </rPr>
      <t>This policy must be wrapped in an Atomic command. Always use the Replace command instead of Add for this policy in Windows for desktop editions.</t>
    </r>
  </si>
  <si>
    <t>https://learn.microsoft.com/en-us/windows/client-management/mdm/policy-csp-devicelock?WT.mc_id=Portal-fx#mindevicepasswordlength</t>
  </si>
  <si>
    <t>./Device/Vendor/MSFT/Policy/Config/DeviceLock/MinDevicePasswordLength</t>
  </si>
  <si>
    <t>Dma Guard</t>
  </si>
  <si>
    <t>8.1</t>
  </si>
  <si>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</si>
  <si>
    <r>
      <rPr>
        <sz val="11"/>
        <color rgb="FF000000"/>
        <rFont val="Calibri"/>
      </rPr>
      <t xml:space="preserve">Set the following Settings Catalog path to </t>
    </r>
    <r>
      <rPr>
        <b/>
        <sz val="11"/>
        <color rgb="FF000000"/>
        <rFont val="Calibri"/>
      </rPr>
      <t>Block all (Most restrictive)</t>
    </r>
    <r>
      <rPr>
        <sz val="11"/>
        <color rgb="FF000000"/>
        <rFont val="Calibri"/>
      </rPr>
      <t xml:space="preserve">: </t>
    </r>
    <r>
      <rPr>
        <sz val="11"/>
        <color rgb="FF000000"/>
        <rFont val="Calibri"/>
      </rPr>
      <t xml:space="preserve">
</t>
    </r>
    <r>
      <rPr>
        <sz val="11"/>
        <color rgb="FF006096"/>
        <rFont val="Roboto Condensed"/>
      </rPr>
      <t>Dma Guard\Device Enumeration Policy</t>
    </r>
  </si>
  <si>
    <r>
      <rPr>
        <sz val="11"/>
        <color rgb="FF000000"/>
        <rFont val="Calibri"/>
      </rPr>
      <t xml:space="preserve">Enumeration policy for external DMA-capable devices incompatible with DMA remapping. This policy only takes effect when Kernel DMA Protection is enabled and supported by the system. Note this policy doesn't apply to 1394, PCMCIA or ExpressCard devices.This policy is intended to provide more security against external DMA capable devices. It allows for more control over the enumeration of external DMA capable devices that are incompatible with DMA Remapping </t>
    </r>
    <r>
      <rPr>
        <sz val="11"/>
        <color rgb="FF0000FF"/>
        <rFont val="Calibri"/>
      </rPr>
      <t>(https://learn.microsoft.com/en-us/windows-hardware/drivers/pci/enabling-dma-remapping-for-device-drivers)</t>
    </r>
    <r>
      <rPr>
        <sz val="11"/>
        <color rgb="FF000000"/>
        <rFont val="Calibri"/>
      </rPr>
      <t>, device memory isolation and sandboxing.Device memory sandboxing allows the OS to use the I/O Memory Management Unit (IOMMU) of a device to block unallowed I/O, or memory access by the peripheral. In other words, the OS assigns a certain memory range to the peripheral. If the peripheral attempts to read/write to memory outside of the assigned range, the OS blocks it.This policy requires a system reboot to take effect.This policy only takes effect when Kernel DMA Protection is supported and enabled by the system firmware. Kernel DMA Protection is a platform feature that can't be controlled via policy or by end user. It has to be supported by the system at the time of manufacturing. To check if the system supports Kernel DMA Protection, check the Kernel DMA Protection field in the Summary page of MSINFO32.exe.</t>
    </r>
  </si>
  <si>
    <t>https://learn.microsoft.com/en-us/intune/device-security/security-baselines/ref-windows-mdm-settings?pivots=mdm-24h2#dma-guard-1</t>
  </si>
  <si>
    <t>https://learn.microsoft.com/en-us/windows/client-management/mdm/policy-csp-dmaguard?WT.mc_id=Portal-fx#deviceenumerationpolicy</t>
  </si>
  <si>
    <t>./Device/Vendor/MSFT/Policy/Config/DmaGuard/DeviceEnumerationPolicy</t>
  </si>
  <si>
    <t>DmaGuardEnumerationPolicy</t>
  </si>
  <si>
    <t>Enumeration policy for external devices incompatible with Kernel DMA Protection</t>
  </si>
  <si>
    <t>System &gt; Kernel DMA Protection</t>
  </si>
  <si>
    <t>Software\Policies\Microsoft\Windows\Kernel DMA Protection</t>
  </si>
  <si>
    <t>DmaGuard.admx</t>
  </si>
  <si>
    <t>Experience</t>
  </si>
  <si>
    <t>9.1.1</t>
  </si>
  <si>
    <r>
      <rPr>
        <sz val="11"/>
        <rFont val="Calibri"/>
      </rPr>
      <t xml:space="preserve">Ensure </t>
    </r>
    <r>
      <rPr>
        <sz val="11"/>
        <color rgb="FF000000"/>
        <rFont val="Calibri"/>
      </rPr>
      <t>'</t>
    </r>
    <r>
      <rPr>
        <b/>
        <sz val="11"/>
        <color rgb="FF000000"/>
        <rFont val="Calibri"/>
      </rPr>
      <t>Allow Windows Spotlight: Allow Windows Consumer Features</t>
    </r>
    <r>
      <rPr>
        <sz val="11"/>
        <color rgb="FF000000"/>
        <rFont val="Calibri"/>
      </rPr>
      <t>'</t>
    </r>
    <r>
      <rPr>
        <sz val="11"/>
        <color rgb="FF000000"/>
        <rFont val="Calibri"/>
      </rPr>
      <t xml:space="preserve"> is set to </t>
    </r>
    <r>
      <rPr>
        <sz val="11"/>
        <color rgb="FF000000"/>
        <rFont val="Calibri"/>
      </rPr>
      <t>'</t>
    </r>
    <r>
      <rPr>
        <b/>
        <sz val="11"/>
        <color rgb="FF000000"/>
        <rFont val="Calibri"/>
      </rPr>
      <t>Allow: Block</t>
    </r>
    <r>
      <rPr>
        <sz val="11"/>
        <color rgb="FF000000"/>
        <rFont val="Calibri"/>
      </rPr>
      <t>'</t>
    </r>
  </si>
  <si>
    <r>
      <rPr>
        <sz val="11"/>
        <color rgb="FF000000"/>
        <rFont val="Calibri"/>
      </rPr>
      <t xml:space="preserve">Set the following Settings Catalog path to </t>
    </r>
    <r>
      <rPr>
        <b/>
        <sz val="11"/>
        <color rgb="FF000000"/>
        <rFont val="Calibri"/>
      </rPr>
      <t>Allow: Block</t>
    </r>
    <r>
      <rPr>
        <sz val="11"/>
        <color rgb="FF000000"/>
        <rFont val="Calibri"/>
      </rPr>
      <t xml:space="preserve">: </t>
    </r>
    <r>
      <rPr>
        <sz val="11"/>
        <color rgb="FF000000"/>
        <rFont val="Calibri"/>
      </rPr>
      <t xml:space="preserve">
</t>
    </r>
    <r>
      <rPr>
        <sz val="11"/>
        <color rgb="FF006096"/>
        <rFont val="Roboto Condensed"/>
      </rPr>
      <t>Experience\Allow Windows Spotlight: Allow Windows Consumer Features</t>
    </r>
  </si>
  <si>
    <r>
      <rPr>
        <sz val="11"/>
        <color rgb="FF000000"/>
        <rFont val="Calibri"/>
      </rPr>
      <t>Prior to Windows 10, version 1803, this policy had User scope. This policy allows IT admins to turn on experiences that are typically for consumers only, such as Start suggestions, Membership notifications, Post-OOBE app install and redirect tiles. Most restricted value is 0.</t>
    </r>
  </si>
  <si>
    <t>https://learn.microsoft.com/en-us/intune/device-security/security-baselines/ref-windows-mdm-settings?pivots=mdm-24h2#experience-1</t>
  </si>
  <si>
    <t>https://learn.microsoft.com/en-us/windows/client-management/mdm/policy-csp-experience?WT.mc_id=Portal-fx#allowwindowsconsumerfeatures</t>
  </si>
  <si>
    <t>./Device/Vendor/MSFT/Policy/Config/Experience/AllowWindowsConsumerFeatures</t>
  </si>
  <si>
    <t>DisableWindowsConsumerFeatures</t>
  </si>
  <si>
    <t>Turn off Microsoft consumer experiences</t>
  </si>
  <si>
    <t>Windows Components &gt; Cloud Content</t>
  </si>
  <si>
    <t>Software\Policies\Microsoft\Windows\CloudContent</t>
  </si>
  <si>
    <t>CloudContent.admx</t>
  </si>
  <si>
    <t>9.1.2</t>
  </si>
  <si>
    <r>
      <rPr>
        <sz val="11"/>
        <rFont val="Calibri"/>
      </rPr>
      <t xml:space="preserve">Ensure </t>
    </r>
    <r>
      <rPr>
        <sz val="11"/>
        <color rgb="FF000000"/>
        <rFont val="Calibri"/>
      </rPr>
      <t>'</t>
    </r>
    <r>
      <rPr>
        <b/>
        <sz val="11"/>
        <color rgb="FF000000"/>
        <rFont val="Calibri"/>
      </rPr>
      <t>Allow Windows Spotlight: Allow Third Party Suggestions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Allow: Block</t>
    </r>
    <r>
      <rPr>
        <sz val="11"/>
        <color rgb="FF000000"/>
        <rFont val="Calibri"/>
      </rPr>
      <t>'</t>
    </r>
  </si>
  <si>
    <r>
      <rPr>
        <sz val="11"/>
        <color rgb="FF000000"/>
        <rFont val="Calibri"/>
      </rPr>
      <t xml:space="preserve">Set the following Settings Catalog path to </t>
    </r>
    <r>
      <rPr>
        <b/>
        <sz val="11"/>
        <color rgb="FF000000"/>
        <rFont val="Calibri"/>
      </rPr>
      <t>Allow: Block</t>
    </r>
    <r>
      <rPr>
        <sz val="11"/>
        <color rgb="FF000000"/>
        <rFont val="Calibri"/>
      </rPr>
      <t xml:space="preserve">: </t>
    </r>
    <r>
      <rPr>
        <sz val="11"/>
        <color rgb="FF000000"/>
        <rFont val="Calibri"/>
      </rPr>
      <t xml:space="preserve">
</t>
    </r>
    <r>
      <rPr>
        <sz val="11"/>
        <color rgb="FF006096"/>
        <rFont val="Roboto Condensed"/>
      </rPr>
      <t>Experience\Allow Windows Spotlight: Allow Third Party Suggestions In Windows Spotlight</t>
    </r>
  </si>
  <si>
    <t>https://learn.microsoft.com/en-us/windows/client-management/mdm/policy-csp-Experience?WT.mc_id=Portal-fx#allowthirdpartysuggestionsinwindowsspotlight</t>
  </si>
  <si>
    <t>DisableThirdPartySuggestions</t>
  </si>
  <si>
    <t>Do not suggest third-party content in Windows spotlight</t>
  </si>
  <si>
    <t>Firewall</t>
  </si>
  <si>
    <t>10.1.1</t>
  </si>
  <si>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</si>
  <si>
    <r>
      <rPr>
        <sz val="11"/>
        <color rgb="FF000000"/>
        <rFont val="Calibri"/>
      </rPr>
      <t xml:space="preserve">Set the following Settings Catalog path to </t>
    </r>
    <r>
      <rPr>
        <b/>
        <sz val="11"/>
        <color rgb="FF000000"/>
        <rFont val="Calibri"/>
      </rPr>
      <t>True: Enable Logging Of Successful Connections</t>
    </r>
    <r>
      <rPr>
        <sz val="11"/>
        <color rgb="FF000000"/>
        <rFont val="Calibri"/>
      </rPr>
      <t xml:space="preserve">: </t>
    </r>
    <r>
      <rPr>
        <sz val="11"/>
        <color rgb="FF000000"/>
        <rFont val="Calibri"/>
      </rPr>
      <t xml:space="preserve">
</t>
    </r>
    <r>
      <rPr>
        <sz val="11"/>
        <color rgb="FF006096"/>
        <rFont val="Roboto Condensed"/>
      </rPr>
      <t>Firewall\Enable Domain Network Firewall: Enable Log Success Connections</t>
    </r>
  </si>
  <si>
    <t>https://learn.microsoft.com/en-us/intune/device-security/security-baselines/ref-windows-mdm-settings?pivots=mdm-24h2#firewall-1</t>
  </si>
  <si>
    <t>https://learn.microsoft.com/en-us/windows/client-management/mdm/Firewall-csp?WT.mc_id=Portal-fx#mdmstoredomainprofileenablelogsuccessconnections</t>
  </si>
  <si>
    <t>10.1.2</t>
  </si>
  <si>
    <r>
      <rPr>
        <sz val="11"/>
        <rFont val="Calibri"/>
      </rPr>
      <t xml:space="preserve">Ensure </t>
    </r>
    <r>
      <rPr>
        <sz val="11"/>
        <color rgb="FF000000"/>
        <rFont val="Calibri"/>
      </rPr>
      <t>'</t>
    </r>
    <r>
      <rPr>
        <b/>
        <sz val="11"/>
        <color rgb="FF000000"/>
        <rFont val="Calibri"/>
      </rPr>
      <t>Enable Domain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</si>
  <si>
    <r>
      <rPr>
        <sz val="11"/>
        <color rgb="FF000000"/>
        <rFont val="Calibri"/>
      </rPr>
      <t xml:space="preserve">Set the following Settings Catalog path to </t>
    </r>
    <r>
      <rPr>
        <b/>
        <sz val="11"/>
        <color rgb="FF000000"/>
        <rFont val="Calibri"/>
      </rPr>
      <t>True: Allow</t>
    </r>
    <r>
      <rPr>
        <sz val="11"/>
        <color rgb="FF000000"/>
        <rFont val="Calibri"/>
      </rPr>
      <t xml:space="preserve">: </t>
    </r>
    <r>
      <rPr>
        <sz val="11"/>
        <color rgb="FF000000"/>
        <rFont val="Calibri"/>
      </rPr>
      <t xml:space="preserve">
</t>
    </r>
    <r>
      <rPr>
        <sz val="11"/>
        <color rgb="FF006096"/>
        <rFont val="Roboto Condensed"/>
      </rPr>
      <t>Firewall\Enable Domain Network Firewall: Default Outbound Action</t>
    </r>
  </si>
  <si>
    <t>https://learn.microsoft.com/en-us/windows/client-management/mdm/firewall-csp?WT.mc_id=Portal-fx#mdmstoredomainprofiledefaultoutboundaction</t>
  </si>
  <si>
    <t>10.1.3</t>
  </si>
  <si>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</si>
  <si>
    <r>
      <rPr>
        <sz val="11"/>
        <color rgb="FF000000"/>
        <rFont val="Calibri"/>
      </rPr>
      <t xml:space="preserve">Set the following Settings Catalog path to </t>
    </r>
    <r>
      <rPr>
        <b/>
        <sz val="11"/>
        <color rgb="FF000000"/>
        <rFont val="Calibri"/>
      </rPr>
      <t>True: Enable Logging Of Dropped Packets</t>
    </r>
    <r>
      <rPr>
        <sz val="11"/>
        <color rgb="FF000000"/>
        <rFont val="Calibri"/>
      </rPr>
      <t xml:space="preserve">: </t>
    </r>
    <r>
      <rPr>
        <sz val="11"/>
        <color rgb="FF000000"/>
        <rFont val="Calibri"/>
      </rPr>
      <t xml:space="preserve">
</t>
    </r>
    <r>
      <rPr>
        <sz val="11"/>
        <color rgb="FF006096"/>
        <rFont val="Roboto Condensed"/>
      </rPr>
      <t>Firewall\Enable Domain Network Firewall: Enable Log Dropped Packets</t>
    </r>
  </si>
  <si>
    <t>https://learn.microsoft.com/en-us/windows/client-management/mdm/Firewall-csp?WT.mc_id=Portal-fx#mdmstoredomainprofileenablelogdroppedpackets</t>
  </si>
  <si>
    <t>10.1.4</t>
  </si>
  <si>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</si>
  <si>
    <r>
      <rPr>
        <sz val="11"/>
        <color rgb="FF000000"/>
        <rFont val="Calibri"/>
      </rPr>
      <t xml:space="preserve">Set the following Settings Catalog path to </t>
    </r>
    <r>
      <rPr>
        <b/>
        <sz val="11"/>
        <color rgb="FF000000"/>
        <rFont val="Calibri"/>
      </rPr>
      <t>True: True</t>
    </r>
    <r>
      <rPr>
        <sz val="11"/>
        <color rgb="FF000000"/>
        <rFont val="Calibri"/>
      </rPr>
      <t xml:space="preserve">: </t>
    </r>
    <r>
      <rPr>
        <sz val="11"/>
        <color rgb="FF000000"/>
        <rFont val="Calibri"/>
      </rPr>
      <t xml:space="preserve">
</t>
    </r>
    <r>
      <rPr>
        <sz val="11"/>
        <color rgb="FF006096"/>
        <rFont val="Roboto Condensed"/>
      </rPr>
      <t>Firewall\Enable Domain Network Firewall: Disable Inbound Notifications</t>
    </r>
  </si>
  <si>
    <t>https://learn.microsoft.com/en-us/windows/client-management/mdm/firewall-csp?WT.mc_id=Portal-fx#mdmstoredomainprofiledisableinboundnotifications</t>
  </si>
  <si>
    <t>10.1.5</t>
  </si>
  <si>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</si>
  <si>
    <r>
      <rPr>
        <sz val="11"/>
        <color rgb="FF000000"/>
        <rFont val="Calibri"/>
      </rPr>
      <t xml:space="preserve">Set the following Settings Catalog path to </t>
    </r>
    <r>
      <rPr>
        <b/>
        <sz val="11"/>
        <color rgb="FF000000"/>
        <rFont val="Calibri"/>
      </rPr>
      <t>True: 16384</t>
    </r>
    <r>
      <rPr>
        <sz val="11"/>
        <color rgb="FF000000"/>
        <rFont val="Calibri"/>
      </rPr>
      <t xml:space="preserve">: </t>
    </r>
    <r>
      <rPr>
        <sz val="11"/>
        <color rgb="FF000000"/>
        <rFont val="Calibri"/>
      </rPr>
      <t xml:space="preserve">
</t>
    </r>
    <r>
      <rPr>
        <sz val="11"/>
        <color rgb="FF006096"/>
        <rFont val="Roboto Condensed"/>
      </rPr>
      <t>Firewall\Enable Domain Network Firewall: Log Max File Size</t>
    </r>
  </si>
  <si>
    <t>https://learn.microsoft.com/en-us/windows/client-management/mdm/Firewall-csp?WT.mc_id=Portal-fx#mdmstoredomainprofilelogmaxfilesize</t>
  </si>
  <si>
    <t>10.1.6</t>
  </si>
  <si>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</si>
  <si>
    <r>
      <rPr>
        <sz val="11"/>
        <color rgb="FF000000"/>
        <rFont val="Calibri"/>
      </rPr>
      <t xml:space="preserve">Set the following Settings Catalog path to </t>
    </r>
    <r>
      <rPr>
        <b/>
        <sz val="11"/>
        <color rgb="FF000000"/>
        <rFont val="Calibri"/>
      </rPr>
      <t>True: Block</t>
    </r>
    <r>
      <rPr>
        <sz val="11"/>
        <color rgb="FF000000"/>
        <rFont val="Calibri"/>
      </rPr>
      <t xml:space="preserve">: </t>
    </r>
    <r>
      <rPr>
        <sz val="11"/>
        <color rgb="FF000000"/>
        <rFont val="Calibri"/>
      </rPr>
      <t xml:space="preserve">
</t>
    </r>
    <r>
      <rPr>
        <sz val="11"/>
        <color rgb="FF006096"/>
        <rFont val="Roboto Condensed"/>
      </rPr>
      <t>Firewall\Enable Domain Network Firewall: Default Inbound Action for Domain Profile</t>
    </r>
  </si>
  <si>
    <t>https://learn.microsoft.com/en-us/windows/client-management/mdm/firewall-csp?WT.mc_id=Portal-fx#mdmstoredomainprofiledefaultinboundaction</t>
  </si>
  <si>
    <t>10.2.1</t>
  </si>
  <si>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</si>
  <si>
    <r>
      <rPr>
        <sz val="11"/>
        <color rgb="FF000000"/>
        <rFont val="Calibri"/>
      </rPr>
      <t xml:space="preserve">Set the following Settings Catalog path to </t>
    </r>
    <r>
      <rPr>
        <b/>
        <sz val="11"/>
        <color rgb="FF000000"/>
        <rFont val="Calibri"/>
      </rPr>
      <t>True: 16384</t>
    </r>
    <r>
      <rPr>
        <sz val="11"/>
        <color rgb="FF000000"/>
        <rFont val="Calibri"/>
      </rPr>
      <t xml:space="preserve">: </t>
    </r>
    <r>
      <rPr>
        <sz val="11"/>
        <color rgb="FF000000"/>
        <rFont val="Calibri"/>
      </rPr>
      <t xml:space="preserve">
</t>
    </r>
    <r>
      <rPr>
        <sz val="11"/>
        <color rgb="FF006096"/>
        <rFont val="Roboto Condensed"/>
      </rPr>
      <t>Firewall\Enable Private Network Firewall: Log Max File Size</t>
    </r>
  </si>
  <si>
    <t>https://learn.microsoft.com/en-us/windows/client-management/mdm/firewall-csp?WT.mc_id=Portal-fx#mdmstoreprivateprofilelogmaxfilesize</t>
  </si>
  <si>
    <t>10.2.2</t>
  </si>
  <si>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</si>
  <si>
    <r>
      <rPr>
        <sz val="11"/>
        <color rgb="FF000000"/>
        <rFont val="Calibri"/>
      </rPr>
      <t xml:space="preserve">Set the following Settings Catalog path to </t>
    </r>
    <r>
      <rPr>
        <b/>
        <sz val="11"/>
        <color rgb="FF000000"/>
        <rFont val="Calibri"/>
      </rPr>
      <t>True: Block</t>
    </r>
    <r>
      <rPr>
        <sz val="11"/>
        <color rgb="FF000000"/>
        <rFont val="Calibri"/>
      </rPr>
      <t xml:space="preserve">: </t>
    </r>
    <r>
      <rPr>
        <sz val="11"/>
        <color rgb="FF000000"/>
        <rFont val="Calibri"/>
      </rPr>
      <t xml:space="preserve">
</t>
    </r>
    <r>
      <rPr>
        <sz val="11"/>
        <color rgb="FF006096"/>
        <rFont val="Roboto Condensed"/>
      </rPr>
      <t>Firewall\Enable Private Network Firewall: Default Inbound Action for Private Profile</t>
    </r>
  </si>
  <si>
    <t>https://learn.microsoft.com/en-us/windows/client-management/mdm/firewall-csp?WT.mc_id=Portal-fx#mdmstoreprivateprofiledefaultinboundaction</t>
  </si>
  <si>
    <t>10.2.3</t>
  </si>
  <si>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</si>
  <si>
    <r>
      <rPr>
        <sz val="11"/>
        <color rgb="FF000000"/>
        <rFont val="Calibri"/>
      </rPr>
      <t xml:space="preserve">Set the following Settings Catalog path to </t>
    </r>
    <r>
      <rPr>
        <b/>
        <sz val="11"/>
        <color rgb="FF000000"/>
        <rFont val="Calibri"/>
      </rPr>
      <t>True: Enable Logging Of Successful Connections</t>
    </r>
    <r>
      <rPr>
        <sz val="11"/>
        <color rgb="FF000000"/>
        <rFont val="Calibri"/>
      </rPr>
      <t xml:space="preserve">: </t>
    </r>
    <r>
      <rPr>
        <sz val="11"/>
        <color rgb="FF000000"/>
        <rFont val="Calibri"/>
      </rPr>
      <t xml:space="preserve">
</t>
    </r>
    <r>
      <rPr>
        <sz val="11"/>
        <color rgb="FF006096"/>
        <rFont val="Roboto Condensed"/>
      </rPr>
      <t>Firewall\Enable Private Network Firewall: Enable Log Success Connections</t>
    </r>
  </si>
  <si>
    <t>https://learn.microsoft.com/en-us/windows/client-management/mdm/firewall-csp?WT.mc_id=Portal-fx#mdmstoreprivateprofileenablelogsuccessconnections</t>
  </si>
  <si>
    <t>10.2.4</t>
  </si>
  <si>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</si>
  <si>
    <r>
      <rPr>
        <sz val="11"/>
        <color rgb="FF000000"/>
        <rFont val="Calibri"/>
      </rPr>
      <t xml:space="preserve">Set the following Settings Catalog path to </t>
    </r>
    <r>
      <rPr>
        <b/>
        <sz val="11"/>
        <color rgb="FF000000"/>
        <rFont val="Calibri"/>
      </rPr>
      <t>True: Enable Logging Of Dropped Packets</t>
    </r>
    <r>
      <rPr>
        <sz val="11"/>
        <color rgb="FF000000"/>
        <rFont val="Calibri"/>
      </rPr>
      <t xml:space="preserve">: </t>
    </r>
    <r>
      <rPr>
        <sz val="11"/>
        <color rgb="FF000000"/>
        <rFont val="Calibri"/>
      </rPr>
      <t xml:space="preserve">
</t>
    </r>
    <r>
      <rPr>
        <sz val="11"/>
        <color rgb="FF006096"/>
        <rFont val="Roboto Condensed"/>
      </rPr>
      <t>Firewall\Enable Private Network Firewall: Enable Log Dropped Packets</t>
    </r>
  </si>
  <si>
    <t>https://learn.microsoft.com/en-us/windows/client-management/mdm/firewall-csp?WT.mc_id=Portal-fx#mdmstoreprivateprofileenablelogdroppedpackets</t>
  </si>
  <si>
    <t>10.2.5</t>
  </si>
  <si>
    <r>
      <rPr>
        <sz val="11"/>
        <rFont val="Calibri"/>
      </rPr>
      <t xml:space="preserve">Ensure </t>
    </r>
    <r>
      <rPr>
        <sz val="11"/>
        <color rgb="FF000000"/>
        <rFont val="Calibri"/>
      </rPr>
      <t>'</t>
    </r>
    <r>
      <rPr>
        <b/>
        <sz val="11"/>
        <color rgb="FF000000"/>
        <rFont val="Calibri"/>
      </rPr>
      <t>Enable Private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</si>
  <si>
    <r>
      <rPr>
        <sz val="11"/>
        <color rgb="FF000000"/>
        <rFont val="Calibri"/>
      </rPr>
      <t xml:space="preserve">Set the following Settings Catalog path to </t>
    </r>
    <r>
      <rPr>
        <b/>
        <sz val="11"/>
        <color rgb="FF000000"/>
        <rFont val="Calibri"/>
      </rPr>
      <t>True: Allow</t>
    </r>
    <r>
      <rPr>
        <sz val="11"/>
        <color rgb="FF000000"/>
        <rFont val="Calibri"/>
      </rPr>
      <t xml:space="preserve">: </t>
    </r>
    <r>
      <rPr>
        <sz val="11"/>
        <color rgb="FF000000"/>
        <rFont val="Calibri"/>
      </rPr>
      <t xml:space="preserve">
</t>
    </r>
    <r>
      <rPr>
        <sz val="11"/>
        <color rgb="FF006096"/>
        <rFont val="Roboto Condensed"/>
      </rPr>
      <t>Firewall\Enable Private Network Firewall: Default Outbound Action</t>
    </r>
  </si>
  <si>
    <t>https://learn.microsoft.com/en-us/windows/client-management/mdm/firewall-csp?WT.mc_id=Portal-fx#mdmstoreprivateprofiledefaultoutboundaction</t>
  </si>
  <si>
    <t>10.2.6</t>
  </si>
  <si>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</si>
  <si>
    <r>
      <rPr>
        <sz val="11"/>
        <color rgb="FF000000"/>
        <rFont val="Calibri"/>
      </rPr>
      <t xml:space="preserve">Set the following Settings Catalog path to </t>
    </r>
    <r>
      <rPr>
        <b/>
        <sz val="11"/>
        <color rgb="FF000000"/>
        <rFont val="Calibri"/>
      </rPr>
      <t>True: True</t>
    </r>
    <r>
      <rPr>
        <sz val="11"/>
        <color rgb="FF000000"/>
        <rFont val="Calibri"/>
      </rPr>
      <t xml:space="preserve">: </t>
    </r>
    <r>
      <rPr>
        <sz val="11"/>
        <color rgb="FF000000"/>
        <rFont val="Calibri"/>
      </rPr>
      <t xml:space="preserve">
</t>
    </r>
    <r>
      <rPr>
        <sz val="11"/>
        <color rgb="FF006096"/>
        <rFont val="Roboto Condensed"/>
      </rPr>
      <t>Firewall\Enable Private Network Firewall: Disable Inbound Notifications</t>
    </r>
  </si>
  <si>
    <t>https://learn.microsoft.com/en-us/windows/client-management/mdm/firewall-csp?WT.mc_id=Portal-fx#mdmstoreprivateprofiledisableinboundnotifications</t>
  </si>
  <si>
    <t>10.3.1</t>
  </si>
  <si>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Dropped Packets</t>
    </r>
    <r>
      <rPr>
        <sz val="11"/>
        <color rgb="FF000000"/>
        <rFont val="Calibri"/>
      </rPr>
      <t>'</t>
    </r>
  </si>
  <si>
    <r>
      <rPr>
        <sz val="11"/>
        <color rgb="FF000000"/>
        <rFont val="Calibri"/>
      </rPr>
      <t xml:space="preserve">Set the following Settings Catalog path to </t>
    </r>
    <r>
      <rPr>
        <b/>
        <sz val="11"/>
        <color rgb="FF000000"/>
        <rFont val="Calibri"/>
      </rPr>
      <t>True: Enable Logging Of Dropped Packets</t>
    </r>
    <r>
      <rPr>
        <sz val="11"/>
        <color rgb="FF000000"/>
        <rFont val="Calibri"/>
      </rPr>
      <t xml:space="preserve">: </t>
    </r>
    <r>
      <rPr>
        <sz val="11"/>
        <color rgb="FF000000"/>
        <rFont val="Calibri"/>
      </rPr>
      <t xml:space="preserve">
</t>
    </r>
    <r>
      <rPr>
        <sz val="11"/>
        <color rgb="FF006096"/>
        <rFont val="Roboto Condensed"/>
      </rPr>
      <t>Firewall\Enable Public Network Firewall: Enable Log Dropped Packets</t>
    </r>
  </si>
  <si>
    <t>https://learn.microsoft.com/en-us/windows/client-management/mdm/firewall-csp?WT.mc_id=Portal-fx#mdmstorepublicprofileenablelogdroppedpackets</t>
  </si>
  <si>
    <t>10.3.2</t>
  </si>
  <si>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True: 16384</t>
    </r>
    <r>
      <rPr>
        <sz val="11"/>
        <color rgb="FF000000"/>
        <rFont val="Calibri"/>
      </rPr>
      <t>'</t>
    </r>
  </si>
  <si>
    <r>
      <rPr>
        <sz val="11"/>
        <color rgb="FF000000"/>
        <rFont val="Calibri"/>
      </rPr>
      <t xml:space="preserve">Set the following Settings Catalog path to </t>
    </r>
    <r>
      <rPr>
        <b/>
        <sz val="11"/>
        <color rgb="FF000000"/>
        <rFont val="Calibri"/>
      </rPr>
      <t>True: 16384</t>
    </r>
    <r>
      <rPr>
        <sz val="11"/>
        <color rgb="FF000000"/>
        <rFont val="Calibri"/>
      </rPr>
      <t xml:space="preserve">: </t>
    </r>
    <r>
      <rPr>
        <sz val="11"/>
        <color rgb="FF000000"/>
        <rFont val="Calibri"/>
      </rPr>
      <t xml:space="preserve">
</t>
    </r>
    <r>
      <rPr>
        <sz val="11"/>
        <color rgb="FF006096"/>
        <rFont val="Roboto Condensed"/>
      </rPr>
      <t>Firewall\Enable Public Network Firewall: Log Max File Size</t>
    </r>
  </si>
  <si>
    <t>https://learn.microsoft.com/en-us/windows/client-management/mdm/firewall-csp?WT.mc_id=Portal-fx#mdmstorepublicprofilelogmaxfilesize</t>
  </si>
  <si>
    <t>10.3.3</t>
  </si>
  <si>
    <r>
      <rPr>
        <sz val="11"/>
        <rFont val="Calibri"/>
      </rPr>
      <t xml:space="preserve">Ensure </t>
    </r>
    <r>
      <rPr>
        <sz val="11"/>
        <color rgb="FF000000"/>
        <rFont val="Calibri"/>
      </rPr>
      <t>'</t>
    </r>
    <r>
      <rPr>
        <b/>
        <sz val="11"/>
        <color rgb="FF000000"/>
        <rFont val="Calibri"/>
      </rPr>
      <t>Enable Public Network Firewall: Default Outbound Action</t>
    </r>
    <r>
      <rPr>
        <sz val="11"/>
        <color rgb="FF000000"/>
        <rFont val="Calibri"/>
      </rPr>
      <t>'</t>
    </r>
    <r>
      <rPr>
        <sz val="11"/>
        <color rgb="FF000000"/>
        <rFont val="Calibri"/>
      </rPr>
      <t xml:space="preserve"> is set to </t>
    </r>
    <r>
      <rPr>
        <sz val="11"/>
        <color rgb="FF000000"/>
        <rFont val="Calibri"/>
      </rPr>
      <t>'</t>
    </r>
    <r>
      <rPr>
        <b/>
        <sz val="11"/>
        <color rgb="FF000000"/>
        <rFont val="Calibri"/>
      </rPr>
      <t>True: Allow</t>
    </r>
    <r>
      <rPr>
        <sz val="11"/>
        <color rgb="FF000000"/>
        <rFont val="Calibri"/>
      </rPr>
      <t>'</t>
    </r>
  </si>
  <si>
    <r>
      <rPr>
        <sz val="11"/>
        <color rgb="FF000000"/>
        <rFont val="Calibri"/>
      </rPr>
      <t xml:space="preserve">Set the following Settings Catalog path to </t>
    </r>
    <r>
      <rPr>
        <b/>
        <sz val="11"/>
        <color rgb="FF000000"/>
        <rFont val="Calibri"/>
      </rPr>
      <t>True: Allow</t>
    </r>
    <r>
      <rPr>
        <sz val="11"/>
        <color rgb="FF000000"/>
        <rFont val="Calibri"/>
      </rPr>
      <t xml:space="preserve">: </t>
    </r>
    <r>
      <rPr>
        <sz val="11"/>
        <color rgb="FF000000"/>
        <rFont val="Calibri"/>
      </rPr>
      <t xml:space="preserve">
</t>
    </r>
    <r>
      <rPr>
        <sz val="11"/>
        <color rgb="FF006096"/>
        <rFont val="Roboto Condensed"/>
      </rPr>
      <t>Firewall\Enable Public Network Firewall: Default Outbound Action</t>
    </r>
  </si>
  <si>
    <t>https://learn.microsoft.com/en-us/windows/client-management/mdm/firewall-csp?WT.mc_id=Portal-fx#mdmstorepublicprofiledefaultoutboundaction</t>
  </si>
  <si>
    <t>10.3.4</t>
  </si>
  <si>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 True</t>
    </r>
    <r>
      <rPr>
        <sz val="11"/>
        <color rgb="FF000000"/>
        <rFont val="Calibri"/>
      </rPr>
      <t>'</t>
    </r>
  </si>
  <si>
    <r>
      <rPr>
        <sz val="11"/>
        <color rgb="FF000000"/>
        <rFont val="Calibri"/>
      </rPr>
      <t xml:space="preserve">Set the following Settings Catalog path to </t>
    </r>
    <r>
      <rPr>
        <b/>
        <sz val="11"/>
        <color rgb="FF000000"/>
        <rFont val="Calibri"/>
      </rPr>
      <t>True: True</t>
    </r>
    <r>
      <rPr>
        <sz val="11"/>
        <color rgb="FF000000"/>
        <rFont val="Calibri"/>
      </rPr>
      <t xml:space="preserve">: </t>
    </r>
    <r>
      <rPr>
        <sz val="11"/>
        <color rgb="FF000000"/>
        <rFont val="Calibri"/>
      </rPr>
      <t xml:space="preserve">
</t>
    </r>
    <r>
      <rPr>
        <sz val="11"/>
        <color rgb="FF006096"/>
        <rFont val="Roboto Condensed"/>
      </rPr>
      <t>Firewall\Enable Public Network Firewall: Disable Inbound Notifications</t>
    </r>
  </si>
  <si>
    <t>https://learn.microsoft.com/en-us/windows/client-management/mdm/firewall-csp?WT.mc_id=Portal-fx#mdmstorepublicprofiledisableinboundnotifications</t>
  </si>
  <si>
    <t>10.3.5</t>
  </si>
  <si>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True: Block</t>
    </r>
    <r>
      <rPr>
        <sz val="11"/>
        <color rgb="FF000000"/>
        <rFont val="Calibri"/>
      </rPr>
      <t>'</t>
    </r>
  </si>
  <si>
    <r>
      <rPr>
        <sz val="11"/>
        <color rgb="FF000000"/>
        <rFont val="Calibri"/>
      </rPr>
      <t xml:space="preserve">Set the following Settings Catalog path to </t>
    </r>
    <r>
      <rPr>
        <b/>
        <sz val="11"/>
        <color rgb="FF000000"/>
        <rFont val="Calibri"/>
      </rPr>
      <t>True: Block</t>
    </r>
    <r>
      <rPr>
        <sz val="11"/>
        <color rgb="FF000000"/>
        <rFont val="Calibri"/>
      </rPr>
      <t xml:space="preserve">: </t>
    </r>
    <r>
      <rPr>
        <sz val="11"/>
        <color rgb="FF000000"/>
        <rFont val="Calibri"/>
      </rPr>
      <t xml:space="preserve">
</t>
    </r>
    <r>
      <rPr>
        <sz val="11"/>
        <color rgb="FF006096"/>
        <rFont val="Roboto Condensed"/>
      </rPr>
      <t>Firewall\Enable Public Network Firewall: Default Inbound Action for Public Profile</t>
    </r>
  </si>
  <si>
    <t>https://learn.microsoft.com/en-us/windows/client-management/mdm/firewall-csp?WT.mc_id=Portal-fx#mdmstorepublicprofiledefaultinboundaction</t>
  </si>
  <si>
    <t>10.3.6</t>
  </si>
  <si>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True: False</t>
    </r>
    <r>
      <rPr>
        <sz val="11"/>
        <color rgb="FF000000"/>
        <rFont val="Calibri"/>
      </rPr>
      <t>'</t>
    </r>
  </si>
  <si>
    <r>
      <rPr>
        <sz val="11"/>
        <color rgb="FF000000"/>
        <rFont val="Calibri"/>
      </rPr>
      <t xml:space="preserve">Set the following Settings Catalog path to </t>
    </r>
    <r>
      <rPr>
        <b/>
        <sz val="11"/>
        <color rgb="FF000000"/>
        <rFont val="Calibri"/>
      </rPr>
      <t>True: False</t>
    </r>
    <r>
      <rPr>
        <sz val="11"/>
        <color rgb="FF000000"/>
        <rFont val="Calibri"/>
      </rPr>
      <t xml:space="preserve">: </t>
    </r>
    <r>
      <rPr>
        <sz val="11"/>
        <color rgb="FF000000"/>
        <rFont val="Calibri"/>
      </rPr>
      <t xml:space="preserve">
</t>
    </r>
    <r>
      <rPr>
        <sz val="11"/>
        <color rgb="FF006096"/>
        <rFont val="Roboto Condensed"/>
      </rPr>
      <t>Firewall\Enable Public Network Firewall: Allow Local Policy Merge</t>
    </r>
  </si>
  <si>
    <t>https://learn.microsoft.com/en-us/windows/client-management/mdm/firewall-csp?WT.mc_id=Portal-fx#mdmstorepublicprofileallowlocalpolicymerge</t>
  </si>
  <si>
    <t>10.3.7</t>
  </si>
  <si>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True: Enable Logging Of Successful Connections</t>
    </r>
    <r>
      <rPr>
        <sz val="11"/>
        <color rgb="FF000000"/>
        <rFont val="Calibri"/>
      </rPr>
      <t>'</t>
    </r>
  </si>
  <si>
    <r>
      <rPr>
        <sz val="11"/>
        <color rgb="FF000000"/>
        <rFont val="Calibri"/>
      </rPr>
      <t xml:space="preserve">Set the following Settings Catalog path to </t>
    </r>
    <r>
      <rPr>
        <b/>
        <sz val="11"/>
        <color rgb="FF000000"/>
        <rFont val="Calibri"/>
      </rPr>
      <t>True: Enable Logging Of Successful Connections</t>
    </r>
    <r>
      <rPr>
        <sz val="11"/>
        <color rgb="FF000000"/>
        <rFont val="Calibri"/>
      </rPr>
      <t xml:space="preserve">: </t>
    </r>
    <r>
      <rPr>
        <sz val="11"/>
        <color rgb="FF000000"/>
        <rFont val="Calibri"/>
      </rPr>
      <t xml:space="preserve">
</t>
    </r>
    <r>
      <rPr>
        <sz val="11"/>
        <color rgb="FF006096"/>
        <rFont val="Roboto Condensed"/>
      </rPr>
      <t>Firewall\Enable Public Network Firewall: Enable Log Success Connections</t>
    </r>
  </si>
  <si>
    <t>https://learn.microsoft.com/en-us/windows/client-management/mdm/firewall-csp?WT.mc_id=Portal-fx#mdmstorepublicprofileenablelogsuccessconnections</t>
  </si>
  <si>
    <t>10.3.8</t>
  </si>
  <si>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True: False</t>
    </r>
    <r>
      <rPr>
        <sz val="11"/>
        <color rgb="FF000000"/>
        <rFont val="Calibri"/>
      </rPr>
      <t>'</t>
    </r>
  </si>
  <si>
    <r>
      <rPr>
        <sz val="11"/>
        <color rgb="FF000000"/>
        <rFont val="Calibri"/>
      </rPr>
      <t xml:space="preserve">Set the following Settings Catalog path to </t>
    </r>
    <r>
      <rPr>
        <b/>
        <sz val="11"/>
        <color rgb="FF000000"/>
        <rFont val="Calibri"/>
      </rPr>
      <t>True: False</t>
    </r>
    <r>
      <rPr>
        <sz val="11"/>
        <color rgb="FF000000"/>
        <rFont val="Calibri"/>
      </rPr>
      <t xml:space="preserve">: </t>
    </r>
    <r>
      <rPr>
        <sz val="11"/>
        <color rgb="FF000000"/>
        <rFont val="Calibri"/>
      </rPr>
      <t xml:space="preserve">
</t>
    </r>
    <r>
      <rPr>
        <sz val="11"/>
        <color rgb="FF006096"/>
        <rFont val="Roboto Condensed"/>
      </rPr>
      <t>Firewall\Enable Public Network Firewall: Allow Local Ipsec Policy Merge</t>
    </r>
  </si>
  <si>
    <t>https://learn.microsoft.com/en-us/windows/client-management/mdm/firewall-csp?WT.mc_id=Portal-fx#mdmstorepublicprofileallowlocalipsecpolicymerge</t>
  </si>
  <si>
    <t>Lanman Server</t>
  </si>
  <si>
    <t>11.1</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</si>
  <si>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</si>
  <si>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Server\Audit Client Does Not Support Encryption</t>
    </r>
  </si>
  <si>
    <r>
      <rPr>
        <sz val="11"/>
        <color rgb="FF000000"/>
        <rFont val="Calibri"/>
      </rPr>
      <t>This policy controls whether the SMB server will log the event when the SMB client doesn't support encryption.-  If you enable this policy setting, the SMB server will log the event when the SMB client doesn't support encryption.</t>
    </r>
    <r>
      <rPr>
        <sz val="11"/>
        <color rgb="FF000000"/>
        <rFont val="Calibri"/>
      </rPr>
      <t xml:space="preserve">
</t>
    </r>
    <r>
      <rPr>
        <sz val="11"/>
        <color rgb="FF000000"/>
        <rFont val="Calibri"/>
      </rPr>
      <t>-  If you disable or don't configure this policy setting, the SMB server won't log the event.</t>
    </r>
  </si>
  <si>
    <t>https://learn.microsoft.com/en-us/intune/device-security/security-baselines/ref-windows-mdm-settings?pivots=mdm-24h2#lanman-server-1</t>
  </si>
  <si>
    <t>https://learn.microsoft.com/en-us/windows/client-management/mdm/policy-csp-lanmanserver#auditclientdoesnotsupportencryption</t>
  </si>
  <si>
    <t>./Device/Vendor/MSFT/Policy/Config/LanmanServer/AuditClientDoesNotSupportEncryption</t>
  </si>
  <si>
    <t>Pol_AuditClientDoesNotSupportEncryption</t>
  </si>
  <si>
    <t>Audit client does not support encryption</t>
  </si>
  <si>
    <t>Network &gt; Lanman Server</t>
  </si>
  <si>
    <t>Software\Policies\Microsoft\Windows\LanmanServer</t>
  </si>
  <si>
    <t>AuditClientDoesNotSupportEncryption</t>
  </si>
  <si>
    <t>LanmanServer.admx</t>
  </si>
  <si>
    <t>11.2</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</si>
  <si>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</si>
  <si>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Server\Audit Client Does Not Support Signing</t>
    </r>
  </si>
  <si>
    <r>
      <rPr>
        <sz val="11"/>
        <color rgb="FF000000"/>
        <rFont val="Calibri"/>
      </rPr>
      <t>This policy controls whether the SMB server will log the event when the SMB client doesn't support signing.If you enable this policy setting, the SMB server will log the event when the SMB client doesn't support signing.</t>
    </r>
  </si>
  <si>
    <t>https://learn.microsoft.com/en-us/windows/client-management/mdm/policy-csp-lanmanserver#auditclientdoesnotsupportsigning</t>
  </si>
  <si>
    <t>./Device/Vendor/MSFT/Policy/Config/LanmanServer/AuditClientDoesNotSupportSigning</t>
  </si>
  <si>
    <t>Pol_AuditClientDoesNotSupportSigning</t>
  </si>
  <si>
    <t>Audit client does not support signing</t>
  </si>
  <si>
    <t>AuditClientDoesNotSupportSigning</t>
  </si>
  <si>
    <t>11.3</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</si>
  <si>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</si>
  <si>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Server\Audit Insecure Guest Logon</t>
    </r>
  </si>
  <si>
    <r>
      <rPr>
        <sz val="11"/>
        <color rgb="FF000000"/>
        <rFont val="Calibri"/>
      </rPr>
      <t>This policy controls whether the SMB server will enable the audit event when the client is logged-on as guest account.-  If you enable this policy setting, the SMB server will log the event when the client is logged-on as guest account.</t>
    </r>
    <r>
      <rPr>
        <sz val="11"/>
        <color rgb="FF000000"/>
        <rFont val="Calibri"/>
      </rPr>
      <t xml:space="preserve">
</t>
    </r>
    <r>
      <rPr>
        <sz val="11"/>
        <color rgb="FF000000"/>
        <rFont val="Calibri"/>
      </rPr>
      <t>-  If you disable or don't configure this policy setting, the SMB server won't log the event.</t>
    </r>
  </si>
  <si>
    <t>https://learn.microsoft.com/en-us/windows/client-management/mdm/policy-csp-lanmanserver#auditinsecureguestlogon</t>
  </si>
  <si>
    <t>./Device/Vendor/MSFT/Policy/Config/LanmanServer/AuditInsecureGuestLogon</t>
  </si>
  <si>
    <t>Pol_AuditInsecureGuestLogon</t>
  </si>
  <si>
    <t>Audit insecure guest logon</t>
  </si>
  <si>
    <t>AuditInsecureGuestLogon</t>
  </si>
  <si>
    <t>11.4</t>
  </si>
  <si>
    <r>
      <rPr>
        <sz val="11"/>
        <rFont val="Calibri"/>
      </rPr>
      <t xml:space="preserve">Ensure </t>
    </r>
    <r>
      <rPr>
        <sz val="11"/>
        <color rgb="FF000000"/>
        <rFont val="Calibri"/>
      </rPr>
      <t>'</t>
    </r>
    <r>
      <rPr>
        <b/>
        <sz val="11"/>
        <color rgb="FF000000"/>
        <rFont val="Calibri"/>
      </rPr>
      <t>Auth Rate Limiter Delay In Ms</t>
    </r>
    <r>
      <rPr>
        <sz val="11"/>
        <color rgb="FF000000"/>
        <rFont val="Calibri"/>
      </rPr>
      <t>'</t>
    </r>
    <r>
      <rPr>
        <sz val="11"/>
        <color rgb="FF000000"/>
        <rFont val="Calibri"/>
      </rPr>
      <t xml:space="preserve"> is set to </t>
    </r>
    <r>
      <rPr>
        <sz val="11"/>
        <color rgb="FF000000"/>
        <rFont val="Calibri"/>
      </rPr>
      <t>'</t>
    </r>
    <r>
      <rPr>
        <b/>
        <sz val="11"/>
        <color rgb="FF000000"/>
        <rFont val="Calibri"/>
      </rPr>
      <t>2000</t>
    </r>
    <r>
      <rPr>
        <sz val="11"/>
        <color rgb="FF000000"/>
        <rFont val="Calibri"/>
      </rPr>
      <t>'</t>
    </r>
  </si>
  <si>
    <r>
      <rPr>
        <sz val="11"/>
        <color rgb="FF000000"/>
        <rFont val="Calibri"/>
      </rPr>
      <t xml:space="preserve">Set the following Settings Catalog path to </t>
    </r>
    <r>
      <rPr>
        <b/>
        <sz val="11"/>
        <color rgb="FF000000"/>
        <rFont val="Calibri"/>
      </rPr>
      <t>2000</t>
    </r>
    <r>
      <rPr>
        <sz val="11"/>
        <color rgb="FF000000"/>
        <rFont val="Calibri"/>
      </rPr>
      <t xml:space="preserve">: </t>
    </r>
    <r>
      <rPr>
        <sz val="11"/>
        <color rgb="FF000000"/>
        <rFont val="Calibri"/>
      </rPr>
      <t xml:space="preserve">
</t>
    </r>
    <r>
      <rPr>
        <sz val="11"/>
        <color rgb="FF006096"/>
        <rFont val="Roboto Condensed"/>
      </rPr>
      <t>Lanman Server\Auth Rate Limiter Delay In Ms</t>
    </r>
  </si>
  <si>
    <r>
      <rPr>
        <sz val="11"/>
        <color rgb="FF000000"/>
        <rFont val="Calibri"/>
      </rPr>
      <t>This policy controls whether the SMB server will use a default value in milliseconds for the invalid authentication delay.-  If you configure this policy setting, the authentication rate limiter will use the specified value for delaying invalid authentication attempts.</t>
    </r>
    <r>
      <rPr>
        <sz val="11"/>
        <color rgb="FF000000"/>
        <rFont val="Calibri"/>
      </rPr>
      <t xml:space="preserve">
</t>
    </r>
    <r>
      <rPr>
        <sz val="11"/>
        <color rgb="FF000000"/>
        <rFont val="Calibri"/>
      </rPr>
      <t>-  If you don't configure this policy setting, the authentication rate limiter will use the default value or the value from local registry under HKLM\SYSTEM\CurrentControlSet\Services\LanmanServer\Parameters.</t>
    </r>
  </si>
  <si>
    <t>https://learn.microsoft.com/en-us/windows/client-management/mdm/policy-csp-lanmanserver#authratelimiterdelayinms</t>
  </si>
  <si>
    <t>./Device/Vendor/MSFT/Policy/Config/LanmanServer/AuthRateLimiterDelayInMs</t>
  </si>
  <si>
    <t>Pol_AuthRateLimiterDelayInMs</t>
  </si>
  <si>
    <t>Set authentication rate limiter delay (milliseconds)</t>
  </si>
  <si>
    <t>11.5</t>
  </si>
  <si>
    <r>
      <rPr>
        <sz val="11"/>
        <rFont val="Calibri"/>
      </rPr>
      <t xml:space="preserve">Ensure </t>
    </r>
    <r>
      <rPr>
        <sz val="11"/>
        <color rgb="FF000000"/>
        <rFont val="Calibri"/>
      </rPr>
      <t>'</t>
    </r>
    <r>
      <rPr>
        <b/>
        <sz val="11"/>
        <color rgb="FF000000"/>
        <rFont val="Calibri"/>
      </rPr>
      <t>Enable Auth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</si>
  <si>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Server\Enable Auth Rate Limiter</t>
    </r>
  </si>
  <si>
    <r>
      <rPr>
        <sz val="11"/>
        <color rgb="FF000000"/>
        <rFont val="Calibri"/>
      </rPr>
      <t>This policy controls whether the SMB server will enable or disable the authentication rate limiter.-  If you disable this policy setting, the authentication rate limiter won't be enabled.</t>
    </r>
    <r>
      <rPr>
        <sz val="11"/>
        <color rgb="FF000000"/>
        <rFont val="Calibri"/>
      </rPr>
      <t xml:space="preserve">
</t>
    </r>
    <r>
      <rPr>
        <sz val="11"/>
        <color rgb="FF000000"/>
        <rFont val="Calibri"/>
      </rPr>
      <t>-  If you don't configure this policy setting, the authentication rate limiter may still be working depending on the delay settings (the recommended delay value is 2000ms).</t>
    </r>
  </si>
  <si>
    <t>https://learn.microsoft.com/en-us/windows/client-management/mdm/policy-csp-lanmanserver#enableauthratelimiter</t>
  </si>
  <si>
    <t>./Device/Vendor/MSFT/Policy/Config/LanmanServer/EnableAuthRateLimiter</t>
  </si>
  <si>
    <t>Pol_EnableAuthRateLimiter</t>
  </si>
  <si>
    <t>Enable authentication rate limiter</t>
  </si>
  <si>
    <t>EnableAuthRateLimiter</t>
  </si>
  <si>
    <t>11.6</t>
  </si>
  <si>
    <r>
      <rPr>
        <sz val="11"/>
        <rFont val="Calibri"/>
      </rPr>
      <t xml:space="preserve">Ensure </t>
    </r>
    <r>
      <rPr>
        <sz val="11"/>
        <color rgb="FF000000"/>
        <rFont val="Calibri"/>
      </rPr>
      <t>'</t>
    </r>
    <r>
      <rPr>
        <b/>
        <sz val="11"/>
        <color rgb="FF000000"/>
        <rFont val="Calibri"/>
      </rPr>
      <t>Max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</si>
  <si>
    <r>
      <rPr>
        <sz val="11"/>
        <color rgb="FF000000"/>
        <rFont val="Calibri"/>
      </rPr>
      <t xml:space="preserve">Set the following Settings Catalog path to </t>
    </r>
    <r>
      <rPr>
        <b/>
        <sz val="11"/>
        <color rgb="FF000000"/>
        <rFont val="Calibri"/>
      </rPr>
      <t>SMB 3.1.1</t>
    </r>
    <r>
      <rPr>
        <sz val="11"/>
        <color rgb="FF000000"/>
        <rFont val="Calibri"/>
      </rPr>
      <t xml:space="preserve">: </t>
    </r>
    <r>
      <rPr>
        <sz val="11"/>
        <color rgb="FF000000"/>
        <rFont val="Calibri"/>
      </rPr>
      <t xml:space="preserve">
</t>
    </r>
    <r>
      <rPr>
        <sz val="11"/>
        <color rgb="FF006096"/>
        <rFont val="Roboto Condensed"/>
      </rPr>
      <t>Lanman Server\Max SMB 2 Dialect</t>
    </r>
  </si>
  <si>
    <r>
      <rPr>
        <sz val="11"/>
        <color rgb="FF000000"/>
        <rFont val="Calibri"/>
      </rPr>
      <t>This policy controls the maximum version of SMB protocol.</t>
    </r>
    <r>
      <rPr>
        <sz val="11"/>
        <color rgb="FF000000"/>
        <rFont val="Calibri"/>
      </rPr>
      <t>Note: This group policy doesn't prevent use of SMB 1 if that component is still installed and enabled.</t>
    </r>
    <r>
      <rPr>
        <sz val="11"/>
        <color rgb="FF000000"/>
        <rFont val="Calibri"/>
      </rPr>
      <t xml:space="preserve">
</t>
    </r>
    <r>
      <rPr>
        <sz val="11"/>
        <color rgb="FF000000"/>
        <rFont val="Calibri"/>
      </rPr>
      <t>This group policy doesn't prevent use of SMB 1 if that component is still installed and enabled.</t>
    </r>
  </si>
  <si>
    <t>https://learn.microsoft.com/en-us/windows/client-management/mdm/policy-csp-lanmanserver#maxsmb2dialect</t>
  </si>
  <si>
    <t>./Device/Vendor/MSFT/Policy/Config/LanmanServer/MaxSmb2Dialect</t>
  </si>
  <si>
    <t>Pol_MaxSmb2Dialect</t>
  </si>
  <si>
    <t>Mandate the maximum version of SMB</t>
  </si>
  <si>
    <t>11.7</t>
  </si>
  <si>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3.0.0</t>
    </r>
    <r>
      <rPr>
        <sz val="11"/>
        <color rgb="FF000000"/>
        <rFont val="Calibri"/>
      </rPr>
      <t>'</t>
    </r>
  </si>
  <si>
    <r>
      <rPr>
        <sz val="11"/>
        <color rgb="FF000000"/>
        <rFont val="Calibri"/>
      </rPr>
      <t xml:space="preserve">Set the following Settings Catalog path to </t>
    </r>
    <r>
      <rPr>
        <b/>
        <sz val="11"/>
        <color rgb="FF000000"/>
        <rFont val="Calibri"/>
      </rPr>
      <t>3.0.0</t>
    </r>
    <r>
      <rPr>
        <sz val="11"/>
        <color rgb="FF000000"/>
        <rFont val="Calibri"/>
      </rPr>
      <t xml:space="preserve">: </t>
    </r>
    <r>
      <rPr>
        <sz val="11"/>
        <color rgb="FF000000"/>
        <rFont val="Calibri"/>
      </rPr>
      <t xml:space="preserve">
</t>
    </r>
    <r>
      <rPr>
        <sz val="11"/>
        <color rgb="FF006096"/>
        <rFont val="Roboto Condensed"/>
      </rPr>
      <t>Lanman Server\Min SMB 2 Dialect</t>
    </r>
  </si>
  <si>
    <r>
      <rPr>
        <sz val="11"/>
        <color rgb="FF000000"/>
        <rFont val="Calibri"/>
      </rPr>
      <t>This policy controls the minimum version of SMB protocol.</t>
    </r>
    <r>
      <rPr>
        <sz val="11"/>
        <color rgb="FF000000"/>
        <rFont val="Calibri"/>
      </rPr>
      <t>Note: This group policy doesn't prevent use of SMB 1 if that component is still installed and enabled.</t>
    </r>
    <r>
      <rPr>
        <sz val="11"/>
        <color rgb="FF000000"/>
        <rFont val="Calibri"/>
      </rPr>
      <t xml:space="preserve">
</t>
    </r>
    <r>
      <rPr>
        <sz val="11"/>
        <color rgb="FF000000"/>
        <rFont val="Calibri"/>
      </rPr>
      <t>This group policy doesn't prevent use of SMB 1 if that component is still installed and enabled.</t>
    </r>
  </si>
  <si>
    <t>https://learn.microsoft.com/en-us/windows/client-management/mdm/policy-csp-lanmanserver#minsmb2dialect</t>
  </si>
  <si>
    <t>./Device/Vendor/MSFT/Policy/Config/LanmanServer/MinSmb2Dialect</t>
  </si>
  <si>
    <t>Pol_MinSmb2Dialect</t>
  </si>
  <si>
    <t>Mandate the minimum version of SMB</t>
  </si>
  <si>
    <t>11.8</t>
  </si>
  <si>
    <r>
      <rPr>
        <sz val="11"/>
        <rFont val="Calibri"/>
      </rPr>
      <t xml:space="preserve">Ensure </t>
    </r>
    <r>
      <rPr>
        <sz val="11"/>
        <color rgb="FF000000"/>
        <rFont val="Calibri"/>
      </rPr>
      <t>'</t>
    </r>
    <r>
      <rPr>
        <b/>
        <sz val="11"/>
        <color rgb="FF000000"/>
        <rFont val="Calibri"/>
      </rPr>
      <t>Enable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</si>
  <si>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Lanman Server\Enable Mailslots</t>
    </r>
  </si>
  <si>
    <r>
      <rPr>
        <sz val="11"/>
        <color rgb="FF000000"/>
        <rFont val="Calibri"/>
      </rPr>
      <t>This policy controls whether the SMB server will enable or disable remote mailslots over the computer browser service.-  If you disable this policy setting, the computer browser service will no longer run as expected.</t>
    </r>
    <r>
      <rPr>
        <sz val="11"/>
        <color rgb="FF000000"/>
        <rFont val="Calibri"/>
      </rPr>
      <t xml:space="preserve">
</t>
    </r>
    <r>
      <rPr>
        <sz val="11"/>
        <color rgb="FF000000"/>
        <rFont val="Calibri"/>
      </rPr>
      <t>-  If you don't configure this policy setting, the computer browser may still be working with remote mailslots enabled.</t>
    </r>
    <r>
      <rPr>
        <sz val="11"/>
        <color rgb="FF000000"/>
        <rFont val="Calibri"/>
      </rPr>
      <t>Note: This policy requires a Windows reboot to take effect.</t>
    </r>
    <r>
      <rPr>
        <sz val="11"/>
        <color rgb="FF000000"/>
        <rFont val="Calibri"/>
      </rPr>
      <t xml:space="preserve">
</t>
    </r>
    <r>
      <rPr>
        <sz val="11"/>
        <color rgb="FF000000"/>
        <rFont val="Calibri"/>
      </rPr>
      <t>This policy requires a Windows reboot to take effect.</t>
    </r>
  </si>
  <si>
    <t>https://learn.microsoft.com/en-us/windows/client-management/mdm/policy-csp-lanmanserver#enablemailslots</t>
  </si>
  <si>
    <t>./Device/Vendor/MSFT/Policy/Config/LanmanServer/EnableMailslots</t>
  </si>
  <si>
    <t>Pol_EnableMailslots</t>
  </si>
  <si>
    <t>Enable remote mailslots</t>
  </si>
  <si>
    <t>Software\Policies\Microsoft\Windows\Bowser</t>
  </si>
  <si>
    <t>EnableMailslots</t>
  </si>
  <si>
    <t>Lanman Workstation</t>
  </si>
  <si>
    <t>12.1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</si>
  <si>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</si>
  <si>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Lanman Workstation\Enable Insecure Guest Logons</t>
    </r>
  </si>
  <si>
    <r>
      <rPr>
        <sz val="11"/>
        <color rgb="FF000000"/>
        <rFont val="Calibri"/>
      </rPr>
      <t>This policy setting determines if the SMB client will allow insecure guest logons to an SMB server.-  If you enable this policy setting or if you don't configure this policy setting, the SMB client will allow insecure guest logons.</t>
    </r>
    <r>
      <rPr>
        <sz val="11"/>
        <color rgb="FF000000"/>
        <rFont val="Calibri"/>
      </rPr>
      <t xml:space="preserve">
</t>
    </r>
    <r>
      <rPr>
        <sz val="11"/>
        <color rgb="FF000000"/>
        <rFont val="Calibri"/>
      </rPr>
      <t>-  If you disable this policy setting, the SMB client will reject insecure guest logons.If you enable signing,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don't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</si>
  <si>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https://learn.microsoft.com/en-us/intune/device-security/security-baselines/ref-windows-mdm-settings?pivots=mdm-24h2#lanman-workstation-1</t>
  </si>
  <si>
    <t>https://learn.microsoft.com/en-us/windows/client-management/mdm/policy-csp-LanmanWorkstation?WT.mc_id=Portal-fx#enableinsecureguestlogons</t>
  </si>
  <si>
    <t>./Device/Vendor/MSFT/Policy/Config/LanmanWorkstation/EnableInsecureGuestLogons</t>
  </si>
  <si>
    <t>Pol_EnableInsecureGuestLogons</t>
  </si>
  <si>
    <t>Enable insecure guest logons</t>
  </si>
  <si>
    <t>Network &gt; Lanman Workstation</t>
  </si>
  <si>
    <t>Software\Policies\Microsoft\Windows\LanmanWorkstation</t>
  </si>
  <si>
    <t>AllowInsecureGuestAuth</t>
  </si>
  <si>
    <t>LanmanWorkstation.admx</t>
  </si>
  <si>
    <t>12.2</t>
  </si>
  <si>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Workstation\Audit Insecure Guest Logon</t>
    </r>
  </si>
  <si>
    <r>
      <rPr>
        <sz val="11"/>
        <color rgb="FF000000"/>
        <rFont val="Calibri"/>
      </rPr>
      <t>This policy controls whether the SMB client will enable the audit event when the client is logged-on as guest account.-  If you enable this policy setting, the SMB client will log the event when the client is logged-on as guest account.</t>
    </r>
    <r>
      <rPr>
        <sz val="11"/>
        <color rgb="FF000000"/>
        <rFont val="Calibri"/>
      </rPr>
      <t xml:space="preserve">
</t>
    </r>
    <r>
      <rPr>
        <sz val="11"/>
        <color rgb="FF000000"/>
        <rFont val="Calibri"/>
      </rPr>
      <t>-  If you disable or don't configure this policy setting, the SMB client won't log the event.</t>
    </r>
  </si>
  <si>
    <t>https://learn.microsoft.com/en-us/windows/client-management/mdm/policy-csp-LanmanWorkstation?WT.mc_id=Portal-fx#auditinsecureguestlogon</t>
  </si>
  <si>
    <t>./Device/Vendor/MSFT/Policy/Config/LanmanWorkstation/AuditInsecureGuestLogon</t>
  </si>
  <si>
    <t>12.3</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</si>
  <si>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</si>
  <si>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Workstation\Audit Server Does Not Support Encryption</t>
    </r>
  </si>
  <si>
    <r>
      <rPr>
        <sz val="11"/>
        <color rgb="FF000000"/>
        <rFont val="Calibri"/>
      </rPr>
      <t>This policy controls whether the SMB client will enable the audit event when the SMB server doesn't support encryption.-  If you enable this policy setting, the SMB client will log the event when the SMB server doesn't support encryption.</t>
    </r>
    <r>
      <rPr>
        <sz val="11"/>
        <color rgb="FF000000"/>
        <rFont val="Calibri"/>
      </rPr>
      <t xml:space="preserve">
</t>
    </r>
    <r>
      <rPr>
        <sz val="11"/>
        <color rgb="FF000000"/>
        <rFont val="Calibri"/>
      </rPr>
      <t>-  If you disable or don't configure this policy setting, the SMB client won't log the event.</t>
    </r>
  </si>
  <si>
    <t>https://learn.microsoft.com/en-us/windows/client-management/mdm/policy-csp-LanmanWorkstation?WT.mc_id=Portal-fx#auditserverdoesnotsupportencryption</t>
  </si>
  <si>
    <t>./Device/Vendor/MSFT/Policy/Config/LanmanWorkstation/AuditServerDoesNotSupportEncryption</t>
  </si>
  <si>
    <t>Pol_AuditServerDoesNotSupportEncryption</t>
  </si>
  <si>
    <t>Audit server does not support encryption</t>
  </si>
  <si>
    <t>AuditServerDoesNotSupportEncryption</t>
  </si>
  <si>
    <t>12.4</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</si>
  <si>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</si>
  <si>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Lanman Workstation\Audit Server Does Not Support Signing</t>
    </r>
  </si>
  <si>
    <r>
      <rPr>
        <sz val="11"/>
        <color rgb="FF000000"/>
        <rFont val="Calibri"/>
      </rPr>
      <t>This policy controls whether the SMB client will enable the audit event when the SMB server doesn't support signing.-  If you enable this policy setting, the SMB client will log the event when the SMB server doesn't support signing.</t>
    </r>
    <r>
      <rPr>
        <sz val="11"/>
        <color rgb="FF000000"/>
        <rFont val="Calibri"/>
      </rPr>
      <t xml:space="preserve">
</t>
    </r>
    <r>
      <rPr>
        <sz val="11"/>
        <color rgb="FF000000"/>
        <rFont val="Calibri"/>
      </rPr>
      <t>-  If you disable or don't configure this policy setting, the SMB client won't log the event.</t>
    </r>
  </si>
  <si>
    <t>https://learn.microsoft.com/en-us/windows/client-management/mdm/policy-csp-LanmanWorkstation?WT.mc_id=Portal-fx#auditserverdoesnotsupportsigning</t>
  </si>
  <si>
    <t>./Device/Vendor/MSFT/Policy/Config/LanmanWorkstation/AuditServerDoesNotSupportSigning</t>
  </si>
  <si>
    <t>Pol_AuditServerDoesNotSupportSigning</t>
  </si>
  <si>
    <t>Audit server does not support signing</t>
  </si>
  <si>
    <t>AuditServerDoesNotSupportSigning</t>
  </si>
  <si>
    <t>12.5</t>
  </si>
  <si>
    <r>
      <rPr>
        <sz val="11"/>
        <color rgb="FF000000"/>
        <rFont val="Calibri"/>
      </rPr>
      <t xml:space="preserve">Set the following Settings Catalog path to </t>
    </r>
    <r>
      <rPr>
        <b/>
        <sz val="11"/>
        <color rgb="FF000000"/>
        <rFont val="Calibri"/>
      </rPr>
      <t>SMB 3.1.1</t>
    </r>
    <r>
      <rPr>
        <sz val="11"/>
        <color rgb="FF000000"/>
        <rFont val="Calibri"/>
      </rPr>
      <t xml:space="preserve">: </t>
    </r>
    <r>
      <rPr>
        <sz val="11"/>
        <color rgb="FF000000"/>
        <rFont val="Calibri"/>
      </rPr>
      <t xml:space="preserve">
</t>
    </r>
    <r>
      <rPr>
        <sz val="11"/>
        <color rgb="FF006096"/>
        <rFont val="Roboto Condensed"/>
      </rPr>
      <t>Lanman Workstation\Max SMB 2 Dialect</t>
    </r>
  </si>
  <si>
    <t>https://learn.microsoft.com/en-us/windows/client-management/mdm/policy-csp-LanmanWorkstation?WT.mc_id=Portal-fx#maxsmb2dialect</t>
  </si>
  <si>
    <t>./Device/Vendor/MSFT/Policy/Config/LanmanWorkstation/MaxSmb2Dialect</t>
  </si>
  <si>
    <t>12.6</t>
  </si>
  <si>
    <r>
      <rPr>
        <sz val="11"/>
        <rFont val="Calibri"/>
      </rPr>
      <t xml:space="preserve">Ensure </t>
    </r>
    <r>
      <rPr>
        <sz val="11"/>
        <color rgb="FF000000"/>
        <rFont val="Calibri"/>
      </rPr>
      <t>'</t>
    </r>
    <r>
      <rPr>
        <b/>
        <sz val="11"/>
        <color rgb="FF000000"/>
        <rFont val="Calibri"/>
      </rPr>
      <t>Min SMB 2 Dialect</t>
    </r>
    <r>
      <rPr>
        <sz val="11"/>
        <color rgb="FF000000"/>
        <rFont val="Calibri"/>
      </rPr>
      <t>'</t>
    </r>
    <r>
      <rPr>
        <sz val="11"/>
        <color rgb="FF000000"/>
        <rFont val="Calibri"/>
      </rPr>
      <t xml:space="preserve"> is set to </t>
    </r>
    <r>
      <rPr>
        <sz val="11"/>
        <color rgb="FF000000"/>
        <rFont val="Calibri"/>
      </rPr>
      <t>'</t>
    </r>
    <r>
      <rPr>
        <b/>
        <sz val="11"/>
        <color rgb="FF000000"/>
        <rFont val="Calibri"/>
      </rPr>
      <t>SMB 3.0.0</t>
    </r>
    <r>
      <rPr>
        <sz val="11"/>
        <color rgb="FF000000"/>
        <rFont val="Calibri"/>
      </rPr>
      <t>'</t>
    </r>
  </si>
  <si>
    <r>
      <rPr>
        <sz val="11"/>
        <color rgb="FF000000"/>
        <rFont val="Calibri"/>
      </rPr>
      <t xml:space="preserve">Set the following Settings Catalog path to </t>
    </r>
    <r>
      <rPr>
        <b/>
        <sz val="11"/>
        <color rgb="FF000000"/>
        <rFont val="Calibri"/>
      </rPr>
      <t>SMB 3.0.0</t>
    </r>
    <r>
      <rPr>
        <sz val="11"/>
        <color rgb="FF000000"/>
        <rFont val="Calibri"/>
      </rPr>
      <t xml:space="preserve">: </t>
    </r>
    <r>
      <rPr>
        <sz val="11"/>
        <color rgb="FF000000"/>
        <rFont val="Calibri"/>
      </rPr>
      <t xml:space="preserve">
</t>
    </r>
    <r>
      <rPr>
        <sz val="11"/>
        <color rgb="FF006096"/>
        <rFont val="Roboto Condensed"/>
      </rPr>
      <t>Lanman Workstation\Min SMB 2 Dialect</t>
    </r>
  </si>
  <si>
    <t>https://learn.microsoft.com/en-us/windows/client-management/mdm/policy-csp-LanmanWorkstation?WT.mc_id=Portal-fx#minsmb2dialect</t>
  </si>
  <si>
    <t>./Device/Vendor/MSFT/Policy/Config/LanmanWorkstation/MinSmb2Dialect</t>
  </si>
  <si>
    <t>12.7</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</si>
  <si>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</si>
  <si>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Lanman Workstation\Require Encryption</t>
    </r>
  </si>
  <si>
    <r>
      <rPr>
        <sz val="11"/>
        <color rgb="FF000000"/>
        <rFont val="Calibri"/>
      </rPr>
      <t>This policy controls whether the SMB client will require encryption.-  If you enable this policy setting, the SMB client will require the SMB server to support encryption and encrypt the data.</t>
    </r>
    <r>
      <rPr>
        <sz val="11"/>
        <color rgb="FF000000"/>
        <rFont val="Calibri"/>
      </rPr>
      <t xml:space="preserve">
</t>
    </r>
    <r>
      <rPr>
        <sz val="11"/>
        <color rgb="FF000000"/>
        <rFont val="Calibri"/>
      </rPr>
      <t>-  If you disable or don't configure this policy setting, the SMB client won't require encryption. However, SMB encryption may still be required; see notes below.</t>
    </r>
    <r>
      <rPr>
        <sz val="11"/>
        <color rgb="FF000000"/>
        <rFont val="Calibri"/>
      </rPr>
      <t>Note: This policy is combined with per-share, per-server, and per mapped drive connection properties, through which SMB encryption may be required. The SMB server must support and enable SMB encryption. For example, should this policy be disabled (or not configured), the SMB client may still perform encryption if an SMB server share has required encryption.</t>
    </r>
    <r>
      <rPr>
        <sz val="11"/>
        <color rgb="FF000000"/>
        <rFont val="Calibri"/>
      </rPr>
      <t xml:space="preserve">
</t>
    </r>
    <r>
      <rPr>
        <sz val="11"/>
        <color rgb="FF000000"/>
        <rFont val="Calibri"/>
      </rPr>
      <t>This policy is combined with per-share, per-server, and per mapped drive connection properties, through which SMB encryption may be required. The SMB server must support and enable SMB encryption. For example, should this policy be disabled (or not configured), the SMB client may still perform encryption if an SMB server share has required encryption.</t>
    </r>
    <r>
      <rPr>
        <sz val="11"/>
        <color rgb="FF000000"/>
        <rFont val="Calibri"/>
      </rPr>
      <t>Important: SMB encryption requires SMB 3.0 or later.</t>
    </r>
    <r>
      <rPr>
        <sz val="11"/>
        <color rgb="FF000000"/>
        <rFont val="Calibri"/>
      </rPr>
      <t xml:space="preserve">
</t>
    </r>
    <r>
      <rPr>
        <sz val="11"/>
        <color rgb="FF000000"/>
        <rFont val="Calibri"/>
      </rPr>
      <t>SMB encryption requires SMB 3.0 or later.</t>
    </r>
  </si>
  <si>
    <t>https://learn.microsoft.com/en-us/windows/client-management/mdm/policy-csp-LanmanWorkstation?WT.mc_id=Portal-fx#requireencryption</t>
  </si>
  <si>
    <t>./Device/Vendor/MSFT/Policy/Config/LanmanWorkstation/RequireEncryption</t>
  </si>
  <si>
    <t>Pol_RequireEncryption</t>
  </si>
  <si>
    <t>Require Encryption</t>
  </si>
  <si>
    <t>RequireEncryption</t>
  </si>
  <si>
    <t>12.8</t>
  </si>
  <si>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Lanman Workstation\Enable Mailslots</t>
    </r>
  </si>
  <si>
    <r>
      <rPr>
        <sz val="11"/>
        <color rgb="FF000000"/>
        <rFont val="Calibri"/>
      </rPr>
      <t>This policy controls whether the SMB client will enable or disable remote mailslots over MUP.-  If you disable this policy setting, remote mailslots won't function over MUP, hence they won't go through the SMB client redirector.</t>
    </r>
    <r>
      <rPr>
        <sz val="11"/>
        <color rgb="FF000000"/>
        <rFont val="Calibri"/>
      </rPr>
      <t xml:space="preserve">
</t>
    </r>
    <r>
      <rPr>
        <sz val="11"/>
        <color rgb="FF000000"/>
        <rFont val="Calibri"/>
      </rPr>
      <t>-  If you don't configure this policy setting, remote mailslots may be allowed through MUP.</t>
    </r>
  </si>
  <si>
    <t>https://learn.microsoft.com/en-us/windows/client-management/mdm/policy-csp-LanmanWorkstation#enablemailslots</t>
  </si>
  <si>
    <t>./Device/Vendor/MSFT/Policy/Config/LanmanWorkstation/EnableMailslots</t>
  </si>
  <si>
    <t>Software\Policies\Microsoft\Windows\NetworkProvider</t>
  </si>
  <si>
    <t>Local Policies Security Options</t>
  </si>
  <si>
    <t>13.1</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</si>
  <si>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</si>
  <si>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Options\Accounts Limit Local Account Use Of Blank Passwords To Console Logon Only</t>
    </r>
  </si>
  <si>
    <r>
      <rPr>
        <sz val="11"/>
        <color rgb="FF000000"/>
        <rFont val="Calibri"/>
      </rPr>
      <t>Accounts: Limit local account use of blank passwords to console logon only This security setting determines whether local accounts that aren't password protected can be used to log on from locations other than the physical computer console. If enabled, local accounts that aren't password protected will only be able to log on at the computer's keyboard. Warning: Computers that aren't in physically secure locations should always enforce strong password policies for all local user accounts. Otherwise, anyone with physical access to the computer can log on by using a user account that doesn't have a password. This is especially important for portable computers. If you apply this security policy to the Everyone group, no one will be able to log on through Remote Desktop Services.</t>
    </r>
    <r>
      <rPr>
        <sz val="11"/>
        <color rgb="FF000000"/>
        <rFont val="Calibri"/>
      </rPr>
      <t>Note: This setting doesn't affect logons that use domain accounts. It's possible for applications that use remote interactive logons to bypass this setting.</t>
    </r>
    <r>
      <rPr>
        <sz val="11"/>
        <color rgb="FF000000"/>
        <rFont val="Calibri"/>
      </rPr>
      <t xml:space="preserve">
</t>
    </r>
    <r>
      <rPr>
        <sz val="11"/>
        <color rgb="FF000000"/>
        <rFont val="Calibri"/>
      </rPr>
      <t>This setting doesn't affect logons that use domain accounts. It's possible for applications that use remote interactive logons to bypass this setting.</t>
    </r>
  </si>
  <si>
    <t>https://learn.microsoft.com/en-us/intune/device-security/security-baselines/ref-windows-mdm-settings?pivots=mdm-24h2#local-policies-security-options-1</t>
  </si>
  <si>
    <t>https://learn.microsoft.com/en-us/windows/client-management/mdm/policy-csp-LocalPoliciesSecurityOptions?WT.mc_id=Portal-fx#accounts_limitlocalaccountuseofblankpasswordstoconsolelogononly</t>
  </si>
  <si>
    <t>./Device/Vendor/MSFT/Policy/Config/LocalPoliciesSecurityOptions/Accounts_LimitLocalAccountUseOfBlankPasswordsToConsoleLogonOnly</t>
  </si>
  <si>
    <t>Accounts: Limit local account use of blank passwords to console logon only</t>
  </si>
  <si>
    <t>Windows Settings &gt; Security Settings &gt; Local Policies &gt; Security Options</t>
  </si>
  <si>
    <t>13.2</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</si>
  <si>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</si>
  <si>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Settings Catalog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Local Policies Security Options\Interactive Logon Machine Inactivity Limit</t>
    </r>
  </si>
  <si>
    <r>
      <rPr>
        <sz val="11"/>
        <color rgb="FF000000"/>
        <rFont val="Calibri"/>
      </rPr>
      <t>Interactive logon: Machine inactivity limit. Windows notices inactivity of a logon session, and if the amount of inactive time exceeds the inactivity limit, then the screen saver will run, locking the session. Default: not enforced.</t>
    </r>
  </si>
  <si>
    <t>https://learn.microsoft.com/en-us/windows/client-management/mdm/policy-csp-LocalPoliciesSecurityOptions?WT.mc_id=Portal-fx#interactivelogon_machineinactivitylimit</t>
  </si>
  <si>
    <t>./Device/Vendor/MSFT/Policy/Config/LocalPoliciesSecurityOptions/InteractiveLogon_MachineInactivityLimit</t>
  </si>
  <si>
    <t>Interactive logon: Machine inactivity limit</t>
  </si>
  <si>
    <t>13.3</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</si>
  <si>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</si>
  <si>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Settings Catalog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Local Policies Security Options\Interactive Logon Smart Card Removal Behavior</t>
    </r>
  </si>
  <si>
    <r>
      <rPr>
        <sz val="11"/>
        <color rgb="FF000000"/>
        <rFont val="Calibri"/>
      </rPr>
      <t>Interactive logon: Smart card removal behavior This security setting determines what happens when the smart card for a logged-on user is removed from the smart card reader. The options are: No Action Lock Workstation Force Logoff Disconnect if a Remote Desktop Services session If you click Lock Workstation in the Properties dialog box for this policy, the workstation is locked when the smart card is removed, allowing users to leave the area, take their smart card with them, and still maintain a protected session. If you click Force Logoff in the Properties dialog box for this policy, the user is automatically logged off when the smart card is removed. 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Note: Remote Desktop Services was called Terminal Services in previous versions of Windows Server. Default: This policy isn't defined, which means that the system treats it as No action. On Windows Vista and above: For this setting to work, the Smart Card Removal Policy service must be started.</t>
    </r>
    <r>
      <rPr>
        <sz val="11"/>
        <color rgb="FF000000"/>
        <rFont val="Calibri"/>
      </rPr>
      <t xml:space="preserve">
</t>
    </r>
    <r>
      <rPr>
        <sz val="11"/>
        <color rgb="FF000000"/>
        <rFont val="Calibri"/>
      </rPr>
      <t>Remote Desktop Services was called Terminal Services in previous versions of Windows Server. Default: This policy isn't defined, which means that the system treats it as No action. On Windows Vista and above: For this setting to work, the Smart Card Removal Policy service must be started.</t>
    </r>
  </si>
  <si>
    <t>https://learn.microsoft.com/en-us/windows/client-management/mdm/policy-csp-LocalPoliciesSecurityOptions?WT.mc_id=Portal-fx#interactivelogon_smartcardremovalbehavior</t>
  </si>
  <si>
    <t>./Device/Vendor/MSFT/Policy/Config/LocalPoliciesSecurityOptions/InteractiveLogon_SmartCardRemovalBehavior</t>
  </si>
  <si>
    <t>Interactive logon: Smart card removal behavior</t>
  </si>
  <si>
    <t>13.4</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</si>
  <si>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</si>
  <si>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Options\Microsoft Network Client Digitally Sign Communications Always</t>
    </r>
  </si>
  <si>
    <r>
      <rPr>
        <sz val="11"/>
        <color rgb="FF000000"/>
        <rFont val="Calibri"/>
      </rPr>
      <t>Microsoft network client: Digitally sign communications (always) This security setting determines whether packet signing is required by the SMB client component. 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  If this setting is enabled, the Microsoft network client won't communicate with a Microsoft network server unless that server agrees to perform SMB packet signing.</t>
    </r>
    <r>
      <rPr>
        <sz val="11"/>
        <color rgb="FF000000"/>
        <rFont val="Calibri"/>
      </rPr>
      <t xml:space="preserve">
</t>
    </r>
    <r>
      <rPr>
        <sz val="11"/>
        <color rgb="FF000000"/>
        <rFont val="Calibri"/>
      </rPr>
      <t>-  If this policy is disabled, SMB packet signing is negotiated between the client and server. Important 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Note: All Windows operating systems support both a client-side SMB component and a server-side SMB component. On Windows 2000 and later operating systems,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SMB packet signing can significantly degrade SMB performance, depending on dialect version, OS version, file sizes, processor offloading capabilities, and application IO behaviors. For more information, reference: </t>
    </r>
    <r>
      <rPr>
        <sz val="11"/>
        <color rgb="FF0000FF"/>
        <rFont val="Calibri"/>
      </rPr>
      <t>https://go.microsoft.com/fwlink/?LinkID=787136</t>
    </r>
    <r>
      <rPr>
        <sz val="11"/>
        <color rgb="FF000000"/>
        <rFont val="Calibri"/>
      </rPr>
      <t xml:space="preserve">
</t>
    </r>
    <r>
      <rPr>
        <sz val="11"/>
        <color rgb="FF000000"/>
        <rFont val="Calibri"/>
      </rPr>
      <t xml:space="preserve">All Windows operating systems support both a client-side SMB component and a server-side SMB component. On Windows 2000 and later operating systems,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SMB packet signing can significantly degrade SMB performance, depending on dialect version, OS version, file sizes, processor offloading capabilities, and application IO behaviors. For more information, reference: </t>
    </r>
    <r>
      <rPr>
        <sz val="11"/>
        <color rgb="FF0000FF"/>
        <rFont val="Calibri"/>
      </rPr>
      <t>https://go.microsoft.com/fwlink/?LinkID=787136</t>
    </r>
  </si>
  <si>
    <t>https://learn.microsoft.com/en-us/windows/client-management/mdm/policy-csp-LocalPoliciesSecurityOptions?WT.mc_id=Portal-fx#microsoftnetworkclient_digitallysigncommunicationsalways</t>
  </si>
  <si>
    <t>./Device/Vendor/MSFT/Policy/Config/LocalPoliciesSecurityOptions/MicrosoftNetworkClient_DigitallySignCommunicationsAlways</t>
  </si>
  <si>
    <t>Microsoft network client: Digitally sign communications (always)</t>
  </si>
  <si>
    <t>13.5</t>
  </si>
  <si>
    <r>
      <rPr>
        <sz val="11"/>
        <rFont val="Calibri"/>
      </rPr>
      <t xml:space="preserve">Ensure </t>
    </r>
    <r>
      <rPr>
        <sz val="11"/>
        <color rgb="FF000000"/>
        <rFont val="Calibri"/>
      </rPr>
      <t>'</t>
    </r>
    <r>
      <rPr>
        <b/>
        <sz val="11"/>
        <color rgb="FF000000"/>
        <rFont val="Calibri"/>
      </rPr>
      <t>Microsoft Network Client Send Unencrypted Password To Third 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</si>
  <si>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Settings Catalog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Local Policies Security Options\Microsoft Network Client Send Unencrypted Password To Third Party SMB Servers</t>
    </r>
  </si>
  <si>
    <r>
      <rPr>
        <sz val="11"/>
        <color rgb="FF000000"/>
        <rFont val="Calibri"/>
      </rPr>
      <t>Microsoft network client: Send unencrypted password to connect to third-party SMB servers If this security setting is enabled, the Server Message Block (SMB) redirector is allowed to send plaintext passwords to non-Microsoft SMB servers that don't support password encryption during authentication. Sending unencrypted passwords is a security risk.</t>
    </r>
  </si>
  <si>
    <t>https://learn.microsoft.com/en-us/windows/client-management/mdm/policy-csp-LocalPoliciesSecurityOptions?WT.mc_id=Portal-fx#microsoftnetworkclient_sendunencryptedpasswordtothirdpartysmbservers</t>
  </si>
  <si>
    <t>./Device/Vendor/MSFT/Policy/Config/LocalPoliciesSecurityOptions/MicrosoftNetworkClient_SendUnencryptedPasswordToThirdPartySMBServers</t>
  </si>
  <si>
    <t>Microsoft network client: Send unencrypted password to third-party SMB servers</t>
  </si>
  <si>
    <t>13.6</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</si>
  <si>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</si>
  <si>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Options\Microsoft Network Server Digitally Sign Communications Always</t>
    </r>
  </si>
  <si>
    <r>
      <rPr>
        <sz val="11"/>
        <color rgb="FF000000"/>
        <rFont val="Calibri"/>
      </rPr>
      <t>Microsoft network server: Digitally sign communications (always) This security setting determines whether packet signing is required by the SMB server component. 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  If this setting is enabled, the Microsoft network server won't communicate with a Microsoft network client unless that client agrees to perform SMB packet signing.</t>
    </r>
    <r>
      <rPr>
        <sz val="11"/>
        <color rgb="FF000000"/>
        <rFont val="Calibri"/>
      </rPr>
      <t xml:space="preserve">
</t>
    </r>
    <r>
      <rPr>
        <sz val="11"/>
        <color rgb="FF000000"/>
        <rFont val="Calibri"/>
      </rPr>
      <t>-  If this setting is disabled, SMB packet signing is negotiated between the client and server. Default: Disabled for member servers. Enabled for domain controllers.</t>
    </r>
    <r>
      <rPr>
        <sz val="11"/>
        <color rgb="FF000000"/>
        <rFont val="Calibri"/>
      </rPr>
      <t>Note: All Windows operating systems support both a client-side SMB component and a server-side SMB component. On Windows 2000 and later,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Similarly, if client-side SMB signing is required, that client won't be able to establish a session with servers that don't have packet signing enabled. By default, server-side SMB signing is enabled only on domain controllers. If server-side SMB signing is enabled, SMB packet signing will be negotiated with clients that have client-side SMB signing enabled. SMB packet signing can significantly degrade SMB performance, depending on dialect version, OS version, file sizes, processor offloading capabilities, and application IO behaviors.</t>
    </r>
    <r>
      <rPr>
        <sz val="11"/>
        <color rgb="FF000000"/>
        <rFont val="Calibri"/>
      </rPr>
      <t xml:space="preserve">
</t>
    </r>
    <r>
      <rPr>
        <sz val="11"/>
        <color rgb="FF000000"/>
        <rFont val="Calibri"/>
      </rPr>
      <t>All Windows operating systems support both a client-side SMB component and a server-side SMB component. On Windows 2000 and later, enabling or requiring packet signing for client and server-side SMB components is controlled by the following four policy settings: Microsoft network client: Digitally sign communications (always) - Controls whether or not the client-side SMB component requires packet signing. Microsoft network client: Digitally sign communications (if server agrees) - Controls whether or not the client-side SMB component has packet signing enabled. Microsoft network server: Digitally sign communications (always) - Controls whether or not the server-side SMB component requires packet signing. Microsoft network server: Digitally sign communications (if client agrees) - Controls whether or not the server-side SMB component has packet signing enabled. Similarly, if client-side SMB signing is required, that client won't be able to establish a session with servers that don't have packet signing enabled. By default, server-side SMB signing is enabled only on domain controllers. If server-side SMB signing is enabled, SMB packet signing will be negotiated with clients that have client-side SMB signing enabled. SMB packet signing can significantly degrade SMB performance, depending on dialect version, OS version, file sizes, processor offloading capabilities, and application IO behaviors.</t>
    </r>
    <r>
      <rPr>
        <sz val="11"/>
        <color rgb="FF000000"/>
        <rFont val="Calibri"/>
      </rPr>
      <t xml:space="preserve">Important: For this policy to take effect on computers running Windows 2000, server-side packet signing must also be enabled. To enable server-side SMB packet signing, set the following policy: Microsoft network server: Digitally sign communications (if server agrees) For Windows 2000 servers to negotiate signing with Windows NT 4.0 clients, the following registry value must be set to 1 on the Windows 2000 server: HKLM\System\CurrentControlSet\Services\lanmanserver\parameters\enableW9xsecuritysignature For more information, reference: </t>
    </r>
    <r>
      <rPr>
        <sz val="11"/>
        <color rgb="FF0000FF"/>
        <rFont val="Calibri"/>
      </rPr>
      <t>https://go.microsoft.com/fwlink/?LinkID=787136</t>
    </r>
    <r>
      <rPr>
        <sz val="11"/>
        <color rgb="FF000000"/>
        <rFont val="Calibri"/>
      </rPr>
      <t xml:space="preserve">
</t>
    </r>
    <r>
      <rPr>
        <sz val="11"/>
        <color rgb="FF000000"/>
        <rFont val="Calibri"/>
      </rPr>
      <t xml:space="preserve">For this policy to take effect on computers running Windows 2000, server-side packet signing must also be enabled. To enable server-side SMB packet signing, set the following policy: Microsoft network server: Digitally sign communications (if server agrees) For Windows 2000 servers to negotiate signing with Windows NT 4.0 clients, the following registry value must be set to 1 on the Windows 2000 server: HKLM\System\CurrentControlSet\Services\lanmanserver\parameters\enableW9xsecuritysignature For more information, reference: </t>
    </r>
    <r>
      <rPr>
        <sz val="11"/>
        <color rgb="FF0000FF"/>
        <rFont val="Calibri"/>
      </rPr>
      <t>https://go.microsoft.com/fwlink/?LinkID=787136</t>
    </r>
  </si>
  <si>
    <t>https://learn.microsoft.com/en-us/windows/client-management/mdm/policy-csp-LocalPoliciesSecurityOptions?WT.mc_id=Portal-fx#microsoftnetworkserver_digitallysigncommunicationsalways</t>
  </si>
  <si>
    <t>./Device/Vendor/MSFT/Policy/Config/LocalPoliciesSecurityOptions/MicrosoftNetworkServer_DigitallySignCommunicationsAlways</t>
  </si>
  <si>
    <t>Microsoft network server: Digitally sign communications (always)</t>
  </si>
  <si>
    <t>13.7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</si>
  <si>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</si>
  <si>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Options\Network Access Do Not Allow Anonymous Enumeration Of SAM Accounts</t>
    </r>
  </si>
  <si>
    <r>
      <rPr>
        <sz val="11"/>
        <color rgb="FF000000"/>
        <rFont val="Calibri"/>
      </rPr>
      <t>Network access: Don't allow anonymous enumeration of SAM accounts This security setting determines what additional permissions will be granted for anonymous connections to the computer. Windows allows anonymous users to perform certain activities, such as enumerating the names of domain accounts and network shares. This is convenient, for example, when an administrator wants to grant access to users in a trusted domain that doesn't maintain a reciprocal trust. This security option allows additional restrictions to be placed on anonymous connections as follows: Enabled: Don't allow enumeration of SAM accounts. This option replaces Everyone with Authenticated Users in the security permissions for resources. Disabled: No additional restrictions. Rely on default permissions. Default on workstations: Enabled. Default on server:Enabled.</t>
    </r>
    <r>
      <rPr>
        <sz val="11"/>
        <color rgb="FF000000"/>
        <rFont val="Calibri"/>
      </rPr>
      <t>Important: This policy has no impact on domain controllers.</t>
    </r>
    <r>
      <rPr>
        <sz val="11"/>
        <color rgb="FF000000"/>
        <rFont val="Calibri"/>
      </rPr>
      <t xml:space="preserve">
</t>
    </r>
    <r>
      <rPr>
        <sz val="11"/>
        <color rgb="FF000000"/>
        <rFont val="Calibri"/>
      </rPr>
      <t>This policy has no impact on domain controllers.</t>
    </r>
  </si>
  <si>
    <t>https://learn.microsoft.com/en-us/windows/client-management/mdm/policy-csp-LocalPoliciesSecurityOptions?WT.mc_id=Portal-fx#networkaccess_donotallowanonymousenumerationofsamaccounts</t>
  </si>
  <si>
    <t>./Device/Vendor/MSFT/Policy/Config/LocalPoliciesSecurityOptions/NetworkAccess_DoNotAllowAnonymousEnumerationOfSAMAccounts</t>
  </si>
  <si>
    <t>Network access: Don't allow anonymous enumeration of SAM accounts</t>
  </si>
  <si>
    <t>13.8</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</si>
  <si>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</si>
  <si>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Options\Network Access Do Not Allow Anonymous Enumeration Of Sam Accounts And Shares</t>
    </r>
  </si>
  <si>
    <r>
      <rPr>
        <sz val="11"/>
        <color rgb="FF000000"/>
        <rFont val="Calibri"/>
      </rPr>
      <t>Network access: Don't allow anonymous enumeration of SAM accounts and shares This security setting determines whether anonymous enumeration of SAM accounts and shares is allowed. Windows allows anonymous users to perform certain activities, such as enumerating the names of domain accounts and network shares. This is convenient, for example, when an administrator wants to grant access to users in a trusted domain that doesn't maintain a reciprocal trust. If you don't want to allow anonymous enumeration of SAM accounts and shares, then enable this policy.</t>
    </r>
  </si>
  <si>
    <t>https://learn.microsoft.com/en-us/windows/client-management/mdm/policy-csp-LocalPoliciesSecurityOptions?WT.mc_id=Portal-fx#networkaccess_donotallowanonymousenumerationofsamaccountsandshares</t>
  </si>
  <si>
    <t>./Device/Vendor/MSFT/Policy/Config/LocalPoliciesSecurityOptions/NetworkAccess_DoNotAllowAnonymousEnumerationOfSamAccountsAndShares</t>
  </si>
  <si>
    <t>Network access: Don't allow anonymous enumeration of SAM accounts and shares</t>
  </si>
  <si>
    <t>13.9</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</si>
  <si>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</si>
  <si>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Options\Network Access Restrict Anonymous Access To Named Pipes And Shares</t>
    </r>
  </si>
  <si>
    <t>https://learn.microsoft.com/en-us/windows/client-management/mdm/policy-csp-LocalPoliciesSecurityOptions?WT.mc_id=Portal-fx#networkaccess-restrictanonymousaccesstonamedpipesandshares</t>
  </si>
  <si>
    <t>13.10</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</si>
  <si>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</si>
  <si>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Settings Catalog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Local Policies Security Options\Network Access Restrict Clients Allowed To Make Remote Calls To SAM</t>
    </r>
  </si>
  <si>
    <r>
      <rPr>
        <sz val="11"/>
        <color rgb="FF000000"/>
        <rFont val="Calibri"/>
      </rPr>
      <t>Network access: Restrict clients allowed to make remote calls to SAM This policy setting allows you to restrict remote rpc connections to SAM. If not selected, the default security descriptor will be used. This policy is supported on at least Windows Server 2016.</t>
    </r>
  </si>
  <si>
    <t>https://learn.microsoft.com/en-us/windows/client-management/mdm/policy-csp-LocalPoliciesSecurityOptions?WT.mc_id=Portal-fx#networkaccess_restrictclientsallowedtomakeremotecallstosam</t>
  </si>
  <si>
    <t>./Device/Vendor/MSFT/Policy/Config/LocalPoliciesSecurityOptions/NetworkAccess_RestrictClientsAllowedToMakeRemoteCallsToSAM</t>
  </si>
  <si>
    <t>Network access: Restrict clients allowed to make remote calls to SAM</t>
  </si>
  <si>
    <t>13.11</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</si>
  <si>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</si>
  <si>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Options\Network Security Do Not Store LAN Manager Hash Value On Next Password Change</t>
    </r>
  </si>
  <si>
    <r>
      <rPr>
        <sz val="11"/>
        <color rgb="FF000000"/>
        <rFont val="Calibri"/>
      </rPr>
      <t>Network security: Don't store LAN Manager hash value on next password change 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 Default on Windows Vista and above: Enabled Default on Windows XP: Disabled.</t>
    </r>
    <r>
      <rPr>
        <sz val="11"/>
        <color rgb="FF000000"/>
        <rFont val="Calibri"/>
      </rPr>
      <t>Important: Windows 2000 Service Pack 2 (SP2) and above offer compatibility with authentication to previous versions of Windows, such as Microsoft Windows NT 4.0. This setting can affect the ability of computers running Windows 2000 Server, Windows 2000 Professional, Windows XP, and the Windows Server 2003 family to communicate with computers running Windows 95 and Windows 98.</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 This setting can affect the ability of computers running Windows 2000 Server, Windows 2000 Professional, Windows XP, and the Windows Server 2003 family to communicate with computers running Windows 95 and Windows 98.</t>
    </r>
  </si>
  <si>
    <t>https://learn.microsoft.com/en-us/windows/client-management/mdm/policy-csp-LocalPoliciesSecurityOptions?WT.mc_id=Portal-fx#networksecurity_donotstorelanmanagerhashvalueonnextpasswordchange</t>
  </si>
  <si>
    <t>./Device/Vendor/MSFT/Policy/Config/LocalPoliciesSecurityOptions/NetworkSecurity_DoNotStoreLANManagerHashValueOnNextPasswordChange</t>
  </si>
  <si>
    <t>Network security: Don't store LAN Manager hash value on next password change</t>
  </si>
  <si>
    <t>13.12</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</si>
  <si>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</si>
  <si>
    <r>
      <rPr>
        <sz val="11"/>
        <color rgb="FF000000"/>
        <rFont val="Calibri"/>
      </rPr>
      <t xml:space="preserve">Set the following Settings Catalog path to </t>
    </r>
    <r>
      <rPr>
        <b/>
        <sz val="11"/>
        <color rgb="FF000000"/>
        <rFont val="Calibri"/>
      </rPr>
      <t>Send LM and NTLMv2 responses only. Refuse LM and NTLM</t>
    </r>
    <r>
      <rPr>
        <sz val="11"/>
        <color rgb="FF000000"/>
        <rFont val="Calibri"/>
      </rPr>
      <t xml:space="preserve">: </t>
    </r>
    <r>
      <rPr>
        <sz val="11"/>
        <color rgb="FF000000"/>
        <rFont val="Calibri"/>
      </rPr>
      <t xml:space="preserve">
</t>
    </r>
    <r>
      <rPr>
        <sz val="11"/>
        <color rgb="FF006096"/>
        <rFont val="Roboto Condensed"/>
      </rPr>
      <t>Local Policies Security Options\Network Security LAN Manager Authentication Level</t>
    </r>
  </si>
  <si>
    <r>
      <rPr>
        <sz val="11"/>
        <color rgb="FF000000"/>
        <rFont val="Calibri"/>
      </rPr>
      <t>Network security LAN Manager authentication level 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 Send LM and NTLM responses: Clients use LM and NTLM authentication and never use NTLMv2 session security; domain controllers accept LM, NTLM, and NTLMv2 authentication. Send LM and NTLM - use NTLMv2 session security if negotiated: Clients use LM and NTLM authentication and use NTLMv2 session security if the server supports it; domain controllers accept LM, NTLM, and NTLMv2 authentication. Send NTLM response only: Clients use NTLM authentication only and use NTLMv2 session security if the server supports it; domain controllers accept LM, NTLM, and NTLMv2 authentication. Send NTLMv2 response only: Clients use NTLMv2 authentication only and use NTLMv2 session security if the server supports it; domain controllers accept LM, NTLM, and NTLMv2 authentication. Send NTLMv2 response only\refuse LM: Clients use NTLMv2 authentication only and use NTLMv2 session security if the server supports it; domain controllers refuse LM (accept only NTLM and NTLMv2 authentication). Send NTLMv2 response only\refuse LM and NTLM: Clients use NTLMv2 authentication only and use NTLMv2 session security if the server supports it; domain controllers refuse LM and NTLM (accept only NTLMv2 authentication).</t>
    </r>
    <r>
      <rPr>
        <sz val="11"/>
        <color rgb="FF000000"/>
        <rFont val="Calibri"/>
      </rPr>
      <t>Important: 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didn't support NTLMv2. Computers running Windows 95 and Windows 98 didn't support NTLM. Default: Windows 2000 and windows XP: send LM and NTLM responses Windows Server 2003: Send NTLM response only Windows Vista, Windows Server 2008, Windows 7, and Windows Server 2008 R2: Send NTLMv2 response only.</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didn't support NTLMv2. Computers running Windows 95 and Windows 98 didn't support NTLM. Default: Windows 2000 and windows XP: send LM and NTLM responses Windows Server 2003: Send NTLM response only Windows Vista, Windows Server 2008, Windows 7, and Windows Server 2008 R2: Send NTLMv2 response only.</t>
    </r>
  </si>
  <si>
    <t>https://learn.microsoft.com/en-us/windows/client-management/mdm/policy-csp-LocalPoliciesSecurityOptions?WT.mc_id=Portal-fx#networksecurity_lanmanagerauthenticationlevel</t>
  </si>
  <si>
    <t>./Device/Vendor/MSFT/Policy/Config/LocalPoliciesSecurityOptions/NetworkSecurity_LANManagerAuthenticationLevel</t>
  </si>
  <si>
    <t>Network security: LAN Manager authentication level</t>
  </si>
  <si>
    <t>13.13</t>
  </si>
  <si>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</si>
  <si>
    <r>
      <rPr>
        <sz val="11"/>
        <color rgb="FF000000"/>
        <rFont val="Calibri"/>
      </rPr>
      <t xml:space="preserve">Set the following Settings Catalog path to </t>
    </r>
    <r>
      <rPr>
        <b/>
        <sz val="11"/>
        <color rgb="FF000000"/>
        <rFont val="Calibri"/>
      </rPr>
      <t>Require NTLM and 128-bit encryption</t>
    </r>
    <r>
      <rPr>
        <sz val="11"/>
        <color rgb="FF000000"/>
        <rFont val="Calibri"/>
      </rPr>
      <t xml:space="preserve">: </t>
    </r>
    <r>
      <rPr>
        <sz val="11"/>
        <color rgb="FF000000"/>
        <rFont val="Calibri"/>
      </rPr>
      <t xml:space="preserve">
</t>
    </r>
    <r>
      <rPr>
        <sz val="11"/>
        <color rgb="FF006096"/>
        <rFont val="Roboto Condensed"/>
      </rPr>
      <t>Local Policies Security Options\Network Security Minimum Session Security For NTLMSSP Based Clients</t>
    </r>
  </si>
  <si>
    <r>
      <rPr>
        <sz val="11"/>
        <color rgb="FF000000"/>
        <rFont val="Calibri"/>
      </rPr>
      <t>Network security: Minimum session security for NTLM SSP based (including secure RPC) clients This security setting allows a client to require the negotiation of 128-bit encryption and/or NTLMv2 session security. These values are dependent on the LAN Manager Authentication Level security setting value. The options are: Require NTLMv2 session security: The connection will fail if NTLMv2 protocol isn't negotiated. Require 128-bit encryption: The connection will fail if strong encryption (128-bit) isn't negotiated. Default: Windows XP, Windows Vista, Windows 2000 Server, Windows Server 2003, and Windows Server 2008: No requirements. Windows 7 and Windows Server 2008 R2: Require 128-bit encryption.</t>
    </r>
  </si>
  <si>
    <t>https://learn.microsoft.com/en-us/windows/client-management/mdm/policy-csp-LocalPoliciesSecurityOptions?WT.mc_id=Portal-fx#networksecurity_minimumsessionsecurityforntlmsspbasedclients</t>
  </si>
  <si>
    <t>./Device/Vendor/MSFT/Policy/Config/LocalPoliciesSecurityOptions/NetworkSecurity_MinimumSessionSecurityForNTLMSSPBasedClients</t>
  </si>
  <si>
    <t>Network security: Minimum session security for NTLM SSP based (including secure RPC) clients</t>
  </si>
  <si>
    <t>13.14</t>
  </si>
  <si>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</si>
  <si>
    <r>
      <rPr>
        <sz val="11"/>
        <color rgb="FF000000"/>
        <rFont val="Calibri"/>
      </rPr>
      <t xml:space="preserve">Set the following Settings Catalog path to </t>
    </r>
    <r>
      <rPr>
        <b/>
        <sz val="11"/>
        <color rgb="FF000000"/>
        <rFont val="Calibri"/>
      </rPr>
      <t>Require NTLM and 128-bit encryption</t>
    </r>
    <r>
      <rPr>
        <sz val="11"/>
        <color rgb="FF000000"/>
        <rFont val="Calibri"/>
      </rPr>
      <t xml:space="preserve">: </t>
    </r>
    <r>
      <rPr>
        <sz val="11"/>
        <color rgb="FF000000"/>
        <rFont val="Calibri"/>
      </rPr>
      <t xml:space="preserve">
</t>
    </r>
    <r>
      <rPr>
        <sz val="11"/>
        <color rgb="FF006096"/>
        <rFont val="Roboto Condensed"/>
      </rPr>
      <t>Local Policies Security Options\Network Security Minimum Session Security For NTLMSSP Based Servers</t>
    </r>
  </si>
  <si>
    <r>
      <rPr>
        <sz val="11"/>
        <color rgb="FF000000"/>
        <rFont val="Calibri"/>
      </rPr>
      <t>Network security: Minimum session security for NTLM SSP based (including secure RPC) servers This security setting allows a server to require the negotiation of 128-bit encryption and/or NTLMv2 session security. These values are dependent on the LAN Manager Authentication Level security setting value. The options are: Require NTLMv2 session security: The connection will fail if message integrity isn't negotiated. Require 128-bit encryption. The connection will fail if strong encryption (128-bit) isn't negotiated. Default: Windows XP, Windows Vista, Windows 2000 Server, Windows Server 2003, and Windows Server 2008: No requirements. Windows 7 and Windows Server 2008 R2: Require 128-bit encryption.</t>
    </r>
  </si>
  <si>
    <t>https://learn.microsoft.com/en-us/windows/client-management/mdm/policy-csp-LocalPoliciesSecurityOptions?WT.mc_id=Portal-fx#networksecurity_minimumsessionsecurityforntlmsspbasedservers</t>
  </si>
  <si>
    <t>./Device/Vendor/MSFT/Policy/Config/LocalPoliciesSecurityOptions/NetworkSecurity_MinimumSessionSecurityForNTLMSSPBasedServers</t>
  </si>
  <si>
    <t>Network security: Minimum session security for NTLM SSP based (including secure RPC) servers</t>
  </si>
  <si>
    <t>13.15</t>
  </si>
  <si>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</si>
  <si>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Settings Catalog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Local Policies Security Options\User Account Control Behavior Of The Elevation Prompt For Administrators</t>
    </r>
  </si>
  <si>
    <r>
      <rPr>
        <sz val="11"/>
        <color rgb="FF000000"/>
        <rFont val="Calibri"/>
      </rPr>
      <t>User Account Control: Behavior of the elevation prompt for administrators in Admin Approval Mode This policy setting controls the behavior of the elevation prompt for administrators. The options are:-  Elevate without prompting: Allows privileged accounts to perform an operation that requires elevation without requiring consent or credentials.</t>
    </r>
    <r>
      <rPr>
        <sz val="11"/>
        <color rgb="FF000000"/>
        <rFont val="Calibri"/>
      </rPr>
      <t xml:space="preserve">
</t>
    </r>
    <r>
      <rPr>
        <sz val="11"/>
        <color rgb="FF000000"/>
        <rFont val="Calibri"/>
      </rPr>
      <t>Note: Use this option only in the most constrained environments.</t>
    </r>
    <r>
      <rPr>
        <sz val="11"/>
        <color rgb="FF000000"/>
        <rFont val="Calibri"/>
      </rPr>
      <t xml:space="preserve">
</t>
    </r>
    <r>
      <rPr>
        <sz val="11"/>
        <color rgb="FF000000"/>
        <rFont val="Calibri"/>
      </rPr>
      <t>Use this option only in the most constrained environments.</t>
    </r>
    <r>
      <rPr>
        <sz val="11"/>
        <color rgb="FF000000"/>
        <rFont val="Calibri"/>
      </rPr>
      <t xml:space="preserve">
</t>
    </r>
    <r>
      <rPr>
        <sz val="11"/>
        <color rgb="FF000000"/>
        <rFont val="Calibri"/>
      </rPr>
      <t>-  Prompt for credentials on the secure desktop: When an operation requires elevation of privilege, the user is prompted on the secure desktop to enter a privileged user name and password. If the user enters valid credentials, the operation continues with the user's highest available privilege.</t>
    </r>
    <r>
      <rPr>
        <sz val="11"/>
        <color rgb="FF000000"/>
        <rFont val="Calibri"/>
      </rPr>
      <t xml:space="preserve">
</t>
    </r>
    <r>
      <rPr>
        <sz val="11"/>
        <color rgb="FF000000"/>
        <rFont val="Calibri"/>
      </rPr>
      <t>-  Prompt for consent on the secure desktop: When an operation requires elevation of privilege, the user is prompted on the secure desktop to select either Permit or Deny. If the user selects Permit, the operation continues with the user's highest available privilege.</t>
    </r>
    <r>
      <rPr>
        <sz val="11"/>
        <color rgb="FF000000"/>
        <rFont val="Calibri"/>
      </rPr>
      <t xml:space="preserve">
</t>
    </r>
    <r>
      <rPr>
        <sz val="11"/>
        <color rgb="FF000000"/>
        <rFont val="Calibri"/>
      </rPr>
      <t>-  Prompt for credentials: When an operation requires elevation of privilege, the user is prompted to enter an administrative user name and password. If the user enters valid credentials, the operation continues with the applicable privilege.</t>
    </r>
    <r>
      <rPr>
        <sz val="11"/>
        <color rgb="FF000000"/>
        <rFont val="Calibri"/>
      </rPr>
      <t xml:space="preserve">
</t>
    </r>
    <r>
      <rPr>
        <sz val="11"/>
        <color rgb="FF000000"/>
        <rFont val="Calibri"/>
      </rPr>
      <t>-  Prompt for consent: When an operation requires elevation of privilege, the user is prompted to select either Permit or Deny. If the user selects Permit, the operation continues with the user's highest available privilege.</t>
    </r>
    <r>
      <rPr>
        <sz val="11"/>
        <color rgb="FF000000"/>
        <rFont val="Calibri"/>
      </rPr>
      <t xml:space="preserve">
</t>
    </r>
    <r>
      <rPr>
        <sz val="11"/>
        <color rgb="FF000000"/>
        <rFont val="Calibri"/>
      </rPr>
      <t>-  Prompt for consent for non-Windows binaries: (Default) When an operation for a non-Microsoft application requires elevation of privilege, the user is prompted on the secure desktop to select either Permit or Deny. If the user selects Permit, the operation continues with the user's highest available privilege.</t>
    </r>
    <r>
      <rPr>
        <sz val="11"/>
        <color rgb="FF000000"/>
        <rFont val="Calibri"/>
      </rPr>
      <t xml:space="preserve">Note: When Administrator protection is enabled, this policy behavior is overridden by UserAccountControl_BehaviorOfTheElevationPromptForAdministratorProtection </t>
    </r>
    <r>
      <rPr>
        <sz val="11"/>
        <color rgb="FF0000FF"/>
        <rFont val="Calibri"/>
      </rPr>
      <t>(https://learn.microsoft.com/en-us/windows/client-management/mdm/policy-csp-LocalPoliciesSecurityOptions?WT.mc_id=Portal-fx#useraccountcontrol_behavioroftheelevationpromptforadministratorprotection)</t>
    </r>
    <r>
      <rPr>
        <sz val="11"/>
        <color rgb="FF000000"/>
        <rFont val="Calibri"/>
      </rPr>
      <t xml:space="preserve"> policy.</t>
    </r>
    <r>
      <rPr>
        <sz val="11"/>
        <color rgb="FF000000"/>
        <rFont val="Calibri"/>
      </rPr>
      <t xml:space="preserve">
</t>
    </r>
    <r>
      <rPr>
        <sz val="11"/>
        <color rgb="FF000000"/>
        <rFont val="Calibri"/>
      </rPr>
      <t xml:space="preserve">When Administrator protection is enabled, this policy behavior is overridden by UserAccountControl_BehaviorOfTheElevationPromptForAdministratorProtection </t>
    </r>
    <r>
      <rPr>
        <sz val="11"/>
        <color rgb="FF0000FF"/>
        <rFont val="Calibri"/>
      </rPr>
      <t>(https://learn.microsoft.com/en-us/windows/client-management/mdm/policy-csp-LocalPoliciesSecurityOptions?WT.mc_id=Portal-fx#useraccountcontrol_behavioroftheelevationpromptforadministratorprotection)</t>
    </r>
    <r>
      <rPr>
        <sz val="11"/>
        <color rgb="FF000000"/>
        <rFont val="Calibri"/>
      </rPr>
      <t xml:space="preserve"> policy.</t>
    </r>
  </si>
  <si>
    <t>https://learn.microsoft.com/en-us/windows/client-management/mdm/policy-csp-LocalPoliciesSecurityOptions?WT.mc_id=Portal-fx#useraccountcontrol_behavioroftheelevationpromptforadministrators</t>
  </si>
  <si>
    <t>./Device/Vendor/MSFT/Policy/Config/LocalPoliciesSecurityOptions/UserAccountControl_BehaviorOfTheElevationPromptForAdministrators</t>
  </si>
  <si>
    <t>User Account Control: Behavior of the elevation prompt for administrators in Admin Approval Mode</t>
  </si>
  <si>
    <t>13.16</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</si>
  <si>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</si>
  <si>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Settings Catalog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Local Policies Security Options\User Account Control Behavior Of The Elevation Prompt For Standard Users</t>
    </r>
  </si>
  <si>
    <r>
      <rPr>
        <sz val="11"/>
        <color rgb="FF000000"/>
        <rFont val="Calibri"/>
      </rPr>
      <t>User Account Control: Behavior of the elevation prompt for standard users This policy setting controls the behavior of the elevation prompt for standard users. The options are:-  Prompt for credentials: (Default) When an operation requires elevation of privilege, the user is prompted to enter an administrative user name and password. If the user enters valid credentials, the operation continues with the applicable privilege.</t>
    </r>
    <r>
      <rPr>
        <sz val="11"/>
        <color rgb="FF000000"/>
        <rFont val="Calibri"/>
      </rPr>
      <t xml:space="preserve">
</t>
    </r>
    <r>
      <rPr>
        <sz val="11"/>
        <color rgb="FF000000"/>
        <rFont val="Calibri"/>
      </rPr>
      <t>-  Automatically deny elevation requests: When an operation requires elevation of privilege, a configurable access denied error message is displayed. An enterprise that's running desktops as standard user may choose this setting to reduce help desk calls.</t>
    </r>
    <r>
      <rPr>
        <sz val="11"/>
        <color rgb="FF000000"/>
        <rFont val="Calibri"/>
      </rPr>
      <t xml:space="preserve">
</t>
    </r>
    <r>
      <rPr>
        <sz val="11"/>
        <color rgb="FF000000"/>
        <rFont val="Calibri"/>
      </rPr>
      <t>-  Prompt for credentials on the secure desktop: When an operation requires elevation of privilege, the user is prompted on the secure desktop to enter a different user name and password. If the user enters valid credentials, the operation continues with the applicable privilege.</t>
    </r>
  </si>
  <si>
    <t>https://learn.microsoft.com/en-us/windows/client-management/mdm/policy-csp-LocalPoliciesSecurityOptions?WT.mc_id=Portal-fx#useraccountcontrol_behavioroftheelevationpromptforstandardusers</t>
  </si>
  <si>
    <t>./Device/Vendor/MSFT/Policy/Config/LocalPoliciesSecurityOptions/UserAccountControl_BehaviorOfTheElevationPromptForStandardUsers</t>
  </si>
  <si>
    <t>User Account Control: Behavior of the elevation prompt for standard users</t>
  </si>
  <si>
    <t>13.17</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</si>
  <si>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</si>
  <si>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Options\User Account Control Detect Application Installations And Prompt For Elevation</t>
    </r>
  </si>
  <si>
    <t>https://learn.microsoft.com/en-us/windows/client-management/mdm/policy-csp-LocalPoliciesSecurityOptions?WT.mc_id=Portal-fx#useraccountcontrol-detectapplicationinstallationsandpromptforelevation</t>
  </si>
  <si>
    <t>13.18</t>
  </si>
  <si>
    <r>
      <rPr>
        <sz val="11"/>
        <rFont val="Calibri"/>
      </rPr>
      <t xml:space="preserve">Ensure </t>
    </r>
    <r>
      <rPr>
        <sz val="11"/>
        <color rgb="FF000000"/>
        <rFont val="Calibri"/>
      </rPr>
      <t>'</t>
    </r>
    <r>
      <rPr>
        <b/>
        <sz val="11"/>
        <color rgb="FF000000"/>
        <rFont val="Calibri"/>
      </rPr>
      <t>User Account Control Only Elevate UI 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Application runs with UIAccess integrity only if it resides in secure location.</t>
    </r>
    <r>
      <rPr>
        <sz val="11"/>
        <color rgb="FF000000"/>
        <rFont val="Calibri"/>
      </rPr>
      <t>'</t>
    </r>
  </si>
  <si>
    <r>
      <rPr>
        <sz val="11"/>
        <color rgb="FF000000"/>
        <rFont val="Calibri"/>
      </rPr>
      <t xml:space="preserve">Set the following Settings Catalog path to </t>
    </r>
    <r>
      <rPr>
        <b/>
        <sz val="11"/>
        <color rgb="FF000000"/>
        <rFont val="Calibri"/>
      </rPr>
      <t>Enabled: Application runs with UIAccess integrity only if it resides in secure location.</t>
    </r>
    <r>
      <rPr>
        <sz val="11"/>
        <color rgb="FF000000"/>
        <rFont val="Calibri"/>
      </rPr>
      <t xml:space="preserve">: </t>
    </r>
    <r>
      <rPr>
        <sz val="11"/>
        <color rgb="FF000000"/>
        <rFont val="Calibri"/>
      </rPr>
      <t xml:space="preserve">
</t>
    </r>
    <r>
      <rPr>
        <sz val="11"/>
        <color rgb="FF006096"/>
        <rFont val="Roboto Condensed"/>
      </rPr>
      <t>Local Policies Security Options\User Account Control Only Elevate UI Access Applications That Are Installed In Secure Locations</t>
    </r>
  </si>
  <si>
    <t>https://learn.microsoft.com/en-us/windows/client-management/mdm/policy-csp-LocalPoliciesSecurityOptions?WT.mc_id=Portal-fx#useraccountcontrol-onlyelevateuiaccessapplicationsthatareinstalledinsecurelocations</t>
  </si>
  <si>
    <t>13.19</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</si>
  <si>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</si>
  <si>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Options\User Account Control Run All Administrators In Admin Approval Mode</t>
    </r>
  </si>
  <si>
    <r>
      <rPr>
        <sz val="11"/>
        <color rgb="FF000000"/>
        <rFont val="Calibri"/>
      </rPr>
      <t>User Account Control: Turn on Admin Approval Mode This policy setting controls the behavior of all User Account Control (UAC) policy settings for the computer. If you change this policy setting, you must restart your computer. The options are:-  Enabled: (Default) Admin Approval Mode is enabled. This policy must be enabled and related UAC policy settings must also be set appropriately to allow the built-in Administrator account and all other users who are members of the Administrators group to run in Admin Approval Mode.</t>
    </r>
    <r>
      <rPr>
        <sz val="11"/>
        <color rgb="FF000000"/>
        <rFont val="Calibri"/>
      </rPr>
      <t xml:space="preserve">
</t>
    </r>
    <r>
      <rPr>
        <sz val="11"/>
        <color rgb="FF000000"/>
        <rFont val="Calibri"/>
      </rPr>
      <t>-  Disabled: Admin Approval Mode and all related UAC policy settings are disabled.</t>
    </r>
    <r>
      <rPr>
        <sz val="11"/>
        <color rgb="FF000000"/>
        <rFont val="Calibri"/>
      </rPr>
      <t>Note: If this policy setting is disabled, the Security Center notifies you that the overall security of the operating system has been reduced.</t>
    </r>
    <r>
      <rPr>
        <sz val="11"/>
        <color rgb="FF000000"/>
        <rFont val="Calibri"/>
      </rPr>
      <t xml:space="preserve">
</t>
    </r>
    <r>
      <rPr>
        <sz val="11"/>
        <color rgb="FF000000"/>
        <rFont val="Calibri"/>
      </rPr>
      <t>If this policy setting is disabled, the Security Center notifies you that the overall security of the operating system has been reduced.</t>
    </r>
  </si>
  <si>
    <t>https://learn.microsoft.com/en-us/windows/client-management/mdm/policy-csp-LocalPoliciesSecurityOptions?WT.mc_id=Portal-fx#useraccountcontrol_runalladministratorsinadminapprovalmode</t>
  </si>
  <si>
    <t>./Device/Vendor/MSFT/Policy/Config/LocalPoliciesSecurityOptions/UserAccountControl_RunAllAdministratorsInAdminApprovalMode</t>
  </si>
  <si>
    <t>User Account Control: Run all administrators in Admin Approval Mode</t>
  </si>
  <si>
    <t>13.20</t>
  </si>
  <si>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</si>
  <si>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Local Policies Security Options\User Account Control Use Admin Approval Mode</t>
    </r>
  </si>
  <si>
    <r>
      <rPr>
        <sz val="11"/>
        <color rgb="FF000000"/>
        <rFont val="Calibri"/>
      </rPr>
      <t>User Account Control: Use Admin Approval Mode for the built-in Administrator account This policy setting controls the behavior of Admin Approval Mode for the built-in Administrator account. The options are:-  Enabled: The built-in Administrator account uses Admin Approval Mode. By default, any operation that requires elevation of privilege will prompt the user to approve the operation.</t>
    </r>
    <r>
      <rPr>
        <sz val="11"/>
        <color rgb="FF000000"/>
        <rFont val="Calibri"/>
      </rPr>
      <t xml:space="preserve">
</t>
    </r>
    <r>
      <rPr>
        <sz val="11"/>
        <color rgb="FF000000"/>
        <rFont val="Calibri"/>
      </rPr>
      <t>-  Disabled: (Default) The built-in Administrator account runs all applications with full administrative privilege.</t>
    </r>
  </si>
  <si>
    <t>https://learn.microsoft.com/en-us/windows/client-management/mdm/policy-csp-LocalPoliciesSecurityOptions?WT.mc_id=Portal-fx#useraccountcontrol_useadminapprovalmode</t>
  </si>
  <si>
    <t>./Device/Vendor/MSFT/Policy/Config/LocalPoliciesSecurityOptions/UserAccountControl_UseAdminApprovalMode</t>
  </si>
  <si>
    <t>User Account Control: Admin Approval Mode for the Built-in Administrator account</t>
  </si>
  <si>
    <t>13.21</t>
  </si>
  <si>
    <r>
      <rPr>
        <sz val="11"/>
        <rFont val="Calibri"/>
      </rPr>
      <t xml:space="preserve">Ensure </t>
    </r>
    <r>
      <rPr>
        <sz val="11"/>
        <color rgb="FF000000"/>
        <rFont val="Calibri"/>
      </rPr>
      <t>'</t>
    </r>
    <r>
      <rPr>
        <b/>
        <sz val="11"/>
        <color rgb="FF000000"/>
        <rFont val="Calibri"/>
      </rPr>
      <t>User Account Control Virtualize File And Registry Write Failures To Per 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</si>
  <si>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Local Policies Security Options\User Account Control Virtualize File And Registry Write Failures To Per User Locations</t>
    </r>
  </si>
  <si>
    <r>
      <rPr>
        <sz val="11"/>
        <color rgb="FF000000"/>
        <rFont val="Calibri"/>
      </rPr>
      <t>User Account Control: Virtualize file and registry write failures to per-user locations This policy setting controls whether application write failures are redirected to defined registry and file system locations. This policy setting mitigates applications that run as administrator and write run-time application data to %ProgramFiles%, %Windir%, %Windir%\system32, or HKLM\Software. The options are:-  Enabled: (Default) Application write failures are redirected at run time to defined user locations for both the file system and registry.</t>
    </r>
    <r>
      <rPr>
        <sz val="11"/>
        <color rgb="FF000000"/>
        <rFont val="Calibri"/>
      </rPr>
      <t xml:space="preserve">
</t>
    </r>
    <r>
      <rPr>
        <sz val="11"/>
        <color rgb="FF000000"/>
        <rFont val="Calibri"/>
      </rPr>
      <t>-  Disabled: Applications that write data to protected locations fail.</t>
    </r>
  </si>
  <si>
    <t>https://learn.microsoft.com/en-us/windows/client-management/mdm/policy-csp-LocalPoliciesSecurityOptions?WT.mc_id=Portal-fx#useraccountcontrol_virtualizefileandregistrywritefailurestoperuserlocations</t>
  </si>
  <si>
    <t>./Device/Vendor/MSFT/Policy/Config/LocalPoliciesSecurityOptions/UserAccountControl_VirtualizeFileAndRegistryWriteFailuresToPerUserLocations</t>
  </si>
  <si>
    <t>User Account Control: Virtualize file and registry write failures to per-user locations</t>
  </si>
  <si>
    <t>14.1</t>
  </si>
  <si>
    <r>
      <rPr>
        <sz val="11"/>
        <rFont val="Calibri"/>
      </rPr>
      <t xml:space="preserve">Ensure </t>
    </r>
    <r>
      <rPr>
        <sz val="11"/>
        <color rgb="FF000000"/>
        <rFont val="Calibri"/>
      </rPr>
      <t>'</t>
    </r>
    <r>
      <rPr>
        <b/>
        <sz val="11"/>
        <color rgb="FF000000"/>
        <rFont val="Calibri"/>
      </rPr>
      <t>Configure Lsa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LSA will run as protected process and this configuration is UEFI locked.</t>
    </r>
    <r>
      <rPr>
        <sz val="11"/>
        <color rgb="FF000000"/>
        <rFont val="Calibri"/>
      </rPr>
      <t>'</t>
    </r>
  </si>
  <si>
    <r>
      <rPr>
        <sz val="11"/>
        <color rgb="FF000000"/>
        <rFont val="Calibri"/>
      </rPr>
      <t xml:space="preserve">Set the following Settings Catalog path to </t>
    </r>
    <r>
      <rPr>
        <b/>
        <sz val="11"/>
        <color rgb="FF000000"/>
        <rFont val="Calibri"/>
      </rPr>
      <t>Enabled with UEFI lock. LSA will run as protected process and this configuration is UEFI locked.</t>
    </r>
    <r>
      <rPr>
        <sz val="11"/>
        <color rgb="FF000000"/>
        <rFont val="Calibri"/>
      </rPr>
      <t xml:space="preserve">: </t>
    </r>
    <r>
      <rPr>
        <sz val="11"/>
        <color rgb="FF000000"/>
        <rFont val="Calibri"/>
      </rPr>
      <t xml:space="preserve">
</t>
    </r>
    <r>
      <rPr>
        <sz val="11"/>
        <color rgb="FF006096"/>
        <rFont val="Roboto Condensed"/>
      </rPr>
      <t>Local Security Authority\Configure Lsa Protected Process</t>
    </r>
  </si>
  <si>
    <r>
      <rPr>
        <sz val="11"/>
        <color rgb="FF000000"/>
        <rFont val="Calibri"/>
      </rPr>
      <t>This policy controls the configuration under which LSASS is run.-  If you don't configure this policy and there is no current setting in the registry, LSA will run as protected process for all clean installed, HVCI capable, client SKUs. This configuration isn't UEFI locked. This can be overridden if the policy is configured.</t>
    </r>
    <r>
      <rPr>
        <sz val="11"/>
        <color rgb="FF000000"/>
        <rFont val="Calibri"/>
      </rPr>
      <t xml:space="preserve">
</t>
    </r>
    <r>
      <rPr>
        <sz val="11"/>
        <color rgb="FF000000"/>
        <rFont val="Calibri"/>
      </rPr>
      <t>-  If you configure and set this policy setting to "Disabled", LSA won't run as a protected process.</t>
    </r>
    <r>
      <rPr>
        <sz val="11"/>
        <color rgb="FF000000"/>
        <rFont val="Calibri"/>
      </rPr>
      <t xml:space="preserve">
</t>
    </r>
    <r>
      <rPr>
        <sz val="11"/>
        <color rgb="FF000000"/>
        <rFont val="Calibri"/>
      </rPr>
      <t>-  If you configure and set this policy setting to "EnabledWithUEFILock," LSA will run as a protected process and this configuration is UEFI locked.</t>
    </r>
    <r>
      <rPr>
        <sz val="11"/>
        <color rgb="FF000000"/>
        <rFont val="Calibri"/>
      </rPr>
      <t xml:space="preserve">
</t>
    </r>
    <r>
      <rPr>
        <sz val="11"/>
        <color rgb="FF000000"/>
        <rFont val="Calibri"/>
      </rPr>
      <t>-  If you configure and set this policy setting to "EnabledWithoutUEFILock", LSA will run as a protected process and this configuration isn't UEFI locked.</t>
    </r>
  </si>
  <si>
    <t>https://learn.microsoft.com/en-us/intune/device-security/security-baselines/ref-windows-mdm-settings?pivots=mdm-24h2#local-security-authority-1</t>
  </si>
  <si>
    <t>https://learn.microsoft.com/en-us/windows/client-management/mdm/policy-csp-lsa#configurelsaprotectedprocess</t>
  </si>
  <si>
    <t>./Device/Vendor/MSFT/Policy/Config/LocalSecurityAuthority/ConfigureLsaProtectedProcess</t>
  </si>
  <si>
    <t>ConfigureLsaProtectedProcess</t>
  </si>
  <si>
    <t>Configures LSASS to run as a protected process</t>
  </si>
  <si>
    <t>Microsoft App Store</t>
  </si>
  <si>
    <t>15.1</t>
  </si>
  <si>
    <r>
      <rPr>
        <sz val="11"/>
        <rFont val="Calibri"/>
      </rPr>
      <t xml:space="preserve">Ensure </t>
    </r>
    <r>
      <rPr>
        <sz val="11"/>
        <color rgb="FF000000"/>
        <rFont val="Calibri"/>
      </rPr>
      <t>'</t>
    </r>
    <r>
      <rPr>
        <b/>
        <sz val="11"/>
        <color rgb="FF000000"/>
        <rFont val="Calibri"/>
      </rPr>
      <t>Allow Game DVR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</si>
  <si>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Microsoft App Store\Allow Game DVR</t>
    </r>
  </si>
  <si>
    <r>
      <rPr>
        <sz val="11"/>
        <color rgb="FF000000"/>
        <rFont val="Calibri"/>
      </rPr>
      <t>Windows Game Recording and Broadcasting.This setting enables or disables the Windows Game Recording and Broadcasting features. If you disable this setting, Windows Game Recording won't be allowed.If the setting is enabled or not configured, then Recording and Broadcasting (streaming) will be allowed.</t>
    </r>
    <r>
      <rPr>
        <sz val="11"/>
        <color rgb="FF000000"/>
        <rFont val="Calibri"/>
      </rPr>
      <t>Note: The policy is only enforced in Windows 10 for desktop.</t>
    </r>
    <r>
      <rPr>
        <sz val="11"/>
        <color rgb="FF000000"/>
        <rFont val="Calibri"/>
      </rPr>
      <t xml:space="preserve">
</t>
    </r>
    <r>
      <rPr>
        <sz val="11"/>
        <color rgb="FF000000"/>
        <rFont val="Calibri"/>
      </rPr>
      <t>The policy is only enforced in Windows 10 for desktop.</t>
    </r>
  </si>
  <si>
    <t>https://learn.microsoft.com/en-us/intune/device-security/security-baselines/ref-windows-mdm-settings?pivots=mdm-24h2#microsoft-app-store-1</t>
  </si>
  <si>
    <t>https://learn.microsoft.com/en-us/windows/client-management/mdm/policy-csp-ApplicationManagement?WT.mc_id=Portal-fx#allowgamedvr</t>
  </si>
  <si>
    <t>./Device/Vendor/MSFT/Policy/Config/ApplicationManagement/AllowGameDVR</t>
  </si>
  <si>
    <t>AllowGameDVR</t>
  </si>
  <si>
    <t>Enables or disables Windows Game Recording and Broadcasting</t>
  </si>
  <si>
    <t>Windows Components &gt; Windows Game Recording and Broadcasting</t>
  </si>
  <si>
    <t>Software\Policies\Microsoft\Windows\GameDVR</t>
  </si>
  <si>
    <t>GameDVR.admx</t>
  </si>
  <si>
    <t>15.2</t>
  </si>
  <si>
    <r>
      <rPr>
        <sz val="11"/>
        <rFont val="Calibri"/>
      </rPr>
      <t xml:space="preserve">Ensure </t>
    </r>
    <r>
      <rPr>
        <sz val="11"/>
        <color rgb="FF000000"/>
        <rFont val="Calibri"/>
      </rPr>
      <t>'</t>
    </r>
    <r>
      <rPr>
        <b/>
        <sz val="11"/>
        <color rgb="FF000000"/>
        <rFont val="Calibri"/>
      </rPr>
      <t>MSI Allow User Control Over 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</si>
  <si>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Microsoft App Store\MSI Allow User Control Over Install</t>
    </r>
  </si>
  <si>
    <r>
      <rPr>
        <sz val="11"/>
        <color rgb="FF000000"/>
        <rFont val="Calibri"/>
      </rPr>
      <t>This policy setting permits users to change installation options that typically are available only to system administrators.-  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  If you disable or don't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</si>
  <si>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https://learn.microsoft.com/en-us/windows/client-management/mdm/policy-csp-ApplicationManagement?WT.mc_id=Portal-fx#msiallowusercontroloverinstall</t>
  </si>
  <si>
    <t>./Device/Vendor/MSFT/Policy/Config/ApplicationManagement/MSIAllowUserControlOverInstall</t>
  </si>
  <si>
    <t>EnableUserControl</t>
  </si>
  <si>
    <t>Allow user control over installs</t>
  </si>
  <si>
    <t>Windows Components &gt; Windows Installer</t>
  </si>
  <si>
    <t>Software\Policies\Microsoft\Windows\Installer</t>
  </si>
  <si>
    <t>MSI.admx</t>
  </si>
  <si>
    <t>15.3</t>
  </si>
  <si>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</si>
  <si>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Microsoft App Store\MSI Always Install With Elevated Privileges</t>
    </r>
  </si>
  <si>
    <r>
      <rPr>
        <sz val="11"/>
        <color rgb="FF000000"/>
        <rFont val="Calibri"/>
      </rPr>
      <t>This policy setting directs Windows Installer to use elevated permissions when it installs any program on the system.-  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  If you disable or don't configure this policy setting, the system applies the current user's permissions when it installs programs that a system administrator doesn't distribute or offer.</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This policy setting appears both in the Computer Configuration and User Configuration folders. To make this policy setting effective, you must enable it in both folders.</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isn't guaranteed to be secure.</t>
    </r>
    <r>
      <rPr>
        <sz val="11"/>
        <color rgb="FF000000"/>
        <rFont val="Calibri"/>
      </rPr>
      <t xml:space="preserve">
</t>
    </r>
    <r>
      <rPr>
        <sz val="11"/>
        <color rgb="FF000000"/>
        <rFont val="Calibri"/>
      </rPr>
      <t>Skilled users can take advantage of the permissions this policy setting grants to change their privileges and gain permanent access to restricted files and folders. Note that the User Configuration version of this policy setting isn't guaranteed to be secure.</t>
    </r>
  </si>
  <si>
    <t>https://learn.microsoft.com/en-us/windows/client-management/mdm/policy-csp-ApplicationManagement?WT.mc_id=Portal-fx#msialwaysinstallwithelevatedprivileges</t>
  </si>
  <si>
    <t>./Device/Vendor/MSFT/Policy/Config/ApplicationManagement/MSIAlwaysInstallWithElevatedPrivileges</t>
  </si>
  <si>
    <t>AlwaysInstallElevated</t>
  </si>
  <si>
    <t>Always install with elevated privileges</t>
  </si>
  <si>
    <t>SmartScreen settings</t>
  </si>
  <si>
    <t>16.1.1</t>
  </si>
  <si>
    <r>
      <rPr>
        <sz val="11"/>
        <rFont val="Calibri"/>
      </rPr>
      <t xml:space="preserve">Ensure </t>
    </r>
    <r>
      <rPr>
        <sz val="11"/>
        <color rgb="FF000000"/>
        <rFont val="Calibri"/>
      </rPr>
      <t>'</t>
    </r>
    <r>
      <rPr>
        <b/>
        <sz val="11"/>
        <color rgb="FF000000"/>
        <rFont val="Calibri"/>
      </rPr>
      <t>Configure Microsoft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</si>
  <si>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Microsoft Edge\SmartScreen settings\Configure Microsoft Defender SmartScreen</t>
    </r>
  </si>
  <si>
    <t>https://learn.microsoft.com/en-us/intune/device-security/security-baselines/ref-windows-mdm-settings?pivots=mdm-24h2#smartscreen-settings-1</t>
  </si>
  <si>
    <t>16.1.2</t>
  </si>
  <si>
    <r>
      <rPr>
        <sz val="11"/>
        <rFont val="Calibri"/>
      </rPr>
      <t xml:space="preserve">Ensure </t>
    </r>
    <r>
      <rPr>
        <sz val="11"/>
        <color rgb="FF000000"/>
        <rFont val="Calibri"/>
      </rPr>
      <t>'</t>
    </r>
    <r>
      <rPr>
        <b/>
        <sz val="11"/>
        <color rgb="FF000000"/>
        <rFont val="Calibri"/>
      </rPr>
      <t>Prevent bypassing Microsoft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</si>
  <si>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Microsoft Edge\SmartScreen settings\Prevent bypassing Microsoft Defender SmartScreen prompts for sites</t>
    </r>
  </si>
  <si>
    <t>Privacy</t>
  </si>
  <si>
    <t>17.1</t>
  </si>
  <si>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Force deny. Windows apps cannot be activated by voice while the screen is locked, and users cannot change it.</t>
    </r>
    <r>
      <rPr>
        <sz val="11"/>
        <color rgb="FF000000"/>
        <rFont val="Calibri"/>
      </rPr>
      <t>'</t>
    </r>
  </si>
  <si>
    <r>
      <rPr>
        <sz val="11"/>
        <color rgb="FF000000"/>
        <rFont val="Calibri"/>
      </rPr>
      <t xml:space="preserve">Set the following Settings Catalog path to </t>
    </r>
    <r>
      <rPr>
        <b/>
        <sz val="11"/>
        <color rgb="FF000000"/>
        <rFont val="Calibri"/>
      </rPr>
      <t>Force deny. Windows apps cannot be activated by voice while the screen is locked, and users cannot change it.</t>
    </r>
    <r>
      <rPr>
        <sz val="11"/>
        <color rgb="FF000000"/>
        <rFont val="Calibri"/>
      </rPr>
      <t xml:space="preserve">: </t>
    </r>
    <r>
      <rPr>
        <sz val="11"/>
        <color rgb="FF000000"/>
        <rFont val="Calibri"/>
      </rPr>
      <t xml:space="preserve">
</t>
    </r>
    <r>
      <rPr>
        <sz val="11"/>
        <color rgb="FF006096"/>
        <rFont val="Roboto Condensed"/>
      </rPr>
      <t>Privacy\Let Apps Activate With Voice Above Lock</t>
    </r>
  </si>
  <si>
    <r>
      <rPr>
        <sz val="11"/>
        <color rgb="FF000000"/>
        <rFont val="Calibri"/>
      </rPr>
      <t>This policy setting specifies whether Windows apps can be activated by voice while the system is locked.If you choose the "User is in control" option, employees in your organization can decide whether users can interact with applications using speech while the system is locked by using Settings &gt; Privacy on the device.If you choose the "Force Allow" option, users can interact with applications using speech while the system is locked and employees in your organization can't change it.If you choose the "Force Deny" option, users can't interact with applications using speech while the system is locked and employees in your organization can't change it.If you disable or don't configure this policy setting, employees in your organization can decide whether users can interact with applications using speech while the system is locked by using Settings &gt; Privacy on the device.This policy is applied to Windows apps and Cortana. It takes precedence of the "Allow Cortana above lock" policy. This policy is applicable only when "Allow voice activation" policy is configured to allow applications to be activated with voice.</t>
    </r>
  </si>
  <si>
    <t>https://learn.microsoft.com/en-us/intune/device-security/security-baselines/ref-windows-mdm-settings?pivots=mdm-24h2#privacy-1</t>
  </si>
  <si>
    <t>https://learn.microsoft.com/en-us/windows/client-management/mdm/policy-csp-Privacy?WT.mc_id=Portal-fx#letappsactivatewithvoiceabovelock</t>
  </si>
  <si>
    <t>./Device/Vendor/MSFT/Policy/Config/Privacy/LetAppsActivateWithVoiceAboveLock</t>
  </si>
  <si>
    <t>LetAppsActivateWithVoiceAboveLock</t>
  </si>
  <si>
    <t>Let Windows apps activate with voice while the system is locked</t>
  </si>
  <si>
    <t>Windows Components &gt; App Privacy</t>
  </si>
  <si>
    <t>Software\Policies\Microsoft\Windows\AppPrivacy</t>
  </si>
  <si>
    <t>AppPrivacy.admx</t>
  </si>
  <si>
    <t>Search</t>
  </si>
  <si>
    <t>18.1</t>
  </si>
  <si>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</si>
  <si>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Search\Allow Indexing Encrypted Stores Or Items</t>
    </r>
  </si>
  <si>
    <r>
      <rPr>
        <sz val="11"/>
        <color rgb="FF000000"/>
        <rFont val="Calibri"/>
      </rPr>
      <t>This policy setting allows encrypted items to be indexed.-  If you enable this policy setting, indexing will attempt to decrypt and index the content (access restrictions will still apply).</t>
    </r>
    <r>
      <rPr>
        <sz val="11"/>
        <color rgb="FF000000"/>
        <rFont val="Calibri"/>
      </rPr>
      <t xml:space="preserve">
</t>
    </r>
    <r>
      <rPr>
        <sz val="11"/>
        <color rgb="FF000000"/>
        <rFont val="Calibri"/>
      </rPr>
      <t>-  If you disable this policy setting, the search service components (including non-Microsoft components) are expected not to index encrypted items or encrypted stores. This policy setting isn't configured by default.</t>
    </r>
    <r>
      <rPr>
        <sz val="11"/>
        <color rgb="FF000000"/>
        <rFont val="Calibri"/>
      </rPr>
      <t xml:space="preserve">
</t>
    </r>
    <r>
      <rPr>
        <sz val="11"/>
        <color rgb="FF000000"/>
        <rFont val="Calibri"/>
      </rPr>
      <t xml:space="preserve">-  If you don't configure this policy setting, the local setting, configured through Control Panel, will be used. By default, the Control Panel setting is set to not index encrypted content.When this setting is enabled or disabled, the index is rebuilt completely.Full volume encryption (such as BitLocker Drive Encryption or a non-Microsoft solution) must be used for the location of the index to maintain security for encrypted files.When the policy is enabled, Windows Information Protection (WIP) protected items are indexed. The metadata about them are stored in an unencrypted location. The metadata includes file path and date modified.When the policy is disabled, the WIP protected items aren't indexed. The encrypted items don't show up in the results in Cortana or file explorer. Search performance may also be affected on photos and other media apps, if there are many WIP-protected media files on the device.The most restrictive value is </t>
    </r>
    <r>
      <rPr>
        <b/>
        <sz val="11"/>
        <color rgb="FF000000"/>
        <rFont val="Calibri"/>
      </rPr>
      <t>0</t>
    </r>
    <r>
      <rPr>
        <sz val="11"/>
        <color rgb="FF000000"/>
        <rFont val="Calibri"/>
      </rPr>
      <t xml:space="preserve"> to not allow indexing of encrypted items.</t>
    </r>
  </si>
  <si>
    <t>https://learn.microsoft.com/en-us/intune/device-security/security-baselines/ref-windows-mdm-settings?pivots=mdm-24h2#search-1</t>
  </si>
  <si>
    <t>https://learn.microsoft.com/en-us/windows/client-management/mdm/policy-csp-Search?WT.mc_id=Portal-fx#allowindexingencryptedstoresoritems</t>
  </si>
  <si>
    <t>./Device/Vendor/MSFT/Policy/Config/Search/AllowIndexingEncryptedStoresOrItems</t>
  </si>
  <si>
    <t>AllowIndexingEncryptedStoresOrItems</t>
  </si>
  <si>
    <t>Allow indexing of encrypted files</t>
  </si>
  <si>
    <t>Windows Components &gt; Search</t>
  </si>
  <si>
    <t>SOFTWARE\Policies\Microsoft\Windows\Windows Search</t>
  </si>
  <si>
    <t>Search.admx</t>
  </si>
  <si>
    <t>Smart Screen</t>
  </si>
  <si>
    <t>19.1</t>
  </si>
  <si>
    <r>
      <rPr>
        <sz val="11"/>
        <rFont val="Calibri"/>
      </rPr>
      <t xml:space="preserve">Ensure </t>
    </r>
    <r>
      <rPr>
        <sz val="11"/>
        <color rgb="FF000000"/>
        <rFont val="Calibri"/>
      </rPr>
      <t>'</t>
    </r>
    <r>
      <rPr>
        <b/>
        <sz val="11"/>
        <color rgb="FF000000"/>
        <rFont val="Calibri"/>
      </rPr>
      <t>Enable Smart Screen In Shell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</si>
  <si>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Screen\Enable Smart Screen In Shell</t>
    </r>
  </si>
  <si>
    <r>
      <rPr>
        <sz val="11"/>
        <color rgb="FF000000"/>
        <rFont val="Calibri"/>
      </rPr>
      <t>Allows IT Admins to configure SmartScreen for Windows.</t>
    </r>
  </si>
  <si>
    <t>https://learn.microsoft.com/en-us/intune/device-security/security-baselines/ref-windows-mdm-settings?pivots=mdm-24h2#smart-screen-1</t>
  </si>
  <si>
    <t>https://learn.microsoft.com/en-us/windows/client-management/mdm/policy-csp-smartscreen?WT.mc_id=Portal-fx#enablesmartscreeninshell</t>
  </si>
  <si>
    <t>./Device/Vendor/MSFT/Policy/Config/SmartScreen/EnableSmartScreenInShell</t>
  </si>
  <si>
    <t>ShellConfigureSmartScreen</t>
  </si>
  <si>
    <t>Windows Components &gt; Windows Defender SmartScreen &gt; Explorer</t>
  </si>
  <si>
    <t>SmartScreen.admx</t>
  </si>
  <si>
    <t>Enhanced Phishing Protection</t>
  </si>
  <si>
    <t>19.1.1</t>
  </si>
  <si>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</si>
  <si>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Screen\Enhanced Phishing Protection\Notify Malicious</t>
    </r>
  </si>
  <si>
    <t>https://learn.microsoft.com/en-us/intune/device-security/security-baselines/ref-windows-mdm-settings?pivots=mdm-24h2#enhanced-phishing-protection-1</t>
  </si>
  <si>
    <t>19.1.2</t>
  </si>
  <si>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</si>
  <si>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Screen\Enhanced Phishing Protection\Notify Password Reuse</t>
    </r>
  </si>
  <si>
    <t>19.1.3</t>
  </si>
  <si>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</si>
  <si>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Screen\Enhanced Phishing Protection\Notify Unsafe App</t>
    </r>
  </si>
  <si>
    <t>19.1.4</t>
  </si>
  <si>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</si>
  <si>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Screen\Enhanced Phishing Protection\Service Enabled</t>
    </r>
  </si>
  <si>
    <t>19.2</t>
  </si>
  <si>
    <r>
      <rPr>
        <sz val="11"/>
        <rFont val="Calibri"/>
      </rPr>
      <t xml:space="preserve">Ensure </t>
    </r>
    <r>
      <rPr>
        <sz val="11"/>
        <color rgb="FF000000"/>
        <rFont val="Calibri"/>
      </rPr>
      <t>'</t>
    </r>
    <r>
      <rPr>
        <b/>
        <sz val="11"/>
        <color rgb="FF000000"/>
        <rFont val="Calibri"/>
      </rPr>
      <t>Prevent Override For Files In Shell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</si>
  <si>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Smart Screen\Prevent Override For Files In Shell</t>
    </r>
  </si>
  <si>
    <r>
      <rPr>
        <sz val="11"/>
        <color rgb="FF000000"/>
        <rFont val="Calibri"/>
      </rPr>
      <t>Allows IT Admins to control whether users can ignore SmartScreen warnings and run malicious files.</t>
    </r>
  </si>
  <si>
    <t>https://learn.microsoft.com/en-us/windows/client-management/mdm/policy-csp-smartscreen?WT.mc_id=Portal-fx#preventoverrideforfilesinshell</t>
  </si>
  <si>
    <t>./Device/Vendor/MSFT/Policy/Config/SmartScreen/PreventOverrideForFilesInShell</t>
  </si>
  <si>
    <t>System Services</t>
  </si>
  <si>
    <t>20.1</t>
  </si>
  <si>
    <r>
      <rPr>
        <sz val="11"/>
        <rFont val="Calibri"/>
      </rPr>
      <t xml:space="preserve">Ensure </t>
    </r>
    <r>
      <rPr>
        <sz val="11"/>
        <color rgb="FF000000"/>
        <rFont val="Calibri"/>
      </rPr>
      <t>'</t>
    </r>
    <r>
      <rPr>
        <b/>
        <sz val="11"/>
        <color rgb="FF000000"/>
        <rFont val="Calibri"/>
      </rPr>
      <t>Configure Xbox Accessory Management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</si>
  <si>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System Services\Configure Xbox Accessory Management Service Startup Mode</t>
    </r>
  </si>
  <si>
    <r>
      <rPr>
        <sz val="11"/>
        <color rgb="FF000000"/>
        <rFont val="Calibri"/>
      </rPr>
      <t>This setting determines whether the service's start type is Automatic(2), Manual(3), Disabled(4). Default: Manual.</t>
    </r>
  </si>
  <si>
    <t>https://learn.microsoft.com/en-us/intune/device-security/security-baselines/ref-windows-mdm-settings?pivots=mdm-24h2#system-services-1</t>
  </si>
  <si>
    <t>https://learn.microsoft.com/en-us/windows/client-management/mdm/policy-csp-SystemServices?WT.mc_id=Portal-fx#configurexboxaccessorymanagementservicestartupmode</t>
  </si>
  <si>
    <t>./Device/Vendor/MSFT/Policy/Config/SystemServices/ConfigureXboxAccessoryManagementServiceStartupMode</t>
  </si>
  <si>
    <t>Xbox Accessory Management Service</t>
  </si>
  <si>
    <t>Windows Settings &gt; Security Settings &gt; System Services</t>
  </si>
  <si>
    <t>20.2</t>
  </si>
  <si>
    <r>
      <rPr>
        <sz val="11"/>
        <rFont val="Calibri"/>
      </rPr>
      <t xml:space="preserve">Ensure </t>
    </r>
    <r>
      <rPr>
        <sz val="11"/>
        <color rgb="FF000000"/>
        <rFont val="Calibri"/>
      </rPr>
      <t>'</t>
    </r>
    <r>
      <rPr>
        <b/>
        <sz val="11"/>
        <color rgb="FF000000"/>
        <rFont val="Calibri"/>
      </rPr>
      <t>Configure Xbox Live Auth Manager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</si>
  <si>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System Services\Configure Xbox Live Auth Manager Service Startup Mode</t>
    </r>
  </si>
  <si>
    <t>https://learn.microsoft.com/en-us/windows/client-management/mdm/policy-csp-SystemServices?WT.mc_id=Portal-fx#configurexboxliveauthmanagerservicestartupmode</t>
  </si>
  <si>
    <t>./Device/Vendor/MSFT/Policy/Config/SystemServices/ConfigureXboxLiveAuthManagerServiceStartupMode</t>
  </si>
  <si>
    <t>Xbox Live Auth Manager</t>
  </si>
  <si>
    <t>20.3</t>
  </si>
  <si>
    <r>
      <rPr>
        <sz val="11"/>
        <rFont val="Calibri"/>
      </rPr>
      <t xml:space="preserve">Ensure </t>
    </r>
    <r>
      <rPr>
        <sz val="11"/>
        <color rgb="FF000000"/>
        <rFont val="Calibri"/>
      </rPr>
      <t>'</t>
    </r>
    <r>
      <rPr>
        <b/>
        <sz val="11"/>
        <color rgb="FF000000"/>
        <rFont val="Calibri"/>
      </rPr>
      <t>Configure Xbox Live Game Save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</si>
  <si>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System Services\Configure Xbox Live Game Save Service Startup Mode</t>
    </r>
  </si>
  <si>
    <t>https://learn.microsoft.com/en-us/windows/client-management/mdm/policy-csp-SystemServices?WT.mc_id=Portal-fx#configurexboxlivegamesaveservicestartupmode</t>
  </si>
  <si>
    <t>./Device/Vendor/MSFT/Policy/Config/SystemServices/ConfigureXboxLiveGameSaveServiceStartupMode</t>
  </si>
  <si>
    <t>Xbox Live Game Save</t>
  </si>
  <si>
    <t>20.4</t>
  </si>
  <si>
    <r>
      <rPr>
        <sz val="11"/>
        <rFont val="Calibri"/>
      </rPr>
      <t xml:space="preserve">Ensure </t>
    </r>
    <r>
      <rPr>
        <sz val="11"/>
        <color rgb="FF000000"/>
        <rFont val="Calibri"/>
      </rPr>
      <t>'</t>
    </r>
    <r>
      <rPr>
        <b/>
        <sz val="11"/>
        <color rgb="FF000000"/>
        <rFont val="Calibri"/>
      </rPr>
      <t>Configure Xbox Live Networking Service Startup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</si>
  <si>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System Services\Configure Xbox Live Networking Service Startup Mode</t>
    </r>
  </si>
  <si>
    <t>https://learn.microsoft.com/en-us/windows/client-management/mdm/policy-csp-SystemServices?WT.mc_id=Portal-fx#configurexboxlivenetworkingservicestartupmode</t>
  </si>
  <si>
    <t>./Device/Vendor/MSFT/Policy/Config/SystemServices/ConfigureXboxLiveNetworkingServiceStartupMode</t>
  </si>
  <si>
    <t>Xbox Live Networking Service</t>
  </si>
  <si>
    <t>Task Scheduler</t>
  </si>
  <si>
    <t>21.1</t>
  </si>
  <si>
    <r>
      <rPr>
        <sz val="11"/>
        <rFont val="Calibri"/>
      </rPr>
      <t xml:space="preserve">Ensure </t>
    </r>
    <r>
      <rPr>
        <sz val="11"/>
        <color rgb="FF000000"/>
        <rFont val="Calibri"/>
      </rPr>
      <t>'</t>
    </r>
    <r>
      <rPr>
        <b/>
        <sz val="11"/>
        <color rgb="FF000000"/>
        <rFont val="Calibri"/>
      </rPr>
      <t>Enable Xbox Game Save 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</si>
  <si>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Task Scheduler\Enable Xbox Game Save Task</t>
    </r>
  </si>
  <si>
    <r>
      <rPr>
        <sz val="11"/>
        <color rgb="FF000000"/>
        <rFont val="Calibri"/>
      </rPr>
      <t>This setting determines whether the specific task is enabled (1) or disabled (0).</t>
    </r>
  </si>
  <si>
    <t>https://learn.microsoft.com/en-us/intune/device-security/security-baselines/ref-windows-mdm-settings?pivots=mdm-24h2#task-scheduler-1</t>
  </si>
  <si>
    <t>https://learn.microsoft.com/en-us/windows/client-management/mdm/policy-csp-TaskScheduler?WT.mc_id=Portal-fx#enablexboxgamesavetask</t>
  </si>
  <si>
    <t>./Device/Vendor/MSFT/Policy/Config/TaskScheduler/EnableXboxGameSaveTask</t>
  </si>
  <si>
    <t>User Rights</t>
  </si>
  <si>
    <t>22.1</t>
  </si>
  <si>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Remote Desktop Users (*S-1-5-32-555)</t>
    </r>
    <r>
      <rPr>
        <sz val="11"/>
        <color rgb="FF000000"/>
        <rFont val="Calibri"/>
      </rPr>
      <t>'</t>
    </r>
  </si>
  <si>
    <r>
      <rPr>
        <sz val="11"/>
        <color rgb="FF000000"/>
        <rFont val="Calibri"/>
      </rPr>
      <t xml:space="preserve">Set the following Settings Catalog path to </t>
    </r>
    <r>
      <rPr>
        <b/>
        <sz val="11"/>
        <color rgb="FF000000"/>
        <rFont val="Calibri"/>
      </rPr>
      <t>Administrators (*S-1-5-32-544), Remote Desktop Users (*S-1-5-32-555)</t>
    </r>
    <r>
      <rPr>
        <sz val="11"/>
        <color rgb="FF000000"/>
        <rFont val="Calibri"/>
      </rPr>
      <t xml:space="preserve">: </t>
    </r>
    <r>
      <rPr>
        <sz val="11"/>
        <color rgb="FF000000"/>
        <rFont val="Calibri"/>
      </rPr>
      <t xml:space="preserve">
</t>
    </r>
    <r>
      <rPr>
        <sz val="11"/>
        <color rgb="FF006096"/>
        <rFont val="Roboto Condensed"/>
      </rPr>
      <t>User Rights\Access From Network</t>
    </r>
  </si>
  <si>
    <r>
      <rPr>
        <sz val="11"/>
        <color rgb="FF000000"/>
        <rFont val="Calibri"/>
      </rPr>
      <t>This user right determines which users and groups are allowed to connect to the computer over the network. Remote Desktop Services aren't affected by this user right.</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Remote Desktop Services was called Terminal Services in previous versions of Windows Server.</t>
    </r>
  </si>
  <si>
    <t>https://learn.microsoft.com/en-us/intune/device-security/security-baselines/ref-windows-mdm-settings?pivots=mdm-24h2#user-rights-1</t>
  </si>
  <si>
    <t>https://learn.microsoft.com/en-us/windows/client-management/mdm/policy-csp-UserRights?WT.mc_id=Portal-fx#accessfromnetwork</t>
  </si>
  <si>
    <t>./Device/Vendor/MSFT/Policy/Config/UserRights/AccessFromNetwork</t>
  </si>
  <si>
    <t>Access this computer from the network</t>
  </si>
  <si>
    <t>Windows Settings &gt; Security Settings &gt; Local Policies &gt; User Rights Assignment</t>
  </si>
  <si>
    <t>22.2</t>
  </si>
  <si>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Users (*S-1-5-32-545)</t>
    </r>
    <r>
      <rPr>
        <sz val="11"/>
        <color rgb="FF000000"/>
        <rFont val="Calibri"/>
      </rPr>
      <t>'</t>
    </r>
  </si>
  <si>
    <r>
      <rPr>
        <sz val="11"/>
        <color rgb="FF000000"/>
        <rFont val="Calibri"/>
      </rPr>
      <t xml:space="preserve">Set the following Settings Catalog path to </t>
    </r>
    <r>
      <rPr>
        <b/>
        <sz val="11"/>
        <color rgb="FF000000"/>
        <rFont val="Calibri"/>
      </rPr>
      <t>Administrators (*S-1-5-32-544), Users (*S-1-5-32-545)</t>
    </r>
    <r>
      <rPr>
        <sz val="11"/>
        <color rgb="FF000000"/>
        <rFont val="Calibri"/>
      </rPr>
      <t xml:space="preserve">: </t>
    </r>
    <r>
      <rPr>
        <sz val="11"/>
        <color rgb="FF000000"/>
        <rFont val="Calibri"/>
      </rPr>
      <t xml:space="preserve">
</t>
    </r>
    <r>
      <rPr>
        <sz val="11"/>
        <color rgb="FF006096"/>
        <rFont val="Roboto Condensed"/>
      </rPr>
      <t>User Rights\Allow Local Log On</t>
    </r>
  </si>
  <si>
    <r>
      <rPr>
        <sz val="11"/>
        <color rgb="FF000000"/>
        <rFont val="Calibri"/>
      </rPr>
      <t>This user right determines which users can log on to the computer.</t>
    </r>
    <r>
      <rPr>
        <sz val="11"/>
        <color rgb="FF000000"/>
        <rFont val="Calibri"/>
      </rPr>
      <t>Note: Modifying this setting may affect compatibility with clients, services, and applications. For compatibility information about this setting, see Allow log on locally (</t>
    </r>
    <r>
      <rPr>
        <sz val="11"/>
        <color rgb="FF0000FF"/>
        <rFont val="Calibri"/>
      </rPr>
      <t>https://go.microsoft.com/fwlink/?LinkId=24268</t>
    </r>
    <r>
      <rPr>
        <sz val="11"/>
        <color rgb="FF000000"/>
        <rFont val="Calibri"/>
      </rPr>
      <t xml:space="preserve"> ) at the Microsoft website.</t>
    </r>
    <r>
      <rPr>
        <sz val="11"/>
        <color rgb="FF000000"/>
        <rFont val="Calibri"/>
      </rPr>
      <t xml:space="preserve">
</t>
    </r>
    <r>
      <rPr>
        <sz val="11"/>
        <color rgb="FF000000"/>
        <rFont val="Calibri"/>
      </rPr>
      <t>Modifying this setting may affect compatibility with clients, services, and applications. For compatibility information about this setting, see Allow log on locally (</t>
    </r>
    <r>
      <rPr>
        <sz val="11"/>
        <color rgb="FF0000FF"/>
        <rFont val="Calibri"/>
      </rPr>
      <t>https://go.microsoft.com/fwlink/?LinkId=24268</t>
    </r>
    <r>
      <rPr>
        <sz val="11"/>
        <color rgb="FF000000"/>
        <rFont val="Calibri"/>
      </rPr>
      <t xml:space="preserve"> ) at the Microsoft website.</t>
    </r>
  </si>
  <si>
    <t>https://learn.microsoft.com/en-us/windows/client-management/mdm/policy-csp-UserRights?WT.mc_id=Portal-fx#allowlocallogon</t>
  </si>
  <si>
    <t>./Device/Vendor/MSFT/Policy/Config/UserRights/AllowLocalLogOn</t>
  </si>
  <si>
    <t>Allow log on locally</t>
  </si>
  <si>
    <t>22.3</t>
  </si>
  <si>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</si>
  <si>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Rights\Backup Files And Directories</t>
    </r>
  </si>
  <si>
    <r>
      <rPr>
        <sz val="11"/>
        <color rgb="FF000000"/>
        <rFont val="Calibri"/>
      </rPr>
      <t>This user right determines which users can bypass file, directory, registry, and other persistent objects permissions when backing up files and directories. Specifically, this user right is similar to granting the following permissions to the user or group in question on all files and folders on the system:Traverse Folder/Execute File, Read.</t>
    </r>
    <r>
      <rPr>
        <sz val="11"/>
        <color rgb="FF000000"/>
        <rFont val="Calibri"/>
      </rPr>
      <t>Caution: Assigning this user right can be a security risk. Since users with this user right can read any registry settings and files, only assign this user right to trusted users.</t>
    </r>
    <r>
      <rPr>
        <sz val="11"/>
        <color rgb="FF000000"/>
        <rFont val="Calibri"/>
      </rPr>
      <t xml:space="preserve">
</t>
    </r>
    <r>
      <rPr>
        <sz val="11"/>
        <color rgb="FF000000"/>
        <rFont val="Calibri"/>
      </rPr>
      <t>Assigning this user right can be a security risk. Since users with this user right can read any registry settings and files, only assign this user right to trusted users.</t>
    </r>
  </si>
  <si>
    <t>https://learn.microsoft.com/en-us/windows/client-management/mdm/policy-csp-UserRights?WT.mc_id=Portal-fx#backupfilesanddirectories</t>
  </si>
  <si>
    <t>./Device/Vendor/MSFT/Policy/Config/UserRights/BackupFilesAndDirectories</t>
  </si>
  <si>
    <t>Back up files and directories</t>
  </si>
  <si>
    <t>22.4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</si>
  <si>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Local Service (*S-1-5-19), Network Service (*S-1-5-20), Service (*S-1-5-6)</t>
    </r>
    <r>
      <rPr>
        <sz val="11"/>
        <color rgb="FF000000"/>
        <rFont val="Calibri"/>
      </rPr>
      <t>'</t>
    </r>
  </si>
  <si>
    <r>
      <rPr>
        <sz val="11"/>
        <color rgb="FF000000"/>
        <rFont val="Calibri"/>
      </rPr>
      <t xml:space="preserve">Set the following Settings Catalog path to </t>
    </r>
    <r>
      <rPr>
        <b/>
        <sz val="11"/>
        <color rgb="FF000000"/>
        <rFont val="Calibri"/>
      </rPr>
      <t>Administrators (*S-1-5-32-544), Local Service (*S-1-5-19), Network Service (*S-1-5-20), Service (*S-1-5-6)</t>
    </r>
    <r>
      <rPr>
        <sz val="11"/>
        <color rgb="FF000000"/>
        <rFont val="Calibri"/>
      </rPr>
      <t xml:space="preserve">: </t>
    </r>
    <r>
      <rPr>
        <sz val="11"/>
        <color rgb="FF000000"/>
        <rFont val="Calibri"/>
      </rPr>
      <t xml:space="preserve">
</t>
    </r>
    <r>
      <rPr>
        <sz val="11"/>
        <color rgb="FF006096"/>
        <rFont val="Roboto Condensed"/>
      </rPr>
      <t>User Rights\Create Global Objects</t>
    </r>
  </si>
  <si>
    <r>
      <rPr>
        <sz val="11"/>
        <color rgb="FF000000"/>
        <rFont val="Calibri"/>
      </rPr>
      <t>This security setting determines whether users can create global objects that are available to all sessions. Users can still create objects that are specific to their own session if they don't have this user right. Users who can create global objects could affect processes that run under other users' sessions, which could lead to application failure or data corruption.</t>
    </r>
    <r>
      <rPr>
        <sz val="11"/>
        <color rgb="FF000000"/>
        <rFont val="Calibri"/>
      </rPr>
      <t>Caution: Assigning this user right can be a security risk. Assign this user right only to trusted users.</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Caution: When you configure user rights, it replaces existing users or groups that were previously assigned to those user rights. The system requires that the </t>
    </r>
    <r>
      <rPr>
        <b/>
        <sz val="11"/>
        <color rgb="FF000000"/>
        <rFont val="Calibri"/>
      </rPr>
      <t>Local Service</t>
    </r>
    <r>
      <rPr>
        <sz val="11"/>
        <color rgb="FF000000"/>
        <rFont val="Calibri"/>
      </rPr>
      <t xml:space="preserve"> account (SID </t>
    </r>
    <r>
      <rPr>
        <b/>
        <sz val="11"/>
        <color rgb="FF000000"/>
        <rFont val="Calibri"/>
      </rPr>
      <t>S-1-5-19</t>
    </r>
    <r>
      <rPr>
        <sz val="11"/>
        <color rgb="FF000000"/>
        <rFont val="Calibri"/>
      </rPr>
      <t xml:space="preserve">) and </t>
    </r>
    <r>
      <rPr>
        <b/>
        <sz val="11"/>
        <color rgb="FF000000"/>
        <rFont val="Calibri"/>
      </rPr>
      <t>Network Service</t>
    </r>
    <r>
      <rPr>
        <sz val="11"/>
        <color rgb="FF000000"/>
        <rFont val="Calibri"/>
      </rPr>
      <t xml:space="preserve"> account (SID </t>
    </r>
    <r>
      <rPr>
        <b/>
        <sz val="11"/>
        <color rgb="FF000000"/>
        <rFont val="Calibri"/>
      </rPr>
      <t>S-1-5-20</t>
    </r>
    <r>
      <rPr>
        <sz val="11"/>
        <color rgb="FF000000"/>
        <rFont val="Calibri"/>
      </rPr>
      <t xml:space="preserve">) always has the CreateGlobalObjects right. Always specify </t>
    </r>
    <r>
      <rPr>
        <b/>
        <sz val="11"/>
        <color rgb="FF000000"/>
        <rFont val="Calibri"/>
      </rPr>
      <t>Local Service</t>
    </r>
    <r>
      <rPr>
        <sz val="11"/>
        <color rgb="FF000000"/>
        <rFont val="Calibri"/>
      </rPr>
      <t xml:space="preserve"> and </t>
    </r>
    <r>
      <rPr>
        <b/>
        <sz val="11"/>
        <color rgb="FF000000"/>
        <rFont val="Calibri"/>
      </rPr>
      <t>Network Service</t>
    </r>
    <r>
      <rPr>
        <sz val="11"/>
        <color rgb="FF000000"/>
        <rFont val="Calibri"/>
      </rPr>
      <t>, in addition to any other accounts that you need to configure in this policy.</t>
    </r>
    <r>
      <rPr>
        <sz val="11"/>
        <color rgb="FF000000"/>
        <rFont val="Calibri"/>
      </rPr>
      <t xml:space="preserve">
</t>
    </r>
    <r>
      <rPr>
        <sz val="11"/>
        <color rgb="FF000000"/>
        <rFont val="Calibri"/>
      </rPr>
      <t xml:space="preserve">When you configure user rights, it replaces existing users or groups that were previously assigned to those user rights. The system requires that the </t>
    </r>
    <r>
      <rPr>
        <b/>
        <sz val="11"/>
        <color rgb="FF000000"/>
        <rFont val="Calibri"/>
      </rPr>
      <t>Local Service</t>
    </r>
    <r>
      <rPr>
        <sz val="11"/>
        <color rgb="FF000000"/>
        <rFont val="Calibri"/>
      </rPr>
      <t xml:space="preserve"> account (SID </t>
    </r>
    <r>
      <rPr>
        <b/>
        <sz val="11"/>
        <color rgb="FF000000"/>
        <rFont val="Calibri"/>
      </rPr>
      <t>S-1-5-19</t>
    </r>
    <r>
      <rPr>
        <sz val="11"/>
        <color rgb="FF000000"/>
        <rFont val="Calibri"/>
      </rPr>
      <t xml:space="preserve">) and </t>
    </r>
    <r>
      <rPr>
        <b/>
        <sz val="11"/>
        <color rgb="FF000000"/>
        <rFont val="Calibri"/>
      </rPr>
      <t>Network Service</t>
    </r>
    <r>
      <rPr>
        <sz val="11"/>
        <color rgb="FF000000"/>
        <rFont val="Calibri"/>
      </rPr>
      <t xml:space="preserve"> account (SID </t>
    </r>
    <r>
      <rPr>
        <b/>
        <sz val="11"/>
        <color rgb="FF000000"/>
        <rFont val="Calibri"/>
      </rPr>
      <t>S-1-5-20</t>
    </r>
    <r>
      <rPr>
        <sz val="11"/>
        <color rgb="FF000000"/>
        <rFont val="Calibri"/>
      </rPr>
      <t xml:space="preserve">) always has the CreateGlobalObjects right. Always specify </t>
    </r>
    <r>
      <rPr>
        <b/>
        <sz val="11"/>
        <color rgb="FF000000"/>
        <rFont val="Calibri"/>
      </rPr>
      <t>Local Service</t>
    </r>
    <r>
      <rPr>
        <sz val="11"/>
        <color rgb="FF000000"/>
        <rFont val="Calibri"/>
      </rPr>
      <t xml:space="preserve"> and </t>
    </r>
    <r>
      <rPr>
        <b/>
        <sz val="11"/>
        <color rgb="FF000000"/>
        <rFont val="Calibri"/>
      </rPr>
      <t>Network Service</t>
    </r>
    <r>
      <rPr>
        <sz val="11"/>
        <color rgb="FF000000"/>
        <rFont val="Calibri"/>
      </rPr>
      <t>, in addition to any other accounts that you need to configure in this policy.</t>
    </r>
    <r>
      <rPr>
        <sz val="11"/>
        <color rgb="FF000000"/>
        <rFont val="Calibri"/>
      </rPr>
      <t xml:space="preserve">
</t>
    </r>
    <r>
      <rPr>
        <sz val="11"/>
        <color rgb="FF000000"/>
        <rFont val="Calibri"/>
      </rPr>
      <t xml:space="preserve">If you don't include the </t>
    </r>
    <r>
      <rPr>
        <b/>
        <sz val="11"/>
        <color rgb="FF000000"/>
        <rFont val="Calibri"/>
      </rPr>
      <t>Local Service</t>
    </r>
    <r>
      <rPr>
        <sz val="11"/>
        <color rgb="FF000000"/>
        <rFont val="Calibri"/>
      </rPr>
      <t xml:space="preserve"> account and </t>
    </r>
    <r>
      <rPr>
        <b/>
        <sz val="11"/>
        <color rgb="FF000000"/>
        <rFont val="Calibri"/>
      </rPr>
      <t>Network Service</t>
    </r>
    <r>
      <rPr>
        <sz val="11"/>
        <color rgb="FF000000"/>
        <rFont val="Calibri"/>
      </rPr>
      <t xml:space="preserve"> account, the request fails with the following error:</t>
    </r>
    <r>
      <rPr>
        <sz val="11"/>
        <color rgb="FF000000"/>
        <rFont val="Calibri"/>
      </rPr>
      <t xml:space="preserve">
</t>
    </r>
    <r>
      <rPr>
        <sz val="11"/>
        <color rgb="FF000000"/>
        <rFont val="Calibri"/>
      </rPr>
      <t xml:space="preserve">Error code  Symbolic name  Error description  Header      </t>
    </r>
    <r>
      <rPr>
        <b/>
        <sz val="11"/>
        <color rgb="FF000000"/>
        <rFont val="Calibri"/>
      </rPr>
      <t>0x80070032</t>
    </r>
    <r>
      <rPr>
        <sz val="11"/>
        <color rgb="FF000000"/>
        <rFont val="Calibri"/>
      </rPr>
      <t xml:space="preserve"> (Hex)  ERROR_NOT_SUPPORTED  The request isn't supported.  winerror.h</t>
    </r>
  </si>
  <si>
    <t>https://learn.microsoft.com/en-us/windows/client-management/mdm/policy-csp-UserRights?WT.mc_id=Portal-fx#createglobalobjects</t>
  </si>
  <si>
    <t>./Device/Vendor/MSFT/Policy/Config/UserRights/CreateGlobalObjects</t>
  </si>
  <si>
    <t>Create global objects</t>
  </si>
  <si>
    <t>22.5</t>
  </si>
  <si>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</si>
  <si>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Rights\Create Page File</t>
    </r>
  </si>
  <si>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doesn't need to be assigned to any users.</t>
    </r>
  </si>
  <si>
    <t>https://learn.microsoft.com/en-us/windows/client-management/mdm/policy-csp-UserRights?WT.mc_id=Portal-fx#createpagefile</t>
  </si>
  <si>
    <t>./Device/Vendor/MSFT/Policy/Config/UserRights/CreatePageFile</t>
  </si>
  <si>
    <t>Create a pagefile</t>
  </si>
  <si>
    <t>22.6</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</si>
  <si>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</si>
  <si>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Rights\Debug Programs</t>
    </r>
  </si>
  <si>
    <r>
      <rPr>
        <sz val="11"/>
        <color rgb="FF000000"/>
        <rFont val="Calibri"/>
      </rPr>
      <t>This user right determines which users can attach a debugger to any process or to the kernel. Developers who are debugging their own applications don't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Caution: Assigning this user right can be a security risk. Only assign this user right to trusted users.</t>
    </r>
    <r>
      <rPr>
        <sz val="11"/>
        <color rgb="FF000000"/>
        <rFont val="Calibri"/>
      </rPr>
      <t xml:space="preserve">
</t>
    </r>
    <r>
      <rPr>
        <sz val="11"/>
        <color rgb="FF000000"/>
        <rFont val="Calibri"/>
      </rPr>
      <t>Assigning this user right can be a security risk. Only assign this user right to trusted users.</t>
    </r>
  </si>
  <si>
    <t>https://learn.microsoft.com/en-us/windows/client-management/mdm/policy-csp-UserRights?WT.mc_id=Portal-fx#debugprograms</t>
  </si>
  <si>
    <t>./Device/Vendor/MSFT/Policy/Config/UserRights/DebugPrograms</t>
  </si>
  <si>
    <t>Debug programs</t>
  </si>
  <si>
    <t>22.7</t>
  </si>
  <si>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</si>
  <si>
    <r>
      <rPr>
        <sz val="11"/>
        <color rgb="FF000000"/>
        <rFont val="Calibri"/>
      </rPr>
      <t xml:space="preserve">Set the following Settings Catalog path to </t>
    </r>
    <r>
      <rPr>
        <b/>
        <sz val="11"/>
        <color rgb="FF000000"/>
        <rFont val="Calibri"/>
      </rPr>
      <t>NT AUTHORITY\Local Account (*S-1-5-113)</t>
    </r>
    <r>
      <rPr>
        <sz val="11"/>
        <color rgb="FF000000"/>
        <rFont val="Calibri"/>
      </rPr>
      <t xml:space="preserve">: </t>
    </r>
    <r>
      <rPr>
        <sz val="11"/>
        <color rgb="FF000000"/>
        <rFont val="Calibri"/>
      </rPr>
      <t xml:space="preserve">
</t>
    </r>
    <r>
      <rPr>
        <sz val="11"/>
        <color rgb="FF006096"/>
        <rFont val="Roboto Condensed"/>
      </rPr>
      <t>User Rights\Deny Access From Network</t>
    </r>
  </si>
  <si>
    <r>
      <rPr>
        <sz val="11"/>
        <color rgb="FF000000"/>
        <rFont val="Calibri"/>
      </rPr>
      <t>This user right determines which users are prevented from accessing a computer over the network. This policy setting supersedes the Access this computer from the network policy setting if a user account is subject to both policies.</t>
    </r>
  </si>
  <si>
    <t>https://learn.microsoft.com/en-us/windows/client-management/mdm/policy-csp-UserRights?WT.mc_id=Portal-fx#denyaccessfromnetwork</t>
  </si>
  <si>
    <t>./Device/Vendor/MSFT/Policy/Config/UserRights/DenyAccessFromNetwork</t>
  </si>
  <si>
    <t>Deny access to this computer from the network</t>
  </si>
  <si>
    <t>22.8</t>
  </si>
  <si>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(*S-1-5-113)</t>
    </r>
    <r>
      <rPr>
        <sz val="11"/>
        <color rgb="FF000000"/>
        <rFont val="Calibri"/>
      </rPr>
      <t>'</t>
    </r>
  </si>
  <si>
    <r>
      <rPr>
        <sz val="11"/>
        <color rgb="FF000000"/>
        <rFont val="Calibri"/>
      </rPr>
      <t xml:space="preserve">Set the following Settings Catalog path to </t>
    </r>
    <r>
      <rPr>
        <b/>
        <sz val="11"/>
        <color rgb="FF000000"/>
        <rFont val="Calibri"/>
      </rPr>
      <t>NT AUTHORITY\Local Account (*S-1-5-113)</t>
    </r>
    <r>
      <rPr>
        <sz val="11"/>
        <color rgb="FF000000"/>
        <rFont val="Calibri"/>
      </rPr>
      <t xml:space="preserve">: </t>
    </r>
    <r>
      <rPr>
        <sz val="11"/>
        <color rgb="FF000000"/>
        <rFont val="Calibri"/>
      </rPr>
      <t xml:space="preserve">
</t>
    </r>
    <r>
      <rPr>
        <sz val="11"/>
        <color rgb="FF006096"/>
        <rFont val="Roboto Condensed"/>
      </rPr>
      <t>User Rights\Deny Remote Desktop Services Log On</t>
    </r>
  </si>
  <si>
    <r>
      <rPr>
        <sz val="11"/>
        <color rgb="FF000000"/>
        <rFont val="Calibri"/>
      </rPr>
      <t>This user right determines which users and groups are prohibited from logging on as a Remote Desktop Services client.</t>
    </r>
  </si>
  <si>
    <t>https://learn.microsoft.com/en-us/windows/client-management/mdm/policy-csp-UserRights?WT.mc_id=Portal-fx#denyremotedesktopserviceslogon</t>
  </si>
  <si>
    <t>./Device/Vendor/MSFT/Policy/Config/UserRights/DenyRemoteDesktopServicesLogOn</t>
  </si>
  <si>
    <t>Deny log on through Remote Desktop Services</t>
  </si>
  <si>
    <t>22.9</t>
  </si>
  <si>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 Service (*S-1-5-6), Local Service (*S-1-5-19), Network Service (*S-1-5-20)</t>
    </r>
    <r>
      <rPr>
        <sz val="11"/>
        <color rgb="FF000000"/>
        <rFont val="Calibri"/>
      </rPr>
      <t>'</t>
    </r>
  </si>
  <si>
    <r>
      <rPr>
        <sz val="11"/>
        <color rgb="FF000000"/>
        <rFont val="Calibri"/>
      </rPr>
      <t xml:space="preserve">Set the following Settings Catalog path to </t>
    </r>
    <r>
      <rPr>
        <b/>
        <sz val="11"/>
        <color rgb="FF000000"/>
        <rFont val="Calibri"/>
      </rPr>
      <t>Administrators (*S-1-5-32-544), Service (*S-1-5-6), Local Service (*S-1-5-19), Network Service (*S-1-5-20)</t>
    </r>
    <r>
      <rPr>
        <sz val="11"/>
        <color rgb="FF000000"/>
        <rFont val="Calibri"/>
      </rPr>
      <t xml:space="preserve">: </t>
    </r>
    <r>
      <rPr>
        <sz val="11"/>
        <color rgb="FF000000"/>
        <rFont val="Calibri"/>
      </rPr>
      <t xml:space="preserve">
</t>
    </r>
    <r>
      <rPr>
        <sz val="11"/>
        <color rgb="FF006096"/>
        <rFont val="Roboto Condensed"/>
      </rPr>
      <t>User Rights\Impersonate Client</t>
    </r>
  </si>
  <si>
    <r>
      <rPr>
        <sz val="11"/>
        <color rgb="FF000000"/>
        <rFont val="Calibri"/>
      </rPr>
      <t>Assigning this user right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they've created and then impersonating that client, which can elevate the unauthorized user's permissions to administrative or system levels.</t>
    </r>
    <r>
      <rPr>
        <sz val="11"/>
        <color rgb="FF000000"/>
        <rFont val="Calibri"/>
      </rPr>
      <t>Caution: Assigning this user right can be a security risk. Only assign this user right to trusted users.</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they're started. In addition, a user can also impersonate an access token if any of the following conditions exist. 1) The access token that's being impersonated is for this user. 2) The user, in this logon session, created the access token by logging on to the network with explicit credentials. 3) The requested level is less than Impersonate, such as Anonymous or Identify. Because of these factors, users don't usually need this user right.</t>
    </r>
    <r>
      <rPr>
        <sz val="11"/>
        <color rgb="FF000000"/>
        <rFont val="Calibri"/>
      </rPr>
      <t xml:space="preserve">
</t>
    </r>
    <r>
      <rPr>
        <sz val="11"/>
        <color rgb="FF000000"/>
        <rFont val="Calibri"/>
      </rPr>
      <t>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they're started. In addition, a user can also impersonate an access token if any of the following conditions exist. 1) The access token that's being impersonated is for this user. 2) The user, in this logon session, created the access token by logging on to the network with explicit credentials. 3) The requested level is less than Impersonate, such as Anonymous or Identify. Because of these factors, users don't usually need this user right.</t>
    </r>
    <r>
      <rPr>
        <sz val="11"/>
        <color rgb="FF000000"/>
        <rFont val="Calibri"/>
      </rPr>
      <t>Warning: If you enable this setting, programs that previously had the Impersonate privilege may lose it, and they may not run.</t>
    </r>
    <r>
      <rPr>
        <sz val="11"/>
        <color rgb="FF000000"/>
        <rFont val="Calibri"/>
      </rPr>
      <t xml:space="preserve">
</t>
    </r>
    <r>
      <rPr>
        <sz val="11"/>
        <color rgb="FF000000"/>
        <rFont val="Calibri"/>
      </rPr>
      <t>If you enable this setting, programs that previously had the Impersonate privilege may lose it, and they may not run.</t>
    </r>
    <r>
      <rPr>
        <sz val="11"/>
        <color rgb="FF000000"/>
        <rFont val="Calibri"/>
      </rPr>
      <t xml:space="preserve">Caution: When you configure user rights, it replaces existing users or groups that were previously assigned to those user rights. The system requires that the </t>
    </r>
    <r>
      <rPr>
        <b/>
        <sz val="11"/>
        <color rgb="FF000000"/>
        <rFont val="Calibri"/>
      </rPr>
      <t>Local Service</t>
    </r>
    <r>
      <rPr>
        <sz val="11"/>
        <color rgb="FF000000"/>
        <rFont val="Calibri"/>
      </rPr>
      <t xml:space="preserve"> account (SID </t>
    </r>
    <r>
      <rPr>
        <b/>
        <sz val="11"/>
        <color rgb="FF000000"/>
        <rFont val="Calibri"/>
      </rPr>
      <t>S-1-5-19</t>
    </r>
    <r>
      <rPr>
        <sz val="11"/>
        <color rgb="FF000000"/>
        <rFont val="Calibri"/>
      </rPr>
      <t xml:space="preserve">) and </t>
    </r>
    <r>
      <rPr>
        <b/>
        <sz val="11"/>
        <color rgb="FF000000"/>
        <rFont val="Calibri"/>
      </rPr>
      <t>Network Service</t>
    </r>
    <r>
      <rPr>
        <sz val="11"/>
        <color rgb="FF000000"/>
        <rFont val="Calibri"/>
      </rPr>
      <t xml:space="preserve"> account (SID </t>
    </r>
    <r>
      <rPr>
        <b/>
        <sz val="11"/>
        <color rgb="FF000000"/>
        <rFont val="Calibri"/>
      </rPr>
      <t>S-1-5-20</t>
    </r>
    <r>
      <rPr>
        <sz val="11"/>
        <color rgb="FF000000"/>
        <rFont val="Calibri"/>
      </rPr>
      <t xml:space="preserve">) always has the ImpersonateClient right. Always specify </t>
    </r>
    <r>
      <rPr>
        <b/>
        <sz val="11"/>
        <color rgb="FF000000"/>
        <rFont val="Calibri"/>
      </rPr>
      <t>Local Service</t>
    </r>
    <r>
      <rPr>
        <sz val="11"/>
        <color rgb="FF000000"/>
        <rFont val="Calibri"/>
      </rPr>
      <t xml:space="preserve"> and </t>
    </r>
    <r>
      <rPr>
        <b/>
        <sz val="11"/>
        <color rgb="FF000000"/>
        <rFont val="Calibri"/>
      </rPr>
      <t>Network Service</t>
    </r>
    <r>
      <rPr>
        <sz val="11"/>
        <color rgb="FF000000"/>
        <rFont val="Calibri"/>
      </rPr>
      <t>, in addition to any other accounts that you need to configure in this policy.</t>
    </r>
    <r>
      <rPr>
        <sz val="11"/>
        <color rgb="FF000000"/>
        <rFont val="Calibri"/>
      </rPr>
      <t xml:space="preserve">
</t>
    </r>
    <r>
      <rPr>
        <sz val="11"/>
        <color rgb="FF000000"/>
        <rFont val="Calibri"/>
      </rPr>
      <t xml:space="preserve">When you configure user rights, it replaces existing users or groups that were previously assigned to those user rights. The system requires that the </t>
    </r>
    <r>
      <rPr>
        <b/>
        <sz val="11"/>
        <color rgb="FF000000"/>
        <rFont val="Calibri"/>
      </rPr>
      <t>Local Service</t>
    </r>
    <r>
      <rPr>
        <sz val="11"/>
        <color rgb="FF000000"/>
        <rFont val="Calibri"/>
      </rPr>
      <t xml:space="preserve"> account (SID </t>
    </r>
    <r>
      <rPr>
        <b/>
        <sz val="11"/>
        <color rgb="FF000000"/>
        <rFont val="Calibri"/>
      </rPr>
      <t>S-1-5-19</t>
    </r>
    <r>
      <rPr>
        <sz val="11"/>
        <color rgb="FF000000"/>
        <rFont val="Calibri"/>
      </rPr>
      <t xml:space="preserve">) and </t>
    </r>
    <r>
      <rPr>
        <b/>
        <sz val="11"/>
        <color rgb="FF000000"/>
        <rFont val="Calibri"/>
      </rPr>
      <t>Network Service</t>
    </r>
    <r>
      <rPr>
        <sz val="11"/>
        <color rgb="FF000000"/>
        <rFont val="Calibri"/>
      </rPr>
      <t xml:space="preserve"> account (SID </t>
    </r>
    <r>
      <rPr>
        <b/>
        <sz val="11"/>
        <color rgb="FF000000"/>
        <rFont val="Calibri"/>
      </rPr>
      <t>S-1-5-20</t>
    </r>
    <r>
      <rPr>
        <sz val="11"/>
        <color rgb="FF000000"/>
        <rFont val="Calibri"/>
      </rPr>
      <t xml:space="preserve">) always has the ImpersonateClient right. Always specify </t>
    </r>
    <r>
      <rPr>
        <b/>
        <sz val="11"/>
        <color rgb="FF000000"/>
        <rFont val="Calibri"/>
      </rPr>
      <t>Local Service</t>
    </r>
    <r>
      <rPr>
        <sz val="11"/>
        <color rgb="FF000000"/>
        <rFont val="Calibri"/>
      </rPr>
      <t xml:space="preserve"> and </t>
    </r>
    <r>
      <rPr>
        <b/>
        <sz val="11"/>
        <color rgb="FF000000"/>
        <rFont val="Calibri"/>
      </rPr>
      <t>Network Service</t>
    </r>
    <r>
      <rPr>
        <sz val="11"/>
        <color rgb="FF000000"/>
        <rFont val="Calibri"/>
      </rPr>
      <t>, in addition to any other accounts that you need to configure in this policy.</t>
    </r>
    <r>
      <rPr>
        <sz val="11"/>
        <color rgb="FF000000"/>
        <rFont val="Calibri"/>
      </rPr>
      <t xml:space="preserve">
</t>
    </r>
    <r>
      <rPr>
        <sz val="11"/>
        <color rgb="FF000000"/>
        <rFont val="Calibri"/>
      </rPr>
      <t xml:space="preserve">If you don't include the </t>
    </r>
    <r>
      <rPr>
        <b/>
        <sz val="11"/>
        <color rgb="FF000000"/>
        <rFont val="Calibri"/>
      </rPr>
      <t>Local Service</t>
    </r>
    <r>
      <rPr>
        <sz val="11"/>
        <color rgb="FF000000"/>
        <rFont val="Calibri"/>
      </rPr>
      <t xml:space="preserve"> account and </t>
    </r>
    <r>
      <rPr>
        <b/>
        <sz val="11"/>
        <color rgb="FF000000"/>
        <rFont val="Calibri"/>
      </rPr>
      <t>Network Service</t>
    </r>
    <r>
      <rPr>
        <sz val="11"/>
        <color rgb="FF000000"/>
        <rFont val="Calibri"/>
      </rPr>
      <t xml:space="preserve"> account, the request fails with the following error:</t>
    </r>
    <r>
      <rPr>
        <sz val="11"/>
        <color rgb="FF000000"/>
        <rFont val="Calibri"/>
      </rPr>
      <t xml:space="preserve">
</t>
    </r>
    <r>
      <rPr>
        <sz val="11"/>
        <color rgb="FF000000"/>
        <rFont val="Calibri"/>
      </rPr>
      <t xml:space="preserve">Error code  Symbolic name  Error description  Header      </t>
    </r>
    <r>
      <rPr>
        <b/>
        <sz val="11"/>
        <color rgb="FF000000"/>
        <rFont val="Calibri"/>
      </rPr>
      <t>0x80070032</t>
    </r>
    <r>
      <rPr>
        <sz val="11"/>
        <color rgb="FF000000"/>
        <rFont val="Calibri"/>
      </rPr>
      <t xml:space="preserve"> (Hex)  ERROR_NOT_SUPPORTED  The request isn't supported.  winerror.h</t>
    </r>
  </si>
  <si>
    <t>https://learn.microsoft.com/en-us/windows/client-management/mdm/policy-csp-UserRights?WT.mc_id=Portal-fx#impersonateclient</t>
  </si>
  <si>
    <t>./Device/Vendor/MSFT/Policy/Config/UserRights/ImpersonateClient</t>
  </si>
  <si>
    <t>Impersonate a client after authentication</t>
  </si>
  <si>
    <t>22.10</t>
  </si>
  <si>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</si>
  <si>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Rights\Load Unload Device Drivers</t>
    </r>
  </si>
  <si>
    <r>
      <rPr>
        <sz val="11"/>
        <color rgb="FF000000"/>
        <rFont val="Calibri"/>
      </rPr>
      <t>This user right determines which users can dynamically load and unload device drivers or other code in to kernel mode. This user right doesn't apply to Plug and Play device drivers. It's recommended that you don't assign this privilege to other users.</t>
    </r>
    <r>
      <rPr>
        <sz val="11"/>
        <color rgb="FF000000"/>
        <rFont val="Calibri"/>
      </rPr>
      <t>Caution: Assigning this user right can be a security risk. Don't assign this user right to any user, group, or process that you don't want to take over the system.</t>
    </r>
    <r>
      <rPr>
        <sz val="11"/>
        <color rgb="FF000000"/>
        <rFont val="Calibri"/>
      </rPr>
      <t xml:space="preserve">
</t>
    </r>
    <r>
      <rPr>
        <sz val="11"/>
        <color rgb="FF000000"/>
        <rFont val="Calibri"/>
      </rPr>
      <t>Assigning this user right can be a security risk. Don't assign this user right to any user, group, or process that you don't want to take over the system.</t>
    </r>
  </si>
  <si>
    <t>https://learn.microsoft.com/en-us/windows/client-management/mdm/policy-csp-UserRights?WT.mc_id=Portal-fx#loadunloaddevicedrivers</t>
  </si>
  <si>
    <t>./Device/Vendor/MSFT/Policy/Config/UserRights/LoadUnloadDeviceDrivers</t>
  </si>
  <si>
    <t>Load and unload device drivers</t>
  </si>
  <si>
    <t>22.11</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</si>
  <si>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</si>
  <si>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Rights\Manage Auditing And Security Log</t>
    </r>
  </si>
  <si>
    <r>
      <rPr>
        <sz val="11"/>
        <color rgb="FF000000"/>
        <rFont val="Calibri"/>
      </rPr>
      <t>This user right determines which users can specify object access auditing options for individual resources, such as files, Active Directory objects, and registry keys. This security setting doesn't allow a user to enable file and object access auditing in general. You can view audited events in the security log of the Event Viewer. A user with this privilege can also view and clear the security log.</t>
    </r>
  </si>
  <si>
    <t>https://learn.microsoft.com/en-us/windows/client-management/mdm/policy-csp-UserRights?WT.mc_id=Portal-fx#manageauditingandsecuritylog</t>
  </si>
  <si>
    <t>./Device/Vendor/MSFT/Policy/Config/UserRights/ManageAuditingAndSecurityLog</t>
  </si>
  <si>
    <t>Manage auditing and security log</t>
  </si>
  <si>
    <t>22.12</t>
  </si>
  <si>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</si>
  <si>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Rights\Manage Volume</t>
    </r>
  </si>
  <si>
    <r>
      <rPr>
        <sz val="11"/>
        <color rgb="FF000000"/>
        <rFont val="Calibri"/>
      </rPr>
      <t>This user right determines which users and groups can run maintenance tasks on a volume, such as remote defragmentation. Use caution when assigning this user right. Users with this user right can explore disks and extend files in to memory that contains other data. When the extended files are opened, the user might be able to read and modify the acquired data.</t>
    </r>
  </si>
  <si>
    <t>https://learn.microsoft.com/en-us/windows/client-management/mdm/policy-csp-UserRights?WT.mc_id=Portal-fx#managevolume</t>
  </si>
  <si>
    <t>./Device/Vendor/MSFT/Policy/Config/UserRights/ManageVolume</t>
  </si>
  <si>
    <t>Perform volume maintenance tasks</t>
  </si>
  <si>
    <t>22.13</t>
  </si>
  <si>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</si>
  <si>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Rights\Modify Firmware Environment</t>
    </r>
  </si>
  <si>
    <r>
      <rPr>
        <sz val="11"/>
        <color rgb="FF000000"/>
        <rFont val="Calibri"/>
      </rPr>
      <t>This user right determines who can modify firmware environment values. Firmware environment variables are settings stored in the nonvolatile RAM of non-x86-based computers. The effect of the setting depends on the processor. On x86-based computers, the only firmware environment value that can be modified by assigning this user right is the Last Known Good Configuration setting, which should only be modified by the system. On Itanium-based computers, boot information is stored in nonvolatile RAM. Users must be assigned this user right to run bootcfg.exe and to change the Default Operating System setting on Startup and Recovery in System Properties. On all computers, this user right is required to install or upgrade Windows.</t>
    </r>
    <r>
      <rPr>
        <sz val="11"/>
        <color rgb="FF000000"/>
        <rFont val="Calibri"/>
      </rPr>
      <t>Note: This security setting doesn't affect who can modify the system environment variables and user environment variables that are displayed on the Advanced tab of System Properties.</t>
    </r>
    <r>
      <rPr>
        <sz val="11"/>
        <color rgb="FF000000"/>
        <rFont val="Calibri"/>
      </rPr>
      <t xml:space="preserve">
</t>
    </r>
    <r>
      <rPr>
        <sz val="11"/>
        <color rgb="FF000000"/>
        <rFont val="Calibri"/>
      </rPr>
      <t>This security setting doesn't affect who can modify the system environment variables and user environment variables that are displayed on the Advanced tab of System Properties.</t>
    </r>
  </si>
  <si>
    <t>https://learn.microsoft.com/en-us/windows/client-management/mdm/policy-csp-UserRights?WT.mc_id=Portal-fx#modifyfirmwareenvironment</t>
  </si>
  <si>
    <t>./Device/Vendor/MSFT/Policy/Config/UserRights/ModifyFirmwareEnvironment</t>
  </si>
  <si>
    <t>Modify firmware environment values</t>
  </si>
  <si>
    <t>22.14</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</si>
  <si>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</si>
  <si>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Rights\Profile Single Process</t>
    </r>
  </si>
  <si>
    <r>
      <rPr>
        <sz val="11"/>
        <color rgb="FF000000"/>
        <rFont val="Calibri"/>
      </rPr>
      <t>This user right determines which users can use performance monitoring tools to monitor the performance of system processes.</t>
    </r>
  </si>
  <si>
    <t>https://learn.microsoft.com/en-us/windows/client-management/mdm/policy-csp-UserRights?WT.mc_id=Portal-fx#profilesingleprocess</t>
  </si>
  <si>
    <t>./Device/Vendor/MSFT/Policy/Config/UserRights/ProfileSingleProcess</t>
  </si>
  <si>
    <t>Profile single process</t>
  </si>
  <si>
    <t>22.15</t>
  </si>
  <si>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</si>
  <si>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Rights\Remote Shutdown</t>
    </r>
  </si>
  <si>
    <r>
      <rPr>
        <sz val="11"/>
        <color rgb="FF000000"/>
        <rFont val="Calibri"/>
      </rPr>
      <t>This user right determines which users are allowed to shut down a computer from a remote location on the network. Misuse of this user right can result in a denial of service.</t>
    </r>
  </si>
  <si>
    <t>https://learn.microsoft.com/en-us/windows/client-management/mdm/policy-csp-UserRights?WT.mc_id=Portal-fx#remoteshutdown</t>
  </si>
  <si>
    <t>./Device/Vendor/MSFT/Policy/Config/UserRights/RemoteShutdown</t>
  </si>
  <si>
    <t>Force shutdown from a remote system</t>
  </si>
  <si>
    <t>22.16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</si>
  <si>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</si>
  <si>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Rights\Restore Files And Directories</t>
    </r>
  </si>
  <si>
    <r>
      <rPr>
        <sz val="11"/>
        <color rgb="FF000000"/>
        <rFont val="Calibri"/>
      </rPr>
      <t>This user right determines which users can bypass file, directory, registry, and other persistent objects permissions when restoring backed up files and directories, and determines which users can set any valid security principal as the owner of an object. Specifically, this user right is similar to granting the following permissions to the user or group in question on all files and folders on the system:Traverse Folder/Execute File, Write.</t>
    </r>
    <r>
      <rPr>
        <sz val="11"/>
        <color rgb="FF000000"/>
        <rFont val="Calibri"/>
      </rPr>
      <t>Caution: 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</si>
  <si>
    <t>https://learn.microsoft.com/en-us/windows/client-management/mdm/policy-csp-UserRights?WT.mc_id=Portal-fx#restorefilesanddirectories</t>
  </si>
  <si>
    <t>./Device/Vendor/MSFT/Policy/Config/UserRights/RestoreFilesAndDirectories</t>
  </si>
  <si>
    <t>Restore files and directories</t>
  </si>
  <si>
    <t>22.17</t>
  </si>
  <si>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(*S-1-5-32-544)</t>
    </r>
    <r>
      <rPr>
        <sz val="11"/>
        <color rgb="FF000000"/>
        <rFont val="Calibri"/>
      </rPr>
      <t>'</t>
    </r>
  </si>
  <si>
    <r>
      <rPr>
        <sz val="11"/>
        <color rgb="FF000000"/>
        <rFont val="Calibri"/>
      </rPr>
      <t xml:space="preserve">Set the following Settings Catalog path to </t>
    </r>
    <r>
      <rPr>
        <b/>
        <sz val="11"/>
        <color rgb="FF000000"/>
        <rFont val="Calibri"/>
      </rPr>
      <t>Administrators (*S-1-5-32-544)</t>
    </r>
    <r>
      <rPr>
        <sz val="11"/>
        <color rgb="FF000000"/>
        <rFont val="Calibri"/>
      </rPr>
      <t xml:space="preserve">: </t>
    </r>
    <r>
      <rPr>
        <sz val="11"/>
        <color rgb="FF000000"/>
        <rFont val="Calibri"/>
      </rPr>
      <t xml:space="preserve">
</t>
    </r>
    <r>
      <rPr>
        <sz val="11"/>
        <color rgb="FF006096"/>
        <rFont val="Roboto Condensed"/>
      </rPr>
      <t>User Rights\Take Ownership</t>
    </r>
  </si>
  <si>
    <r>
      <rPr>
        <sz val="11"/>
        <color rgb="FF000000"/>
        <rFont val="Calibri"/>
      </rPr>
      <t>This user right determines which users can take ownership of any securable object in the system, including Active Directory objects, files and folders, printers, registry keys, processes, and threads.</t>
    </r>
    <r>
      <rPr>
        <sz val="11"/>
        <color rgb="FF000000"/>
        <rFont val="Calibri"/>
      </rPr>
      <t>Caution: Assigning this user right can be a security risk. Since owners of objects have full control of them, only assign this user right to trusted users.</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</si>
  <si>
    <t>https://learn.microsoft.com/en-us/windows/client-management/mdm/policy-csp-UserRights?WT.mc_id=Portal-fx#takeownership</t>
  </si>
  <si>
    <t>./Device/Vendor/MSFT/Policy/Config/UserRights/TakeOwnership</t>
  </si>
  <si>
    <t>Take ownership of files or other objects</t>
  </si>
  <si>
    <t>Virtualization Based Technology</t>
  </si>
  <si>
    <t>23.1</t>
  </si>
  <si>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 Turns on Hypervisor-Protected Code Integrity with UEFI lock.</t>
    </r>
    <r>
      <rPr>
        <sz val="11"/>
        <color rgb="FF000000"/>
        <rFont val="Calibri"/>
      </rPr>
      <t>'</t>
    </r>
  </si>
  <si>
    <r>
      <rPr>
        <sz val="11"/>
        <color rgb="FF000000"/>
        <rFont val="Calibri"/>
      </rPr>
      <t xml:space="preserve">Set the following Settings Catalog path to </t>
    </r>
    <r>
      <rPr>
        <b/>
        <sz val="11"/>
        <color rgb="FF000000"/>
        <rFont val="Calibri"/>
      </rPr>
      <t>(Enabled with UEFI lock) Turns on Hypervisor-Protected Code Integrity with UEFI lock.</t>
    </r>
    <r>
      <rPr>
        <sz val="11"/>
        <color rgb="FF000000"/>
        <rFont val="Calibri"/>
      </rPr>
      <t xml:space="preserve">: </t>
    </r>
    <r>
      <rPr>
        <sz val="11"/>
        <color rgb="FF000000"/>
        <rFont val="Calibri"/>
      </rPr>
      <t xml:space="preserve">
</t>
    </r>
    <r>
      <rPr>
        <sz val="11"/>
        <color rgb="FF006096"/>
        <rFont val="Roboto Condensed"/>
      </rPr>
      <t>Virtualization Based Technology\Hypervisor Enforced Code Integrity</t>
    </r>
  </si>
  <si>
    <r>
      <rPr>
        <sz val="11"/>
        <color rgb="FF000000"/>
        <rFont val="Calibri"/>
      </rPr>
      <t>Hypervisor-Protected Code Integrity: 0 - Turns off Hypervisor-Protected Code Integrity remotely if configured previously without UEFI Lock, 1 - Turns on Hypervisor-Protected Code Integrity with UEFI lock, 2 - Turns on Hypervisor-Protected Code Integrity without UEFI lock.</t>
    </r>
  </si>
  <si>
    <t>https://learn.microsoft.com/en-us/intune/device-security/security-baselines/ref-windows-mdm-settings?pivots=mdm-24h2#virtualization-based-technology-1</t>
  </si>
  <si>
    <t>https://learn.microsoft.com/en-us/windows/client-management/mdm/policy-csp-VirtualizationBasedTechnology?WT.mc_id=Portal-fx#hypervisorenforcedcodeintegrity</t>
  </si>
  <si>
    <t>./Device/Vendor/MSFT/Policy/Config/VirtualizationBasedTechnology/HypervisorEnforcedCodeIntegrity</t>
  </si>
  <si>
    <t>Wi-Fi Settings</t>
  </si>
  <si>
    <t>24.1</t>
  </si>
  <si>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</si>
  <si>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Wi-Fi Settings\Allow Auto Connect To Wi Fi Sense Hotspots</t>
    </r>
  </si>
  <si>
    <r>
      <rPr>
        <sz val="11"/>
        <color rgb="FF000000"/>
        <rFont val="Calibri"/>
      </rPr>
      <t>This policy setting determines whether users can enable the following WLAN settings: "Connect to suggested open hotspots," "Connect to networks shared by my contacts," and "Enable paid services"."Connect to suggested open hotspots" enables Windows to automatically connect users to open hotspots it knows about by crowdsourcing networks that other people using Windows have connected to."Connect to networks shared by my contacts" enables Windows to automatically connect to networks that the user's contacts have shared with them, and enables users on this device to share networks with their contacts."Enable paid services" enables Windows to temporarily connect to open hotspots to determine if paid services are available.-  If this policy setting is disabled, both "Connect to suggested open hotspots," "Connect to networks shared by my contacts," and "Enable paid services" will be turned off and users on this device will be prevented from enabling them.</t>
    </r>
    <r>
      <rPr>
        <sz val="11"/>
        <color rgb="FF000000"/>
        <rFont val="Calibri"/>
      </rPr>
      <t xml:space="preserve">
</t>
    </r>
    <r>
      <rPr>
        <sz val="11"/>
        <color rgb="FF000000"/>
        <rFont val="Calibri"/>
      </rPr>
      <t>-  If this policy setting isn't configured or is enabled, users can choose to enable or disable either "Connect to suggested open hotspots" or "Connect to networks shared by my contacts".</t>
    </r>
  </si>
  <si>
    <t>https://learn.microsoft.com/en-us/intune/device-security/security-baselines/ref-windows-mdm-settings?pivots=mdm-24h2#wi-fi-settings-1</t>
  </si>
  <si>
    <t>https://learn.microsoft.com/en-us/windows/client-management/mdm/policy-csp-wifi?WT.mc_id=Portal-fx#allowautoconnecttowifisensehotspots</t>
  </si>
  <si>
    <t>./Device/Vendor/MSFT/Policy/Config/Wifi/AllowAutoConnectToWiFiSenseHotspots</t>
  </si>
  <si>
    <t>WiFiSense</t>
  </si>
  <si>
    <t>Allow Windows to automatically connect to suggested open hotspots, to networks shared by contacts, and to hotspots offering paid services</t>
  </si>
  <si>
    <t>Network &gt; WLAN Service &gt; WLAN Settings</t>
  </si>
  <si>
    <t>Software\Microsoft\wcmsvc\wifinetworkmanager\config</t>
  </si>
  <si>
    <t>AutoConnectAllowedOEM</t>
  </si>
  <si>
    <t>wlansvc.admx</t>
  </si>
  <si>
    <t>24.2</t>
  </si>
  <si>
    <r>
      <rPr>
        <sz val="11"/>
        <rFont val="Calibri"/>
      </rPr>
      <t xml:space="preserve">Ensure </t>
    </r>
    <r>
      <rPr>
        <sz val="11"/>
        <color rgb="FF000000"/>
        <rFont val="Calibri"/>
      </rPr>
      <t>'</t>
    </r>
    <r>
      <rPr>
        <b/>
        <sz val="11"/>
        <color rgb="FF000000"/>
        <rFont val="Calibri"/>
      </rPr>
      <t>Allow Internet Sharing</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</si>
  <si>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Wi-Fi Settings\Allow Internet Sharing</t>
    </r>
  </si>
  <si>
    <r>
      <rPr>
        <sz val="11"/>
        <color rgb="FF000000"/>
        <rFont val="Calibri"/>
      </rPr>
      <t>Determines whether administrators can enable and configure the Internet Connection Sharing (ICS) feature of an Internet connection and if the ICS service can run on the computer.ICS lets administrators configure their system as an Internet gateway for a small network and provides network services, such as name resolution and addressing through DHCP, to the local private network.-  If you enable this setting, ICS can't be enabled or configured by administrators, and the ICS service can't run on the computer. The Advanced tab in the Properties dialog box for a LAN or remote access connection is removed. The Internet Connection Sharing page is removed from the New Connection Wizard. The Network Setup Wizard is disabled.</t>
    </r>
    <r>
      <rPr>
        <sz val="11"/>
        <color rgb="FF000000"/>
        <rFont val="Calibri"/>
      </rPr>
      <t xml:space="preserve">
</t>
    </r>
    <r>
      <rPr>
        <sz val="11"/>
        <color rgb="FF000000"/>
        <rFont val="Calibri"/>
      </rPr>
      <t>-  If you disable this setting or don't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Professional).By default, ICS is disabled when you create a remote access connection, but administrators can use the Advanced tab to enable it. When running the New Connection Wizard or Network Setup Wizard, administrators can choose to enable ICS.</t>
    </r>
    <r>
      <rPr>
        <sz val="11"/>
        <color rgb="FF000000"/>
        <rFont val="Calibri"/>
      </rPr>
      <t>Note: Internet Connection Sharing is only available when two or more network connections are present.</t>
    </r>
    <r>
      <rPr>
        <sz val="11"/>
        <color rgb="FF000000"/>
        <rFont val="Calibri"/>
      </rPr>
      <t xml:space="preserve">
</t>
    </r>
    <r>
      <rPr>
        <sz val="11"/>
        <color rgb="FF000000"/>
        <rFont val="Calibri"/>
      </rPr>
      <t>Internet Connection Sharing is only available when two or more network connections are present.</t>
    </r>
    <r>
      <rPr>
        <sz val="11"/>
        <color rgb="FF000000"/>
        <rFont val="Calibri"/>
      </rPr>
      <t>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t>
    </r>
    <r>
      <rPr>
        <sz val="11"/>
        <color rgb="FF000000"/>
        <rFont val="Calibri"/>
      </rPr>
      <t xml:space="preserve">
</t>
    </r>
    <r>
      <rPr>
        <sz val="11"/>
        <color rgb="FF000000"/>
        <rFont val="Calibri"/>
      </rPr>
      <t>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t>
    </r>
    <r>
      <rPr>
        <sz val="11"/>
        <color rgb="FF000000"/>
        <rFont val="Calibri"/>
      </rPr>
      <t>Note: Nonadministrators are already prohibited from configuring Internet Connection Sharing, regardless of this setting.</t>
    </r>
    <r>
      <rPr>
        <sz val="11"/>
        <color rgb="FF000000"/>
        <rFont val="Calibri"/>
      </rPr>
      <t xml:space="preserve">
</t>
    </r>
    <r>
      <rPr>
        <sz val="11"/>
        <color rgb="FF000000"/>
        <rFont val="Calibri"/>
      </rPr>
      <t>Nonadministrators are already prohibited from configuring Internet Connection Sharing, regardless of this setting.</t>
    </r>
    <r>
      <rPr>
        <sz val="11"/>
        <color rgb="FF000000"/>
        <rFont val="Calibri"/>
      </rPr>
      <t>Note: Disabling this setting doesn't prevent Wireless Hosted Networking from using the ICS service for DHCP services. To prevent the ICS service from running, on the Network Permissions tab in the network's policy properties, select the "Do not use hosted networks" check box.</t>
    </r>
    <r>
      <rPr>
        <sz val="11"/>
        <color rgb="FF000000"/>
        <rFont val="Calibri"/>
      </rPr>
      <t xml:space="preserve">
</t>
    </r>
    <r>
      <rPr>
        <sz val="11"/>
        <color rgb="FF000000"/>
        <rFont val="Calibri"/>
      </rPr>
      <t>Disabling this setting doesn't prevent Wireless Hosted Networking from using the ICS service for DHCP services. To prevent the ICS service from running, on the Network Permissions tab in the network's policy properties, select the "Do not use hosted networks" check box.</t>
    </r>
  </si>
  <si>
    <t>https://learn.microsoft.com/en-us/windows/client-management/mdm/policy-csp-wifi?WT.mc_id=Portal-fx#allowinternetsharing</t>
  </si>
  <si>
    <t>./Device/Vendor/MSFT/Policy/Config/Wifi/AllowInternetSharing</t>
  </si>
  <si>
    <t>NC_ShowSharedAccessUI</t>
  </si>
  <si>
    <t>Prohibit use of Internet Connection Sharing on your DNS domain network</t>
  </si>
  <si>
    <t>Network &gt; Network Connections</t>
  </si>
  <si>
    <t>Software\Policies\Microsoft\Windows\Network Connections</t>
  </si>
  <si>
    <t>NetworkConnections.admx</t>
  </si>
  <si>
    <t>Windows Hello For Business</t>
  </si>
  <si>
    <t>25.1</t>
  </si>
  <si>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</si>
  <si>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 xml:space="preserve">: </t>
    </r>
    <r>
      <rPr>
        <sz val="11"/>
        <color rgb="FF000000"/>
        <rFont val="Calibri"/>
      </rPr>
      <t xml:space="preserve">
</t>
    </r>
    <r>
      <rPr>
        <sz val="11"/>
        <color rgb="FF006096"/>
        <rFont val="Roboto Condensed"/>
      </rPr>
      <t>Windows Hello For Business\Facial Features Use Enhanced Anti Spoofing</t>
    </r>
  </si>
  <si>
    <r>
      <rPr>
        <sz val="11"/>
        <color rgb="FF000000"/>
        <rFont val="Calibri"/>
      </rPr>
      <t>This setting determines whether enhanced anti-spoofing is required for Windows Hello face authentication.-  If you enable this setting, Windows requires all users on managed devices to use enhanced anti-spoofing for Windows Hello face authentication. This disables Windows Hello face authentication on devices that don't support enhanced anti-spoofing.</t>
    </r>
    <r>
      <rPr>
        <sz val="11"/>
        <color rgb="FF000000"/>
        <rFont val="Calibri"/>
      </rPr>
      <t xml:space="preserve">
</t>
    </r>
    <r>
      <rPr>
        <sz val="11"/>
        <color rgb="FF000000"/>
        <rFont val="Calibri"/>
      </rPr>
      <t>-  If you disable or don't configure this setting, Windows doesn't require enhanced anti-spoofing for Windows Hello face authentication.Note that enhanced anti-spoofing for Windows Hello face authentication isn't required on unmanaged devices.</t>
    </r>
    <r>
      <rPr>
        <sz val="11"/>
        <color rgb="FF000000"/>
        <rFont val="Calibri"/>
      </rPr>
      <t>Note: Not supported on Windows Holographic and Windows Holographic for Business prior to Windows 10 version 1903 (May 2019 Update).</t>
    </r>
    <r>
      <rPr>
        <sz val="11"/>
        <color rgb="FF000000"/>
        <rFont val="Calibri"/>
      </rPr>
      <t xml:space="preserve">
</t>
    </r>
    <r>
      <rPr>
        <sz val="11"/>
        <color rgb="FF000000"/>
        <rFont val="Calibri"/>
      </rPr>
      <t>Not supported on Windows Holographic and Windows Holographic for Business prior to Windows 10 version 1903 (May 2019 Update).</t>
    </r>
  </si>
  <si>
    <t>https://learn.microsoft.com/en-us/intune/device-security/security-baselines/ref-windows-mdm-settings?pivots=mdm-24h2#windows-hello-for-business-1</t>
  </si>
  <si>
    <t>https://learn.microsoft.com/en-us/windows/client-management/mdm/PassportForWork-csp?WT.mc_id=Portal-fx#devicebiometricsfacialfeaturesuseenhancedantispoofing</t>
  </si>
  <si>
    <t>./Device/Vendor/MSFT/PassportForWork/Biometrics/FacialFeaturesUseEnhancedAntiSpoofing</t>
  </si>
  <si>
    <t>Windows Ink Workspace</t>
  </si>
  <si>
    <t>26.1</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</si>
  <si>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Ink workspace is enabled (feature is turned on), but the user cannot access it above the lock screen.</t>
    </r>
    <r>
      <rPr>
        <sz val="11"/>
        <color rgb="FF000000"/>
        <rFont val="Calibri"/>
      </rPr>
      <t>'</t>
    </r>
  </si>
  <si>
    <r>
      <rPr>
        <sz val="11"/>
        <color rgb="FF000000"/>
        <rFont val="Calibri"/>
      </rPr>
      <t xml:space="preserve">Set the following Settings Catalog path to </t>
    </r>
    <r>
      <rPr>
        <b/>
        <sz val="11"/>
        <color rgb="FF000000"/>
        <rFont val="Calibri"/>
      </rPr>
      <t>Ink workspace is enabled (feature is turned on), but the user cannot access it above the lock screen.</t>
    </r>
    <r>
      <rPr>
        <sz val="11"/>
        <color rgb="FF000000"/>
        <rFont val="Calibri"/>
      </rPr>
      <t xml:space="preserve">: </t>
    </r>
    <r>
      <rPr>
        <sz val="11"/>
        <color rgb="FF000000"/>
        <rFont val="Calibri"/>
      </rPr>
      <t xml:space="preserve">
</t>
    </r>
    <r>
      <rPr>
        <sz val="11"/>
        <color rgb="FF006096"/>
        <rFont val="Roboto Condensed"/>
      </rPr>
      <t>Windows Ink Workspace\Allow Windows Ink Workspace</t>
    </r>
  </si>
  <si>
    <r>
      <rPr>
        <sz val="11"/>
        <color rgb="FF000000"/>
        <rFont val="Calibri"/>
      </rPr>
      <t>Allow Windows Ink Workspace.</t>
    </r>
  </si>
  <si>
    <t>https://learn.microsoft.com/en-us/intune/device-security/security-baselines/ref-windows-mdm-settings?pivots=mdm-24h2#windows-ink-workspace-1</t>
  </si>
  <si>
    <t>https://learn.microsoft.com/en-us/windows/client-management/mdm/policy-csp-WindowsInkWorkspace?WT.mc_id=Portal-fx#allowwindowsinkworkspace</t>
  </si>
  <si>
    <t>./Device/Vendor/MSFT/Policy/Config/WindowsInkWorkspace/AllowWindowsInkWorkspace</t>
  </si>
  <si>
    <t>AllowWindowsInkWorkspace</t>
  </si>
  <si>
    <t>Allow Windows Ink Workspace</t>
  </si>
  <si>
    <t>Windows Components &gt; Windows Ink Workspace</t>
  </si>
  <si>
    <t>Software\Policies\Microsoft\WindowsInkWorkspace</t>
  </si>
  <si>
    <t>WindowsInkWorkspace.admx</t>
  </si>
  <si>
    <t>LAPS</t>
  </si>
  <si>
    <t>27.1</t>
  </si>
  <si>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</si>
  <si>
    <r>
      <rPr>
        <sz val="11"/>
        <color rgb="FF000000"/>
        <rFont val="Calibri"/>
      </rPr>
      <t xml:space="preserve">Set the following Settings Catalog path to </t>
    </r>
    <r>
      <rPr>
        <b/>
        <sz val="11"/>
        <color rgb="FF000000"/>
        <rFont val="Calibri"/>
      </rPr>
      <t>Backup the password to Azure AD only</t>
    </r>
    <r>
      <rPr>
        <sz val="11"/>
        <color rgb="FF000000"/>
        <rFont val="Calibri"/>
      </rPr>
      <t xml:space="preserve">: </t>
    </r>
    <r>
      <rPr>
        <sz val="11"/>
        <color rgb="FF000000"/>
        <rFont val="Calibri"/>
      </rPr>
      <t xml:space="preserve">
</t>
    </r>
    <r>
      <rPr>
        <sz val="11"/>
        <color rgb="FF006096"/>
        <rFont val="Roboto Condensed"/>
      </rPr>
      <t>LAPS\Backup Directory</t>
    </r>
  </si>
  <si>
    <r>
      <rPr>
        <sz val="11"/>
        <color rgb="FF000000"/>
        <rFont val="Calibri"/>
      </rPr>
      <t>Use this setting to configure which directory the local admin account password is backed up to.The allowable settings are:0=Disabled (password won't be backed up)1=Backup the password to Microsoft Entra ID only2=Backup the password to Active Directory only.If not specified, this setting will default to 0.</t>
    </r>
  </si>
  <si>
    <t>https://learn.microsoft.com/en-us/intune/device-security/security-baselines/ref-windows-mdm-settings?pivots=mdm-24h2#laps-1</t>
  </si>
  <si>
    <t>https://learn.microsoft.com/en-us/windows/client-management/mdm/LAPS-csp?WT.mc_id=Portal-fx#policiesbackupdirectory</t>
  </si>
  <si>
    <t>./Device/Vendor/MSFT/LAPS/Policies/BackupDirectory</t>
  </si>
  <si>
    <t>Kerberos</t>
  </si>
  <si>
    <t>28.1.1</t>
  </si>
  <si>
    <r>
      <rPr>
        <sz val="11"/>
        <rFont val="Calibri"/>
      </rPr>
      <t xml:space="preserve">Ensure </t>
    </r>
    <r>
      <rPr>
        <sz val="11"/>
        <color rgb="FF000000"/>
        <rFont val="Calibri"/>
      </rPr>
      <t>'</t>
    </r>
    <r>
      <rPr>
        <b/>
        <sz val="11"/>
        <color rgb="FF000000"/>
        <rFont val="Calibri"/>
      </rPr>
      <t>PK Init Hash Algorithm Configuration: PK Init Hash Algorithm SHA256</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</si>
  <si>
    <r>
      <rPr>
        <sz val="11"/>
        <color rgb="FF000000"/>
        <rFont val="Calibri"/>
      </rPr>
      <t xml:space="preserve">Set the following Settings Catalog path to </t>
    </r>
    <r>
      <rPr>
        <b/>
        <sz val="11"/>
        <color rgb="FF000000"/>
        <rFont val="Calibri"/>
      </rPr>
      <t>Enabled: Supported</t>
    </r>
    <r>
      <rPr>
        <sz val="11"/>
        <color rgb="FF000000"/>
        <rFont val="Calibri"/>
      </rPr>
      <t xml:space="preserve">: </t>
    </r>
    <r>
      <rPr>
        <sz val="11"/>
        <color rgb="FF000000"/>
        <rFont val="Calibri"/>
      </rPr>
      <t xml:space="preserve">
</t>
    </r>
    <r>
      <rPr>
        <sz val="11"/>
        <color rgb="FF006096"/>
        <rFont val="Roboto Condensed"/>
      </rPr>
      <t>Kerberos\PK Init Hash Algorithm Configuration: PK Init Hash Algorithm SHA256</t>
    </r>
  </si>
  <si>
    <r>
      <rPr>
        <sz val="11"/>
        <color rgb="FF000000"/>
        <rFont val="Calibri"/>
      </rPr>
      <t xml:space="preserve">This policy setting controls the configuration of the SHA256 algorithm used by the Kerberos client when performing certificate authentication. This policy is only enforced if Kerberos/PKInitHashAlgorithmConfiguration is enabled. You can configure one of four states for this algorithm:- 0 - </t>
    </r>
    <r>
      <rPr>
        <b/>
        <sz val="11"/>
        <color rgb="FF000000"/>
        <rFont val="Calibri"/>
      </rPr>
      <t>Not Supported</t>
    </r>
    <r>
      <rPr>
        <sz val="11"/>
        <color rgb="FF000000"/>
        <rFont val="Calibri"/>
      </rPr>
      <t>: This state disables usage of the algorithm. This state is intended for algorithms that are deemed to be insecure.</t>
    </r>
    <r>
      <rPr>
        <sz val="11"/>
        <color rgb="FF000000"/>
        <rFont val="Calibri"/>
      </rPr>
      <t xml:space="preserve">
</t>
    </r>
    <r>
      <rPr>
        <sz val="11"/>
        <color rgb="FF000000"/>
        <rFont val="Calibri"/>
      </rPr>
      <t xml:space="preserve">- 1 - </t>
    </r>
    <r>
      <rPr>
        <b/>
        <sz val="11"/>
        <color rgb="FF000000"/>
        <rFont val="Calibri"/>
      </rPr>
      <t>Default</t>
    </r>
    <r>
      <rPr>
        <sz val="11"/>
        <color rgb="FF000000"/>
        <rFont val="Calibri"/>
      </rPr>
      <t>: This state sets the algorithm to the recommended state.</t>
    </r>
    <r>
      <rPr>
        <sz val="11"/>
        <color rgb="FF000000"/>
        <rFont val="Calibri"/>
      </rPr>
      <t xml:space="preserve">
</t>
    </r>
    <r>
      <rPr>
        <sz val="11"/>
        <color rgb="FF000000"/>
        <rFont val="Calibri"/>
      </rPr>
      <t xml:space="preserve">- 2 - </t>
    </r>
    <r>
      <rPr>
        <b/>
        <sz val="11"/>
        <color rgb="FF000000"/>
        <rFont val="Calibri"/>
      </rPr>
      <t>Audited</t>
    </r>
    <r>
      <rPr>
        <sz val="11"/>
        <color rgb="FF000000"/>
        <rFont val="Calibri"/>
      </rPr>
      <t>: This state enables usage of the algorithm and reports an event (ID 206) every time it's used. This state is intended to verify that the algorithm isn't being used and can be safely disabled.</t>
    </r>
    <r>
      <rPr>
        <sz val="11"/>
        <color rgb="FF000000"/>
        <rFont val="Calibri"/>
      </rPr>
      <t xml:space="preserve">
</t>
    </r>
    <r>
      <rPr>
        <sz val="11"/>
        <color rgb="FF000000"/>
        <rFont val="Calibri"/>
      </rPr>
      <t xml:space="preserve">- 3 - </t>
    </r>
    <r>
      <rPr>
        <b/>
        <sz val="11"/>
        <color rgb="FF000000"/>
        <rFont val="Calibri"/>
      </rPr>
      <t>Supported</t>
    </r>
    <r>
      <rPr>
        <sz val="11"/>
        <color rgb="FF000000"/>
        <rFont val="Calibri"/>
      </rPr>
      <t xml:space="preserve">: This state enables usage of the algorithm. Enabling algorithms that have been disabled by default may reduce your security.If you don't configure this policy, the SHA256 algorithm will assume the </t>
    </r>
    <r>
      <rPr>
        <b/>
        <sz val="11"/>
        <color rgb="FF000000"/>
        <rFont val="Calibri"/>
      </rPr>
      <t>Default</t>
    </r>
    <r>
      <rPr>
        <sz val="11"/>
        <color rgb="FF000000"/>
        <rFont val="Calibri"/>
      </rPr>
      <t xml:space="preserve"> state.</t>
    </r>
  </si>
  <si>
    <t>https://learn.microsoft.com/en-us/intune/device-security/security-baselines/ref-windows-mdm-settings?pivots=mdm-24h2#kerberos-1</t>
  </si>
  <si>
    <t>https://learn.microsoft.com/en-us/windows/client-management/mdm/policy-csp-Kerberos?WT.mc_id=Portal-fx#pkinithashalgorithmsha256</t>
  </si>
  <si>
    <t>./Device/Vendor/MSFT/Policy/Config/Kerberos/PKInitHashAlgorithmSHA256</t>
  </si>
  <si>
    <t>PKInitHashAlgorithmConfiguration</t>
  </si>
  <si>
    <t>Configure hash algorithms for certificate logon</t>
  </si>
  <si>
    <t>System &gt; Kerberos</t>
  </si>
  <si>
    <t>Software\Microsoft\Windows\CurrentVersion\Policies\System\Kerberos\Parameters</t>
  </si>
  <si>
    <t>PKInitHashAlgorithmConfigurationEnabled</t>
  </si>
  <si>
    <t>Kerberos.admx</t>
  </si>
  <si>
    <t>28.1.2</t>
  </si>
  <si>
    <r>
      <rPr>
        <sz val="11"/>
        <rFont val="Calibri"/>
      </rPr>
      <t xml:space="preserve">Ensure </t>
    </r>
    <r>
      <rPr>
        <sz val="11"/>
        <color rgb="FF000000"/>
        <rFont val="Calibri"/>
      </rPr>
      <t>'</t>
    </r>
    <r>
      <rPr>
        <b/>
        <sz val="11"/>
        <color rgb="FF000000"/>
        <rFont val="Calibri"/>
      </rPr>
      <t>PK Init Hash Algorithm Configuration: PK Init Hash Algorithm SHA384</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</si>
  <si>
    <r>
      <rPr>
        <sz val="11"/>
        <color rgb="FF000000"/>
        <rFont val="Calibri"/>
      </rPr>
      <t xml:space="preserve">Set the following Settings Catalog path to </t>
    </r>
    <r>
      <rPr>
        <b/>
        <sz val="11"/>
        <color rgb="FF000000"/>
        <rFont val="Calibri"/>
      </rPr>
      <t>Enabled: Supported</t>
    </r>
    <r>
      <rPr>
        <sz val="11"/>
        <color rgb="FF000000"/>
        <rFont val="Calibri"/>
      </rPr>
      <t xml:space="preserve">: </t>
    </r>
    <r>
      <rPr>
        <sz val="11"/>
        <color rgb="FF000000"/>
        <rFont val="Calibri"/>
      </rPr>
      <t xml:space="preserve">
</t>
    </r>
    <r>
      <rPr>
        <sz val="11"/>
        <color rgb="FF006096"/>
        <rFont val="Roboto Condensed"/>
      </rPr>
      <t>Kerberos\PK Init Hash Algorithm Configuration: PK Init Hash Algorithm SHA384</t>
    </r>
  </si>
  <si>
    <r>
      <rPr>
        <sz val="11"/>
        <color rgb="FF000000"/>
        <rFont val="Calibri"/>
      </rPr>
      <t xml:space="preserve">This policy setting controls the configuration of the SHA384 algorithm used by the Kerberos client when performing certificate authentication. This policy is only enforced if Kerberos/PKInitHashAlgorithmConfiguration is enabled. You can configure one of four states for this algorithm:- 0 - </t>
    </r>
    <r>
      <rPr>
        <b/>
        <sz val="11"/>
        <color rgb="FF000000"/>
        <rFont val="Calibri"/>
      </rPr>
      <t>Not Supported</t>
    </r>
    <r>
      <rPr>
        <sz val="11"/>
        <color rgb="FF000000"/>
        <rFont val="Calibri"/>
      </rPr>
      <t>: This state disables usage of the algorithm. This state is intended for algorithms that are deemed to be insecure.</t>
    </r>
    <r>
      <rPr>
        <sz val="11"/>
        <color rgb="FF000000"/>
        <rFont val="Calibri"/>
      </rPr>
      <t xml:space="preserve">
</t>
    </r>
    <r>
      <rPr>
        <sz val="11"/>
        <color rgb="FF000000"/>
        <rFont val="Calibri"/>
      </rPr>
      <t xml:space="preserve">- 1 - </t>
    </r>
    <r>
      <rPr>
        <b/>
        <sz val="11"/>
        <color rgb="FF000000"/>
        <rFont val="Calibri"/>
      </rPr>
      <t>Default</t>
    </r>
    <r>
      <rPr>
        <sz val="11"/>
        <color rgb="FF000000"/>
        <rFont val="Calibri"/>
      </rPr>
      <t>: This state sets the algorithm to the recommended state.</t>
    </r>
    <r>
      <rPr>
        <sz val="11"/>
        <color rgb="FF000000"/>
        <rFont val="Calibri"/>
      </rPr>
      <t xml:space="preserve">
</t>
    </r>
    <r>
      <rPr>
        <sz val="11"/>
        <color rgb="FF000000"/>
        <rFont val="Calibri"/>
      </rPr>
      <t xml:space="preserve">- 2 - </t>
    </r>
    <r>
      <rPr>
        <b/>
        <sz val="11"/>
        <color rgb="FF000000"/>
        <rFont val="Calibri"/>
      </rPr>
      <t>Audited</t>
    </r>
    <r>
      <rPr>
        <sz val="11"/>
        <color rgb="FF000000"/>
        <rFont val="Calibri"/>
      </rPr>
      <t>: This state enables usage of the algorithm and reports an event (ID 206) every time it's used. This state is intended to verify that the algorithm isn't being used and can be safely disabled.</t>
    </r>
    <r>
      <rPr>
        <sz val="11"/>
        <color rgb="FF000000"/>
        <rFont val="Calibri"/>
      </rPr>
      <t xml:space="preserve">
</t>
    </r>
    <r>
      <rPr>
        <sz val="11"/>
        <color rgb="FF000000"/>
        <rFont val="Calibri"/>
      </rPr>
      <t xml:space="preserve">- 3 - </t>
    </r>
    <r>
      <rPr>
        <b/>
        <sz val="11"/>
        <color rgb="FF000000"/>
        <rFont val="Calibri"/>
      </rPr>
      <t>Supported</t>
    </r>
    <r>
      <rPr>
        <sz val="11"/>
        <color rgb="FF000000"/>
        <rFont val="Calibri"/>
      </rPr>
      <t xml:space="preserve">: This state enables usage of the algorithm. Enabling algorithms that have been disabled by default may reduce your security.If you don't configure this policy, the SHA384 algorithm will assume the </t>
    </r>
    <r>
      <rPr>
        <b/>
        <sz val="11"/>
        <color rgb="FF000000"/>
        <rFont val="Calibri"/>
      </rPr>
      <t>Default</t>
    </r>
    <r>
      <rPr>
        <sz val="11"/>
        <color rgb="FF000000"/>
        <rFont val="Calibri"/>
      </rPr>
      <t xml:space="preserve"> state.</t>
    </r>
  </si>
  <si>
    <t>https://learn.microsoft.com/en-us/windows/client-management/mdm/policy-csp-Kerberos?WT.mc_id=Portal-fx#pkinithashalgorithmsha384</t>
  </si>
  <si>
    <t>./Device/Vendor/MSFT/Policy/Config/Kerberos/PKInitHashAlgorithmSHA384</t>
  </si>
  <si>
    <t>28.1.3</t>
  </si>
  <si>
    <r>
      <rPr>
        <sz val="11"/>
        <rFont val="Calibri"/>
      </rPr>
      <t xml:space="preserve">Ensure </t>
    </r>
    <r>
      <rPr>
        <sz val="11"/>
        <color rgb="FF000000"/>
        <rFont val="Calibri"/>
      </rPr>
      <t>'</t>
    </r>
    <r>
      <rPr>
        <b/>
        <sz val="11"/>
        <color rgb="FF000000"/>
        <rFont val="Calibri"/>
      </rPr>
      <t>PK Init Hash Algorithm Configuration: PK Init Hash Algorithm SHA512</t>
    </r>
    <r>
      <rPr>
        <sz val="11"/>
        <color rgb="FF000000"/>
        <rFont val="Calibri"/>
      </rPr>
      <t>'</t>
    </r>
    <r>
      <rPr>
        <sz val="11"/>
        <color rgb="FF000000"/>
        <rFont val="Calibri"/>
      </rPr>
      <t xml:space="preserve"> is set to </t>
    </r>
    <r>
      <rPr>
        <sz val="11"/>
        <color rgb="FF000000"/>
        <rFont val="Calibri"/>
      </rPr>
      <t>'</t>
    </r>
    <r>
      <rPr>
        <b/>
        <sz val="11"/>
        <color rgb="FF000000"/>
        <rFont val="Calibri"/>
      </rPr>
      <t>Enabled: Supported</t>
    </r>
    <r>
      <rPr>
        <sz val="11"/>
        <color rgb="FF000000"/>
        <rFont val="Calibri"/>
      </rPr>
      <t>'</t>
    </r>
  </si>
  <si>
    <r>
      <rPr>
        <sz val="11"/>
        <color rgb="FF000000"/>
        <rFont val="Calibri"/>
      </rPr>
      <t xml:space="preserve">Set the following Settings Catalog path to </t>
    </r>
    <r>
      <rPr>
        <b/>
        <sz val="11"/>
        <color rgb="FF000000"/>
        <rFont val="Calibri"/>
      </rPr>
      <t>Enabled: Supported</t>
    </r>
    <r>
      <rPr>
        <sz val="11"/>
        <color rgb="FF000000"/>
        <rFont val="Calibri"/>
      </rPr>
      <t xml:space="preserve">: </t>
    </r>
    <r>
      <rPr>
        <sz val="11"/>
        <color rgb="FF000000"/>
        <rFont val="Calibri"/>
      </rPr>
      <t xml:space="preserve">
</t>
    </r>
    <r>
      <rPr>
        <sz val="11"/>
        <color rgb="FF006096"/>
        <rFont val="Roboto Condensed"/>
      </rPr>
      <t>Kerberos\PK Init Hash Algorithm Configuration: PK Init Hash Algorithm SHA512</t>
    </r>
  </si>
  <si>
    <r>
      <rPr>
        <sz val="11"/>
        <color rgb="FF000000"/>
        <rFont val="Calibri"/>
      </rPr>
      <t xml:space="preserve">This policy setting controls the configuration of the SHA512 algorithm used by the Kerberos client when performing certificate authentication. This policy is only enforced if Kerberos/PKInitHashAlgorithmConfiguration is enabled. You can configure one of four states for this algorithm:- 0 - </t>
    </r>
    <r>
      <rPr>
        <b/>
        <sz val="11"/>
        <color rgb="FF000000"/>
        <rFont val="Calibri"/>
      </rPr>
      <t>Not Supported</t>
    </r>
    <r>
      <rPr>
        <sz val="11"/>
        <color rgb="FF000000"/>
        <rFont val="Calibri"/>
      </rPr>
      <t>: This state disables usage of the algorithm. This state is intended for algorithms that are deemed to be insecure.</t>
    </r>
    <r>
      <rPr>
        <sz val="11"/>
        <color rgb="FF000000"/>
        <rFont val="Calibri"/>
      </rPr>
      <t xml:space="preserve">
</t>
    </r>
    <r>
      <rPr>
        <sz val="11"/>
        <color rgb="FF000000"/>
        <rFont val="Calibri"/>
      </rPr>
      <t xml:space="preserve">- 1 - </t>
    </r>
    <r>
      <rPr>
        <b/>
        <sz val="11"/>
        <color rgb="FF000000"/>
        <rFont val="Calibri"/>
      </rPr>
      <t>Default</t>
    </r>
    <r>
      <rPr>
        <sz val="11"/>
        <color rgb="FF000000"/>
        <rFont val="Calibri"/>
      </rPr>
      <t>: This state sets the algorithm to the recommended state.</t>
    </r>
    <r>
      <rPr>
        <sz val="11"/>
        <color rgb="FF000000"/>
        <rFont val="Calibri"/>
      </rPr>
      <t xml:space="preserve">
</t>
    </r>
    <r>
      <rPr>
        <sz val="11"/>
        <color rgb="FF000000"/>
        <rFont val="Calibri"/>
      </rPr>
      <t xml:space="preserve">- 2 - </t>
    </r>
    <r>
      <rPr>
        <b/>
        <sz val="11"/>
        <color rgb="FF000000"/>
        <rFont val="Calibri"/>
      </rPr>
      <t>Audited</t>
    </r>
    <r>
      <rPr>
        <sz val="11"/>
        <color rgb="FF000000"/>
        <rFont val="Calibri"/>
      </rPr>
      <t>: This state enables usage of the algorithm and reports an event (ID 206) every time it's used. This state is intended to verify that the algorithm isn't being used and can be safely disabled.</t>
    </r>
    <r>
      <rPr>
        <sz val="11"/>
        <color rgb="FF000000"/>
        <rFont val="Calibri"/>
      </rPr>
      <t xml:space="preserve">
</t>
    </r>
    <r>
      <rPr>
        <sz val="11"/>
        <color rgb="FF000000"/>
        <rFont val="Calibri"/>
      </rPr>
      <t xml:space="preserve">- 3 - </t>
    </r>
    <r>
      <rPr>
        <b/>
        <sz val="11"/>
        <color rgb="FF000000"/>
        <rFont val="Calibri"/>
      </rPr>
      <t>Supported</t>
    </r>
    <r>
      <rPr>
        <sz val="11"/>
        <color rgb="FF000000"/>
        <rFont val="Calibri"/>
      </rPr>
      <t xml:space="preserve">: This state enables usage of the algorithm. Enabling algorithms that have been disabled by default may reduce your security.If you don't configure this policy, the SHA512 algorithm will assume the </t>
    </r>
    <r>
      <rPr>
        <b/>
        <sz val="11"/>
        <color rgb="FF000000"/>
        <rFont val="Calibri"/>
      </rPr>
      <t>Default</t>
    </r>
    <r>
      <rPr>
        <sz val="11"/>
        <color rgb="FF000000"/>
        <rFont val="Calibri"/>
      </rPr>
      <t xml:space="preserve"> state.</t>
    </r>
  </si>
  <si>
    <t>https://learn.microsoft.com/en-us/windows/client-management/mdm/policy-csp-Kerberos?WT.mc_id=Portal-fx#pkinithashalgorithmsha512</t>
  </si>
  <si>
    <t>./Device/Vendor/MSFT/Policy/Config/Kerberos/PKInitHashAlgorithmSHA512</t>
  </si>
  <si>
    <t>28.1.4</t>
  </si>
  <si>
    <r>
      <rPr>
        <sz val="11"/>
        <rFont val="Calibri"/>
      </rPr>
      <t xml:space="preserve">Ensure </t>
    </r>
    <r>
      <rPr>
        <sz val="11"/>
        <color rgb="FF000000"/>
        <rFont val="Calibri"/>
      </rPr>
      <t>'</t>
    </r>
    <r>
      <rPr>
        <b/>
        <sz val="11"/>
        <color rgb="FF000000"/>
        <rFont val="Calibri"/>
      </rPr>
      <t>PK Init Hash Algorithm Configuration: PK Init Hash Algorithm SHA1 PK Init Hash Algorithm SHA1</t>
    </r>
    <r>
      <rPr>
        <sz val="11"/>
        <color rgb="FF000000"/>
        <rFont val="Calibri"/>
      </rPr>
      <t>'</t>
    </r>
    <r>
      <rPr>
        <sz val="11"/>
        <color rgb="FF000000"/>
        <rFont val="Calibri"/>
      </rPr>
      <t xml:space="preserve"> is set to </t>
    </r>
    <r>
      <rPr>
        <sz val="11"/>
        <color rgb="FF000000"/>
        <rFont val="Calibri"/>
      </rPr>
      <t>'</t>
    </r>
    <r>
      <rPr>
        <b/>
        <sz val="11"/>
        <color rgb="FF000000"/>
        <rFont val="Calibri"/>
      </rPr>
      <t>Enabled: Not Supported</t>
    </r>
    <r>
      <rPr>
        <sz val="11"/>
        <color rgb="FF000000"/>
        <rFont val="Calibri"/>
      </rPr>
      <t>'</t>
    </r>
  </si>
  <si>
    <r>
      <rPr>
        <sz val="11"/>
        <color rgb="FF000000"/>
        <rFont val="Calibri"/>
      </rPr>
      <t xml:space="preserve">Set the following Settings Catalog path to </t>
    </r>
    <r>
      <rPr>
        <b/>
        <sz val="11"/>
        <color rgb="FF000000"/>
        <rFont val="Calibri"/>
      </rPr>
      <t>Enabled: Not Supported</t>
    </r>
    <r>
      <rPr>
        <sz val="11"/>
        <color rgb="FF000000"/>
        <rFont val="Calibri"/>
      </rPr>
      <t xml:space="preserve">: </t>
    </r>
    <r>
      <rPr>
        <sz val="11"/>
        <color rgb="FF000000"/>
        <rFont val="Calibri"/>
      </rPr>
      <t xml:space="preserve">
</t>
    </r>
    <r>
      <rPr>
        <sz val="11"/>
        <color rgb="FF006096"/>
        <rFont val="Roboto Condensed"/>
      </rPr>
      <t>Kerberos\PK Init Hash Algorithm Configuration: PK Init Hash Algorithm SHA1 PK Init Hash Algorithm SHA1</t>
    </r>
  </si>
  <si>
    <r>
      <rPr>
        <sz val="11"/>
        <color rgb="FF000000"/>
        <rFont val="Calibri"/>
      </rPr>
      <t xml:space="preserve">This policy setting controls the configuration of the SHA1 algorithm used by the Kerberos client when performing certificate authentication. This policy is only enforced if Kerberos/PKInitHashAlgorithmConfiguration is enabled. You can configure one of four states for this algorithm:- 0 - </t>
    </r>
    <r>
      <rPr>
        <b/>
        <sz val="11"/>
        <color rgb="FF000000"/>
        <rFont val="Calibri"/>
      </rPr>
      <t>Not Supported</t>
    </r>
    <r>
      <rPr>
        <sz val="11"/>
        <color rgb="FF000000"/>
        <rFont val="Calibri"/>
      </rPr>
      <t>: This state disables usage of the algorithm. This state is intended for algorithms that are deemed to be insecure.</t>
    </r>
    <r>
      <rPr>
        <sz val="11"/>
        <color rgb="FF000000"/>
        <rFont val="Calibri"/>
      </rPr>
      <t xml:space="preserve">
</t>
    </r>
    <r>
      <rPr>
        <sz val="11"/>
        <color rgb="FF000000"/>
        <rFont val="Calibri"/>
      </rPr>
      <t xml:space="preserve">- 1 - </t>
    </r>
    <r>
      <rPr>
        <b/>
        <sz val="11"/>
        <color rgb="FF000000"/>
        <rFont val="Calibri"/>
      </rPr>
      <t>Default</t>
    </r>
    <r>
      <rPr>
        <sz val="11"/>
        <color rgb="FF000000"/>
        <rFont val="Calibri"/>
      </rPr>
      <t>: This state sets the algorithm to the recommended state.</t>
    </r>
    <r>
      <rPr>
        <sz val="11"/>
        <color rgb="FF000000"/>
        <rFont val="Calibri"/>
      </rPr>
      <t xml:space="preserve">
</t>
    </r>
    <r>
      <rPr>
        <sz val="11"/>
        <color rgb="FF000000"/>
        <rFont val="Calibri"/>
      </rPr>
      <t xml:space="preserve">- 2 - </t>
    </r>
    <r>
      <rPr>
        <b/>
        <sz val="11"/>
        <color rgb="FF000000"/>
        <rFont val="Calibri"/>
      </rPr>
      <t>Audited</t>
    </r>
    <r>
      <rPr>
        <sz val="11"/>
        <color rgb="FF000000"/>
        <rFont val="Calibri"/>
      </rPr>
      <t>: This state enables usage of the algorithm and reports an event (ID 206) every time it's used. This state is intended to verify that the algorithm isn't being used and can be safely disabled.</t>
    </r>
    <r>
      <rPr>
        <sz val="11"/>
        <color rgb="FF000000"/>
        <rFont val="Calibri"/>
      </rPr>
      <t xml:space="preserve">
</t>
    </r>
    <r>
      <rPr>
        <sz val="11"/>
        <color rgb="FF000000"/>
        <rFont val="Calibri"/>
      </rPr>
      <t xml:space="preserve">- 3 - </t>
    </r>
    <r>
      <rPr>
        <b/>
        <sz val="11"/>
        <color rgb="FF000000"/>
        <rFont val="Calibri"/>
      </rPr>
      <t>Supported</t>
    </r>
    <r>
      <rPr>
        <sz val="11"/>
        <color rgb="FF000000"/>
        <rFont val="Calibri"/>
      </rPr>
      <t xml:space="preserve">: This state enables usage of the algorithm. Enabling algorithms that have been disabled by default may reduce your security.If you don't configure this policy, the SHA1 algorithm will assume the </t>
    </r>
    <r>
      <rPr>
        <b/>
        <sz val="11"/>
        <color rgb="FF000000"/>
        <rFont val="Calibri"/>
      </rPr>
      <t>Default</t>
    </r>
    <r>
      <rPr>
        <sz val="11"/>
        <color rgb="FF000000"/>
        <rFont val="Calibri"/>
      </rPr>
      <t xml:space="preserve"> state.</t>
    </r>
  </si>
  <si>
    <t>https://learn.microsoft.com/en-us/windows/client-management/mdm/policy-csp-Kerberos?WT.mc_id=Portal-fx#pkinithashalgorithmsha1</t>
  </si>
  <si>
    <t>./Device/Vendor/MSFT/Policy/Config/Kerberos/PKInitHashAlgorithmSHA1</t>
  </si>
  <si>
    <t>Sudo</t>
  </si>
  <si>
    <t>29.1</t>
  </si>
  <si>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</si>
  <si>
    <r>
      <rPr>
        <sz val="11"/>
        <color rgb="FF000000"/>
        <rFont val="Calibri"/>
      </rPr>
      <t xml:space="preserve">Set the following Settings Catalog path to </t>
    </r>
    <r>
      <rPr>
        <b/>
        <sz val="11"/>
        <color rgb="FF000000"/>
        <rFont val="Calibri"/>
      </rPr>
      <t>Sudo is disabled.</t>
    </r>
    <r>
      <rPr>
        <sz val="11"/>
        <color rgb="FF000000"/>
        <rFont val="Calibri"/>
      </rPr>
      <t xml:space="preserve">: </t>
    </r>
    <r>
      <rPr>
        <sz val="11"/>
        <color rgb="FF000000"/>
        <rFont val="Calibri"/>
      </rPr>
      <t xml:space="preserve">
</t>
    </r>
    <r>
      <rPr>
        <sz val="11"/>
        <color rgb="FF006096"/>
        <rFont val="Roboto Condensed"/>
      </rPr>
      <t>Sudo\Enable Sudo</t>
    </r>
  </si>
  <si>
    <t>https://learn.microsoft.com/en-us/intune/device-security/security-baselines/ref-windows-mdm-settings?pivots=mdm-24h2#sudo-1</t>
  </si>
  <si>
    <t>https://learn.microsoft.com/en-us/windows/client-management/mdm/policy-csp-sudo</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</si>
  <si>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</si>
  <si>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</si>
  <si>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</si>
  <si>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</si>
  <si>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</si>
  <si>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</si>
  <si>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</si>
  <si>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</si>
  <si>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</si>
  <si>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</si>
  <si>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</si>
  <si>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</si>
  <si>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</si>
  <si>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</si>
  <si>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</si>
  <si>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</si>
  <si>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</si>
  <si>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</si>
  <si>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</si>
  <si>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</si>
  <si>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</si>
  <si>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</si>
  <si>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</si>
  <si>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</si>
  <si>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</si>
  <si>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</si>
  <si>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</si>
  <si>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</si>
  <si>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</si>
  <si>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Intune Security Baseline for Windows 11</t>
  </si>
  <si>
    <t>Developed By:</t>
  </si>
  <si>
    <t>Microsoft</t>
  </si>
  <si>
    <t>Release Information:</t>
  </si>
  <si>
    <r>
      <rPr>
        <b/>
        <sz val="11"/>
        <color rgb="FF000000"/>
        <rFont val="Calibri"/>
      </rPr>
      <t>Version:</t>
    </r>
    <r>
      <rPr>
        <sz val="11"/>
        <color rgb="FF000000"/>
        <rFont val="Calibri"/>
      </rPr>
      <t xml:space="preserve"> 24H2     </t>
    </r>
    <r>
      <rPr>
        <b/>
        <sz val="11"/>
        <color rgb="FF000000"/>
        <rFont val="Calibri"/>
      </rPr>
      <t>Date:</t>
    </r>
    <r>
      <rPr>
        <sz val="11"/>
        <color rgb="FF000000"/>
        <rFont val="Calibri"/>
      </rPr>
      <t xml:space="preserve"> 21 May 2024     </t>
    </r>
    <r>
      <rPr>
        <b/>
        <sz val="11"/>
        <color rgb="FF000000"/>
        <rFont val="Calibri"/>
      </rPr>
      <t>Recommendation Count:</t>
    </r>
    <r>
      <rPr>
        <sz val="11"/>
        <color rgb="FF000000"/>
        <rFont val="Calibri"/>
      </rPr>
      <t xml:space="preserve"> 364</t>
    </r>
  </si>
  <si>
    <t>Reference Url:</t>
  </si>
  <si>
    <t>https://learn.microsoft.com/en-us/intune/device-security/security-baselines/ref-windows-mdm-settings?pivots=mdm-24h2#security-baseline-for-windows-version-24h2</t>
  </si>
  <si>
    <t>Guide Overview:</t>
  </si>
  <si>
    <r>
      <rPr>
        <sz val="11"/>
        <color rgb="FF000000"/>
        <rFont val="Calibri"/>
      </rPr>
      <t xml:space="preserve">The settings in this baseline are taken from the Windows 11 version 24H2 security baseline as found in the Security Compliance Toolkit and Baselines from the Microsoft Download Center </t>
    </r>
    <r>
      <rPr>
        <sz val="11"/>
        <color rgb="FF0000FF"/>
        <rFont val="Calibri"/>
      </rPr>
      <t>(https://www.microsoft.com/en-us/download/details.aspx?id=55319)</t>
    </r>
    <r>
      <rPr>
        <sz val="11"/>
        <color rgb="FF000000"/>
        <rFont val="Calibri"/>
      </rPr>
      <t>, and include only the settings that apply to Windows devices managed through Intune. When available, the setting name links to the source Configuration Service Provider (CSP), and then displays that settings default configuration in the baseline.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</si>
  <si>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</si>
  <si>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</si>
  <si>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</si>
  <si>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</si>
  <si>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</si>
  <si>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</si>
  <si>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</si>
  <si>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</si>
  <si>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</si>
  <si>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</si>
  <si>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</si>
  <si>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</si>
  <si>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</si>
  <si>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</si>
  <si>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</si>
  <si>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</si>
  <si>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</si>
  <si>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</si>
  <si>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</si>
  <si>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</si>
  <si>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</si>
  <si>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</si>
  <si>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</si>
  <si>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</si>
  <si>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</si>
  <si>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</si>
  <si>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</si>
  <si>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</si>
  <si>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</si>
  <si>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</si>
  <si>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</si>
  <si>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</si>
  <si>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</si>
  <si>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</si>
  <si>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</si>
  <si>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</si>
  <si>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</si>
  <si>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</si>
  <si>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</si>
  <si>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Intune Security Baseline for Windows 11 24H2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</si>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</sst>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u/>
      <sz val="11"/>
      <color rgb="FF0000FF"/>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2"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top"/>
    </xf>
    <xf numFmtId="0" fontId="2"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top"/>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0" fillId="3" borderId="0" xfId="0" applyNumberFormat="1" applyFont="1" applyFill="1" applyProtection="1"/>
    <xf numFmtId="0" fontId="4" fillId="3" borderId="0" xfId="0" applyNumberFormat="1" applyFont="1" applyFill="1" applyProtection="1"/>
    <xf numFmtId="0" fontId="5"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5"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5"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2"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2" fillId="3" borderId="0" xfId="0" applyNumberFormat="1" applyFont="1" applyFill="1" applyAlignment="1" applyProtection="1">
      <alignment vertical="center"/>
    </xf>
    <xf numFmtId="0" fontId="8"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protection locked="0"/>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5"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2" fillId="4" borderId="11" xfId="0" applyNumberFormat="1" applyFont="1" applyFill="1" applyBorder="1" applyAlignment="1" applyProtection="1">
      <alignment horizontal="left"/>
    </xf>
    <xf numFmtId="0" fontId="2" fillId="4" borderId="11" xfId="0" applyNumberFormat="1" applyFont="1" applyFill="1" applyBorder="1" applyAlignment="1" applyProtection="1">
      <alignment horizontal="center"/>
    </xf>
    <xf numFmtId="0" fontId="2"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2"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1"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 fillId="0" borderId="3" xfId="0" applyNumberFormat="1" applyFont="1" applyBorder="1" applyAlignment="1" applyProtection="1">
      <alignment horizontal="center" vertical="center"/>
    </xf>
    <xf numFmtId="0" fontId="2"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2"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2"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2"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3" fillId="2" borderId="7" xfId="0" applyNumberFormat="1" applyFont="1" applyFill="1" applyBorder="1" applyAlignment="1" applyProtection="1">
      <alignment horizontal="center" vertical="center"/>
    </xf>
    <xf numFmtId="0" fontId="3" fillId="2" borderId="8"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4"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2"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3" fillId="8" borderId="11" xfId="0" applyNumberFormat="1" applyFont="1" applyFill="1" applyBorder="1" applyAlignment="1" applyProtection="1">
      <alignment horizontal="center" vertical="center"/>
    </xf>
    <xf numFmtId="0" fontId="3" fillId="12" borderId="11" xfId="0" applyNumberFormat="1" applyFont="1" applyFill="1" applyBorder="1" applyAlignment="1" applyProtection="1">
      <alignment horizontal="center" vertical="center"/>
    </xf>
    <xf numFmtId="0" fontId="3" fillId="13" borderId="11" xfId="0" applyNumberFormat="1" applyFont="1" applyFill="1" applyBorder="1" applyAlignment="1" applyProtection="1">
      <alignment horizontal="center" vertical="center"/>
    </xf>
    <xf numFmtId="0" fontId="3" fillId="10" borderId="11" xfId="0" applyNumberFormat="1" applyFont="1" applyFill="1" applyBorder="1" applyAlignment="1" applyProtection="1">
      <alignment horizontal="center" vertical="center"/>
    </xf>
    <xf numFmtId="0" fontId="3" fillId="9" borderId="11" xfId="0" applyNumberFormat="1" applyFont="1" applyFill="1" applyBorder="1" applyAlignment="1" applyProtection="1">
      <alignment horizontal="center" vertical="center"/>
    </xf>
    <xf numFmtId="0" fontId="3"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096-457E-B477-32E3F00F3AC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096-457E-B477-32E3F00F3AC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364</c:v>
                </c:pt>
              </c:numCache>
            </c:numRef>
          </c:val>
          <c:extLst>
            <c:ext xmlns:c16="http://schemas.microsoft.com/office/drawing/2014/chart" uri="{C3380CC4-5D6E-409C-BE32-E72D297353CC}">
              <c16:uniqueId val="{00000002-C096-457E-B477-32E3F00F3AC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555-4569-8AEF-D4B29028341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555-4569-8AEF-D4B29028341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364</c:v>
                </c:pt>
              </c:numCache>
            </c:numRef>
          </c:val>
          <c:extLst>
            <c:ext xmlns:c16="http://schemas.microsoft.com/office/drawing/2014/chart" uri="{C3380CC4-5D6E-409C-BE32-E72D297353CC}">
              <c16:uniqueId val="{00000002-9555-4569-8AEF-D4B29028341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FA9-4C29-AE44-80389067982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FA9-4C29-AE44-80389067982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364</c:v>
                </c:pt>
              </c:numCache>
            </c:numRef>
          </c:val>
          <c:extLst>
            <c:ext xmlns:c16="http://schemas.microsoft.com/office/drawing/2014/chart" uri="{C3380CC4-5D6E-409C-BE32-E72D297353CC}">
              <c16:uniqueId val="{00000002-5FA9-4C29-AE44-80389067982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971-4A2C-9F5B-F38CFF5E78C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971-4A2C-9F5B-F38CFF5E78C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364</c:v>
                </c:pt>
              </c:numCache>
            </c:numRef>
          </c:val>
          <c:extLst>
            <c:ext xmlns:c16="http://schemas.microsoft.com/office/drawing/2014/chart" uri="{C3380CC4-5D6E-409C-BE32-E72D297353CC}">
              <c16:uniqueId val="{00000002-B971-4A2C-9F5B-F38CFF5E78C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B17-4A7A-B8B0-AA2FFBE86DAF}"/>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B17-4A7A-B8B0-AA2FFBE86DAF}"/>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B17-4A7A-B8B0-AA2FFBE86DAF}"/>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B17-4A7A-B8B0-AA2FFBE86DA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932-404C-B22E-7062B60CF30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dzkm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clenf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ki2z0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t5wmy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enhh2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gucwe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V365">
  <autoFilter ref="A1:V365" xr:uid="{00000000-0009-0000-0100-000001000000}"/>
  <tableColumns count="22">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SectionUrl"/>
    <tableColumn id="12" xr3:uid="{00000000-0010-0000-0000-00000C000000}" name="CspUrl"/>
    <tableColumn id="13" xr3:uid="{00000000-0010-0000-0000-00000D000000}" name="CspDevice"/>
    <tableColumn id="14" xr3:uid="{00000000-0010-0000-0000-00000E000000}" name="GpmName"/>
    <tableColumn id="15" xr3:uid="{00000000-0010-0000-0000-00000F000000}" name="GpmFriendlyName"/>
    <tableColumn id="16" xr3:uid="{00000000-0010-0000-0000-000010000000}" name="GpmLocation"/>
    <tableColumn id="17" xr3:uid="{00000000-0010-0000-0000-000011000000}" name="GpmPath"/>
    <tableColumn id="18" xr3:uid="{00000000-0010-0000-0000-000012000000}" name="GpmRegKeyName"/>
    <tableColumn id="19" xr3:uid="{00000000-0010-0000-0000-000013000000}" name="GpmRegValueName"/>
    <tableColumn id="20" xr3:uid="{00000000-0010-0000-0000-000014000000}" name="GpmAdmxFileName"/>
    <tableColumn id="21" xr3:uid="{00000000-0010-0000-0000-000015000000}" name="Status"/>
    <tableColumn id="22" xr3:uid="{00000000-0010-0000-0000-000016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earn.microsoft.com/en-us/intune/device-security/security-baselines/ref-windows-mdm-settings?pivots=mdm-24h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learn.microsoft.com/en-us/intune/device-security/security-baselines/ref-windows-mdm-settings?pivots=mdm-24h2" TargetMode="External"/><Relationship Id="rId671" Type="http://schemas.openxmlformats.org/officeDocument/2006/relationships/hyperlink" Target="https://learn.microsoft.com/en-us/windows/client-management/mdm/policy-csp-UserRights?WT.mc_id=Portal-fx" TargetMode="External"/><Relationship Id="rId21" Type="http://schemas.openxmlformats.org/officeDocument/2006/relationships/hyperlink" Target="https://learn.microsoft.com/en-us/intune/device-security/security-baselines/ref-windows-mdm-settings?pivots=mdm-24h2" TargetMode="External"/><Relationship Id="rId324" Type="http://schemas.openxmlformats.org/officeDocument/2006/relationships/hyperlink" Target="https://learn.microsoft.com/en-us/windows/client-management/mdm/policy-csp-internetexplorer?WT.mc_id=Portal-fx" TargetMode="External"/><Relationship Id="rId531" Type="http://schemas.openxmlformats.org/officeDocument/2006/relationships/hyperlink" Target="https://learn.microsoft.com/en-us/windows/client-management/mdm/firewall-csp?WT.mc_id=Portal-fx" TargetMode="External"/><Relationship Id="rId629" Type="http://schemas.openxmlformats.org/officeDocument/2006/relationships/hyperlink" Target="https://learn.microsoft.com/en-us/windows/client-management/mdm/policy-csp-LocalPoliciesSecurityOptions?WT.mc_id=Portal-fx" TargetMode="External"/><Relationship Id="rId170" Type="http://schemas.openxmlformats.org/officeDocument/2006/relationships/hyperlink" Target="https://learn.microsoft.com/en-us/windows/client-management/mdm/policy-csp-internetexplorer?WT.mc_id=Portal-fx" TargetMode="External"/><Relationship Id="rId268" Type="http://schemas.openxmlformats.org/officeDocument/2006/relationships/hyperlink" Target="https://learn.microsoft.com/en-us/windows/client-management/mdm/policy-csp-internetexplorer?WT.mc_id=Portal-fx" TargetMode="External"/><Relationship Id="rId475" Type="http://schemas.openxmlformats.org/officeDocument/2006/relationships/hyperlink" Target="https://learn.microsoft.com/en-us/intune/device-security/security-baselines/ref-windows-mdm-settings?pivots=mdm-24h2" TargetMode="External"/><Relationship Id="rId682" Type="http://schemas.openxmlformats.org/officeDocument/2006/relationships/hyperlink" Target="https://learn.microsoft.com/en-us/intune/device-security/security-baselines/ref-windows-mdm-settings?pivots=mdm-24h2" TargetMode="External"/><Relationship Id="rId32" Type="http://schemas.openxmlformats.org/officeDocument/2006/relationships/hyperlink" Target="https://learn.microsoft.com/en-us/windows/client-management/mdm/policy-csp-printers?WT.mc_id=Portal-fx" TargetMode="External"/><Relationship Id="rId128" Type="http://schemas.openxmlformats.org/officeDocument/2006/relationships/hyperlink" Target="https://learn.microsoft.com/en-us/windows/client-management/mdm/policy-csp-internetexplorer?WT.mc_id=Portal-fx" TargetMode="External"/><Relationship Id="rId335" Type="http://schemas.openxmlformats.org/officeDocument/2006/relationships/hyperlink" Target="https://learn.microsoft.com/en-us/intune/device-security/security-baselines/ref-windows-mdm-settings?pivots=mdm-24h2" TargetMode="External"/><Relationship Id="rId542" Type="http://schemas.openxmlformats.org/officeDocument/2006/relationships/hyperlink" Target="https://learn.microsoft.com/en-us/intune/device-security/security-baselines/ref-windows-mdm-settings?pivots=mdm-24h2" TargetMode="External"/><Relationship Id="rId181" Type="http://schemas.openxmlformats.org/officeDocument/2006/relationships/hyperlink" Target="https://learn.microsoft.com/en-us/intune/device-security/security-baselines/ref-windows-mdm-settings?pivots=mdm-24h2" TargetMode="External"/><Relationship Id="rId402" Type="http://schemas.openxmlformats.org/officeDocument/2006/relationships/hyperlink" Target="https://learn.microsoft.com/en-us/windows/client-management/mdm/policy-csp-Audit?WT.mc_id=Portal-fx" TargetMode="External"/><Relationship Id="rId279" Type="http://schemas.openxmlformats.org/officeDocument/2006/relationships/hyperlink" Target="https://learn.microsoft.com/en-us/intune/device-security/security-baselines/ref-windows-mdm-settings?pivots=mdm-24h2" TargetMode="External"/><Relationship Id="rId486" Type="http://schemas.openxmlformats.org/officeDocument/2006/relationships/hyperlink" Target="https://learn.microsoft.com/en-us/windows/client-management/mdm/Defender-csp?WT.mc_id=Portal-fx" TargetMode="External"/><Relationship Id="rId693" Type="http://schemas.openxmlformats.org/officeDocument/2006/relationships/hyperlink" Target="https://learn.microsoft.com/en-us/windows/client-management/mdm/policy-csp-UserRights?WT.mc_id=Portal-fx" TargetMode="External"/><Relationship Id="rId707" Type="http://schemas.openxmlformats.org/officeDocument/2006/relationships/hyperlink" Target="https://learn.microsoft.com/en-us/windows/client-management/mdm/PassportForWork-csp?WT.mc_id=Portal-fx" TargetMode="External"/><Relationship Id="rId43" Type="http://schemas.openxmlformats.org/officeDocument/2006/relationships/hyperlink" Target="https://learn.microsoft.com/en-us/intune/device-security/security-baselines/ref-windows-mdm-settings?pivots=mdm-24h2" TargetMode="External"/><Relationship Id="rId139" Type="http://schemas.openxmlformats.org/officeDocument/2006/relationships/hyperlink" Target="https://learn.microsoft.com/en-us/intune/device-security/security-baselines/ref-windows-mdm-settings?pivots=mdm-24h2" TargetMode="External"/><Relationship Id="rId346" Type="http://schemas.openxmlformats.org/officeDocument/2006/relationships/hyperlink" Target="https://learn.microsoft.com/en-us/windows/client-management/mdm/policy-csp-admx-microsoftdefenderantivirus?WT.mc_id=Portal-fx" TargetMode="External"/><Relationship Id="rId553" Type="http://schemas.openxmlformats.org/officeDocument/2006/relationships/hyperlink" Target="https://learn.microsoft.com/en-us/windows/client-management/mdm/firewall-csp?WT.mc_id=Portal-fx" TargetMode="External"/><Relationship Id="rId192" Type="http://schemas.openxmlformats.org/officeDocument/2006/relationships/hyperlink" Target="https://learn.microsoft.com/en-us/windows/client-management/mdm/policy-csp-internetexplorer?WT.mc_id=Portal-fx" TargetMode="External"/><Relationship Id="rId206" Type="http://schemas.openxmlformats.org/officeDocument/2006/relationships/hyperlink" Target="https://learn.microsoft.com/en-us/windows/client-management/mdm/policy-csp-internetexplorer?WT.mc_id=Portal-fx" TargetMode="External"/><Relationship Id="rId413" Type="http://schemas.openxmlformats.org/officeDocument/2006/relationships/hyperlink" Target="https://learn.microsoft.com/en-us/intune/device-security/security-baselines/ref-windows-mdm-settings?pivots=mdm-24h2" TargetMode="External"/><Relationship Id="rId497" Type="http://schemas.openxmlformats.org/officeDocument/2006/relationships/hyperlink" Target="https://learn.microsoft.com/en-us/windows/client-management/mdm/Defender-csp?WT.mc_id=Portal-fx" TargetMode="External"/><Relationship Id="rId620" Type="http://schemas.openxmlformats.org/officeDocument/2006/relationships/hyperlink" Target="https://learn.microsoft.com/en-us/intune/device-security/security-baselines/ref-windows-mdm-settings?pivots=mdm-24h2" TargetMode="External"/><Relationship Id="rId718" Type="http://schemas.openxmlformats.org/officeDocument/2006/relationships/hyperlink" Target="https://learn.microsoft.com/en-us/intune/device-security/security-baselines/ref-windows-mdm-settings?pivots=mdm-24h2" TargetMode="External"/><Relationship Id="rId357" Type="http://schemas.openxmlformats.org/officeDocument/2006/relationships/hyperlink" Target="https://learn.microsoft.com/en-us/intune/device-security/security-baselines/ref-windows-mdm-settings?pivots=mdm-24h2" TargetMode="External"/><Relationship Id="rId54" Type="http://schemas.openxmlformats.org/officeDocument/2006/relationships/hyperlink" Target="https://learn.microsoft.com/en-us/windows/client-management/mdm/policy-csp-deviceinstallation?WT.mc_id=Portal-fx" TargetMode="External"/><Relationship Id="rId217" Type="http://schemas.openxmlformats.org/officeDocument/2006/relationships/hyperlink" Target="https://learn.microsoft.com/en-us/intune/device-security/security-baselines/ref-windows-mdm-settings?pivots=mdm-24h2" TargetMode="External"/><Relationship Id="rId564" Type="http://schemas.openxmlformats.org/officeDocument/2006/relationships/hyperlink" Target="https://learn.microsoft.com/en-us/intune/device-security/security-baselines/ref-windows-mdm-settings?pivots=mdm-24h2" TargetMode="External"/><Relationship Id="rId424" Type="http://schemas.openxmlformats.org/officeDocument/2006/relationships/hyperlink" Target="https://learn.microsoft.com/en-us/windows/client-management/mdm/policy-csp-Audit?WT.mc_id=Portal-fx" TargetMode="External"/><Relationship Id="rId631" Type="http://schemas.openxmlformats.org/officeDocument/2006/relationships/hyperlink" Target="https://learn.microsoft.com/en-us/windows/client-management/mdm/policy-csp-LocalPoliciesSecurityOptions?WT.mc_id=Portal-fx" TargetMode="External"/><Relationship Id="rId270" Type="http://schemas.openxmlformats.org/officeDocument/2006/relationships/hyperlink" Target="https://learn.microsoft.com/en-us/windows/client-management/mdm/policy-csp-internetexplorer?WT.mc_id=Portal-fx" TargetMode="External"/><Relationship Id="rId65" Type="http://schemas.openxmlformats.org/officeDocument/2006/relationships/hyperlink" Target="https://learn.microsoft.com/en-us/intune/device-security/security-baselines/ref-windows-mdm-settings?pivots=mdm-24h2" TargetMode="External"/><Relationship Id="rId130" Type="http://schemas.openxmlformats.org/officeDocument/2006/relationships/hyperlink" Target="https://learn.microsoft.com/en-us/windows/client-management/mdm/policy-csp-internetexplorer?WT.mc_id=Portal-fx" TargetMode="External"/><Relationship Id="rId368" Type="http://schemas.openxmlformats.org/officeDocument/2006/relationships/hyperlink" Target="https://learn.microsoft.com/en-us/windows/client-management/mdm/policy-csp-remotemanagement?WT.mc_id=Portal-fx" TargetMode="External"/><Relationship Id="rId575" Type="http://schemas.openxmlformats.org/officeDocument/2006/relationships/hyperlink" Target="https://learn.microsoft.com/en-us/windows/client-management/mdm/policy-csp-lanmanserver" TargetMode="External"/><Relationship Id="rId228" Type="http://schemas.openxmlformats.org/officeDocument/2006/relationships/hyperlink" Target="https://learn.microsoft.com/en-us/windows/client-management/mdm/policy-csp-internetexplorer?WT.mc_id=Portal-fx" TargetMode="External"/><Relationship Id="rId435" Type="http://schemas.openxmlformats.org/officeDocument/2006/relationships/hyperlink" Target="https://learn.microsoft.com/en-us/intune/device-security/security-baselines/ref-windows-mdm-settings?pivots=mdm-24h2" TargetMode="External"/><Relationship Id="rId642" Type="http://schemas.openxmlformats.org/officeDocument/2006/relationships/hyperlink" Target="https://learn.microsoft.com/en-us/intune/device-security/security-baselines/ref-windows-mdm-settings?pivots=mdm-24h2" TargetMode="External"/><Relationship Id="rId281" Type="http://schemas.openxmlformats.org/officeDocument/2006/relationships/hyperlink" Target="https://learn.microsoft.com/en-us/intune/device-security/security-baselines/ref-windows-mdm-settings?pivots=mdm-24h2" TargetMode="External"/><Relationship Id="rId502" Type="http://schemas.openxmlformats.org/officeDocument/2006/relationships/hyperlink" Target="https://learn.microsoft.com/en-us/intune/device-security/security-baselines/ref-windows-mdm-settings?pivots=mdm-24h2" TargetMode="External"/><Relationship Id="rId76" Type="http://schemas.openxmlformats.org/officeDocument/2006/relationships/hyperlink" Target="https://learn.microsoft.com/en-us/windows/client-management/mdm/policy-csp-power?WT.mc_id=Portal-fx" TargetMode="External"/><Relationship Id="rId141" Type="http://schemas.openxmlformats.org/officeDocument/2006/relationships/hyperlink" Target="https://learn.microsoft.com/en-us/intune/device-security/security-baselines/ref-windows-mdm-settings?pivots=mdm-24h2" TargetMode="External"/><Relationship Id="rId379" Type="http://schemas.openxmlformats.org/officeDocument/2006/relationships/hyperlink" Target="https://learn.microsoft.com/en-us/intune/device-security/security-baselines/ref-windows-mdm-settings?pivots=mdm-24h2" TargetMode="External"/><Relationship Id="rId586" Type="http://schemas.openxmlformats.org/officeDocument/2006/relationships/hyperlink" Target="https://learn.microsoft.com/en-us/intune/device-security/security-baselines/ref-windows-mdm-settings?pivots=mdm-24h2" TargetMode="External"/><Relationship Id="rId7" Type="http://schemas.openxmlformats.org/officeDocument/2006/relationships/hyperlink" Target="https://learn.microsoft.com/en-us/intune/device-security/security-baselines/ref-windows-mdm-settings?pivots=mdm-24h2" TargetMode="External"/><Relationship Id="rId239" Type="http://schemas.openxmlformats.org/officeDocument/2006/relationships/hyperlink" Target="https://learn.microsoft.com/en-us/intune/device-security/security-baselines/ref-windows-mdm-settings?pivots=mdm-24h2" TargetMode="External"/><Relationship Id="rId446" Type="http://schemas.openxmlformats.org/officeDocument/2006/relationships/hyperlink" Target="https://learn.microsoft.com/en-us/windows/client-management/mdm/policy-csp-defender?WT.mc_id=Portal-fx" TargetMode="External"/><Relationship Id="rId653" Type="http://schemas.openxmlformats.org/officeDocument/2006/relationships/hyperlink" Target="https://learn.microsoft.com/en-us/intune/device-security/security-baselines/ref-windows-mdm-settings?pivots=mdm-24h2" TargetMode="External"/><Relationship Id="rId292" Type="http://schemas.openxmlformats.org/officeDocument/2006/relationships/hyperlink" Target="https://learn.microsoft.com/en-us/windows/client-management/mdm/policy-csp-internetexplorer?WT.mc_id=Portal-fx" TargetMode="External"/><Relationship Id="rId306" Type="http://schemas.openxmlformats.org/officeDocument/2006/relationships/hyperlink" Target="https://learn.microsoft.com/en-us/windows/client-management/mdm/policy-csp-internetexplorer?WT.mc_id=Portal-fx" TargetMode="External"/><Relationship Id="rId87" Type="http://schemas.openxmlformats.org/officeDocument/2006/relationships/hyperlink" Target="https://learn.microsoft.com/en-us/intune/device-security/security-baselines/ref-windows-mdm-settings?pivots=mdm-24h2" TargetMode="External"/><Relationship Id="rId513" Type="http://schemas.openxmlformats.org/officeDocument/2006/relationships/hyperlink" Target="https://learn.microsoft.com/en-us/windows/client-management/mdm/policy-csp-devicelock?WT.mc_id=Portal-fx" TargetMode="External"/><Relationship Id="rId597" Type="http://schemas.openxmlformats.org/officeDocument/2006/relationships/hyperlink" Target="https://learn.microsoft.com/en-us/windows/client-management/mdm/policy-csp-LocalPoliciesSecurityOptions?WT.mc_id=Portal-fx" TargetMode="External"/><Relationship Id="rId720" Type="http://schemas.openxmlformats.org/officeDocument/2006/relationships/hyperlink" Target="https://learn.microsoft.com/en-us/intune/device-security/security-baselines/ref-windows-mdm-settings?pivots=mdm-24h2" TargetMode="External"/><Relationship Id="rId152" Type="http://schemas.openxmlformats.org/officeDocument/2006/relationships/hyperlink" Target="https://learn.microsoft.com/en-us/windows/client-management/mdm/policy-csp-internetexplorer?WT.mc_id=Portal-fx" TargetMode="External"/><Relationship Id="rId457" Type="http://schemas.openxmlformats.org/officeDocument/2006/relationships/hyperlink" Target="https://learn.microsoft.com/en-us/intune/device-security/security-baselines/ref-windows-mdm-settings?pivots=mdm-24h2" TargetMode="External"/><Relationship Id="rId664" Type="http://schemas.openxmlformats.org/officeDocument/2006/relationships/hyperlink" Target="https://learn.microsoft.com/en-us/intune/device-security/security-baselines/ref-windows-mdm-settings?pivots=mdm-24h2" TargetMode="External"/><Relationship Id="rId14" Type="http://schemas.openxmlformats.org/officeDocument/2006/relationships/hyperlink" Target="https://learn.microsoft.com/en-us/windows/client-management/mdm/policy-csp-mssecurityguide?WT.mc_id=Portal-fx" TargetMode="External"/><Relationship Id="rId317" Type="http://schemas.openxmlformats.org/officeDocument/2006/relationships/hyperlink" Target="https://learn.microsoft.com/en-us/intune/device-security/security-baselines/ref-windows-mdm-settings?pivots=mdm-24h2" TargetMode="External"/><Relationship Id="rId524" Type="http://schemas.openxmlformats.org/officeDocument/2006/relationships/hyperlink" Target="https://learn.microsoft.com/en-us/intune/device-security/security-baselines/ref-windows-mdm-settings?pivots=mdm-24h2" TargetMode="External"/><Relationship Id="rId98" Type="http://schemas.openxmlformats.org/officeDocument/2006/relationships/hyperlink" Target="https://learn.microsoft.com/en-us/windows/client-management/mdm/policy-csp-eventlogservice?WT.mc_id=Portal-fx" TargetMode="External"/><Relationship Id="rId163" Type="http://schemas.openxmlformats.org/officeDocument/2006/relationships/hyperlink" Target="https://learn.microsoft.com/en-us/intune/device-security/security-baselines/ref-windows-mdm-settings?pivots=mdm-24h2" TargetMode="External"/><Relationship Id="rId370" Type="http://schemas.openxmlformats.org/officeDocument/2006/relationships/hyperlink" Target="https://learn.microsoft.com/en-us/windows/client-management/mdm/policy-csp-remotemanagement?WT.mc_id=Portal-fx" TargetMode="External"/><Relationship Id="rId230" Type="http://schemas.openxmlformats.org/officeDocument/2006/relationships/hyperlink" Target="https://learn.microsoft.com/en-us/windows/client-management/mdm/policy-csp-internetexplorer?WT.mc_id=Portal-fx" TargetMode="External"/><Relationship Id="rId468" Type="http://schemas.openxmlformats.org/officeDocument/2006/relationships/hyperlink" Target="https://learn.microsoft.com/en-us/windows/security/threat-protection/microsoft-defender-atp/attack-surface-reduction?WT.mc_id=Portal-fx" TargetMode="External"/><Relationship Id="rId675" Type="http://schemas.openxmlformats.org/officeDocument/2006/relationships/hyperlink" Target="https://learn.microsoft.com/en-us/windows/client-management/mdm/policy-csp-UserRights?WT.mc_id=Portal-fx" TargetMode="External"/><Relationship Id="rId25" Type="http://schemas.openxmlformats.org/officeDocument/2006/relationships/hyperlink" Target="https://learn.microsoft.com/en-us/intune/device-security/security-baselines/ref-windows-mdm-settings?pivots=mdm-24h2" TargetMode="External"/><Relationship Id="rId328" Type="http://schemas.openxmlformats.org/officeDocument/2006/relationships/hyperlink" Target="https://learn.microsoft.com/en-us/windows/client-management/mdm/policy-csp-internetexplorer?WT.mc_id=Portal-fx" TargetMode="External"/><Relationship Id="rId535" Type="http://schemas.openxmlformats.org/officeDocument/2006/relationships/hyperlink" Target="https://learn.microsoft.com/en-us/windows/client-management/mdm/firewall-csp?WT.mc_id=Portal-fx" TargetMode="External"/><Relationship Id="rId174" Type="http://schemas.openxmlformats.org/officeDocument/2006/relationships/hyperlink" Target="https://learn.microsoft.com/en-us/windows/client-management/mdm/policy-csp-internetexplorer?WT.mc_id=Portal-fx" TargetMode="External"/><Relationship Id="rId381" Type="http://schemas.openxmlformats.org/officeDocument/2006/relationships/hyperlink" Target="https://learn.microsoft.com/en-us/intune/device-security/security-baselines/ref-windows-mdm-settings?pivots=mdm-24h2" TargetMode="External"/><Relationship Id="rId602" Type="http://schemas.openxmlformats.org/officeDocument/2006/relationships/hyperlink" Target="https://learn.microsoft.com/en-us/intune/device-security/security-baselines/ref-windows-mdm-settings?pivots=mdm-24h2" TargetMode="External"/><Relationship Id="rId241" Type="http://schemas.openxmlformats.org/officeDocument/2006/relationships/hyperlink" Target="https://learn.microsoft.com/en-us/intune/device-security/security-baselines/ref-windows-mdm-settings?pivots=mdm-24h2" TargetMode="External"/><Relationship Id="rId479" Type="http://schemas.openxmlformats.org/officeDocument/2006/relationships/hyperlink" Target="https://learn.microsoft.com/en-us/intune/device-security/security-baselines/ref-windows-mdm-settings?pivots=mdm-24h2" TargetMode="External"/><Relationship Id="rId686" Type="http://schemas.openxmlformats.org/officeDocument/2006/relationships/hyperlink" Target="https://learn.microsoft.com/en-us/intune/device-security/security-baselines/ref-windows-mdm-settings?pivots=mdm-24h2" TargetMode="External"/><Relationship Id="rId36" Type="http://schemas.openxmlformats.org/officeDocument/2006/relationships/hyperlink" Target="https://learn.microsoft.com/en-us/windows/client-management/mdm/policy-csp-printers?WT.mc_id=Portal-fx" TargetMode="External"/><Relationship Id="rId339" Type="http://schemas.openxmlformats.org/officeDocument/2006/relationships/hyperlink" Target="https://learn.microsoft.com/en-us/intune/device-security/security-baselines/ref-windows-mdm-settings?pivots=mdm-24h2" TargetMode="External"/><Relationship Id="rId546" Type="http://schemas.openxmlformats.org/officeDocument/2006/relationships/hyperlink" Target="https://learn.microsoft.com/en-us/intune/device-security/security-baselines/ref-windows-mdm-settings?pivots=mdm-24h2" TargetMode="External"/><Relationship Id="rId101" Type="http://schemas.openxmlformats.org/officeDocument/2006/relationships/hyperlink" Target="https://learn.microsoft.com/en-us/intune/device-security/security-baselines/ref-windows-mdm-settings?pivots=mdm-24h2" TargetMode="External"/><Relationship Id="rId185" Type="http://schemas.openxmlformats.org/officeDocument/2006/relationships/hyperlink" Target="https://learn.microsoft.com/en-us/intune/device-security/security-baselines/ref-windows-mdm-settings?pivots=mdm-24h2" TargetMode="External"/><Relationship Id="rId406" Type="http://schemas.openxmlformats.org/officeDocument/2006/relationships/hyperlink" Target="https://learn.microsoft.com/en-us/windows/client-management/mdm/policy-csp-Audit?WT.mc_id=Portal-fx" TargetMode="External"/><Relationship Id="rId392" Type="http://schemas.openxmlformats.org/officeDocument/2006/relationships/hyperlink" Target="https://learn.microsoft.com/en-us/windows/client-management/mdm/policy-csp-Audit?WT.mc_id=Portal-fx" TargetMode="External"/><Relationship Id="rId613" Type="http://schemas.openxmlformats.org/officeDocument/2006/relationships/hyperlink" Target="https://learn.microsoft.com/en-us/windows/client-management/mdm/policy-csp-LocalPoliciesSecurityOptions?WT.mc_id=Portal-fx" TargetMode="External"/><Relationship Id="rId697" Type="http://schemas.openxmlformats.org/officeDocument/2006/relationships/hyperlink" Target="https://learn.microsoft.com/en-us/windows/client-management/mdm/policy-csp-UserRights?WT.mc_id=Portal-fx" TargetMode="External"/><Relationship Id="rId252" Type="http://schemas.openxmlformats.org/officeDocument/2006/relationships/hyperlink" Target="https://learn.microsoft.com/en-us/windows/client-management/mdm/policy-csp-internetexplorer?WT.mc_id=Portal-fx" TargetMode="External"/><Relationship Id="rId47" Type="http://schemas.openxmlformats.org/officeDocument/2006/relationships/hyperlink" Target="https://learn.microsoft.com/en-us/intune/device-security/security-baselines/ref-windows-mdm-settings?pivots=mdm-24h2" TargetMode="External"/><Relationship Id="rId112" Type="http://schemas.openxmlformats.org/officeDocument/2006/relationships/hyperlink" Target="https://learn.microsoft.com/en-us/windows/client-management/mdm/policy-csp-internetexplorer?WT.mc_id=Portal-fx" TargetMode="External"/><Relationship Id="rId557" Type="http://schemas.openxmlformats.org/officeDocument/2006/relationships/hyperlink" Target="https://learn.microsoft.com/en-us/windows/client-management/mdm/firewall-csp?WT.mc_id=Portal-fx" TargetMode="External"/><Relationship Id="rId196" Type="http://schemas.openxmlformats.org/officeDocument/2006/relationships/hyperlink" Target="https://learn.microsoft.com/en-us/windows/client-management/mdm/policy-csp-internetexplorer?WT.mc_id=Portal-fx" TargetMode="External"/><Relationship Id="rId417" Type="http://schemas.openxmlformats.org/officeDocument/2006/relationships/hyperlink" Target="https://learn.microsoft.com/en-us/intune/device-security/security-baselines/ref-windows-mdm-settings?pivots=mdm-24h2" TargetMode="External"/><Relationship Id="rId624" Type="http://schemas.openxmlformats.org/officeDocument/2006/relationships/hyperlink" Target="https://learn.microsoft.com/en-us/intune/device-security/security-baselines/ref-windows-mdm-settings?pivots=mdm-24h2" TargetMode="External"/><Relationship Id="rId263" Type="http://schemas.openxmlformats.org/officeDocument/2006/relationships/hyperlink" Target="https://learn.microsoft.com/en-us/intune/device-security/security-baselines/ref-windows-mdm-settings?pivots=mdm-24h2" TargetMode="External"/><Relationship Id="rId470" Type="http://schemas.openxmlformats.org/officeDocument/2006/relationships/hyperlink" Target="https://learn.microsoft.com/en-us/windows/security/threat-protection/microsoft-defender-atp/attack-surface-reduction?WT.mc_id=Portal-fx" TargetMode="External"/><Relationship Id="rId58" Type="http://schemas.openxmlformats.org/officeDocument/2006/relationships/hyperlink" Target="https://learn.microsoft.com/en-us/windows/client-management/mdm/policy-csp-system?WT.mc_id=Portal-fx" TargetMode="External"/><Relationship Id="rId123" Type="http://schemas.openxmlformats.org/officeDocument/2006/relationships/hyperlink" Target="https://learn.microsoft.com/en-us/intune/device-security/security-baselines/ref-windows-mdm-settings?pivots=mdm-24h2" TargetMode="External"/><Relationship Id="rId330" Type="http://schemas.openxmlformats.org/officeDocument/2006/relationships/hyperlink" Target="https://learn.microsoft.com/en-us/windows/client-management/mdm/policy-csp-internetexplorer?WT.mc_id=Portal-fx" TargetMode="External"/><Relationship Id="rId568" Type="http://schemas.openxmlformats.org/officeDocument/2006/relationships/hyperlink" Target="https://learn.microsoft.com/en-us/intune/device-security/security-baselines/ref-windows-mdm-settings?pivots=mdm-24h2" TargetMode="External"/><Relationship Id="rId428" Type="http://schemas.openxmlformats.org/officeDocument/2006/relationships/hyperlink" Target="https://learn.microsoft.com/en-us/windows/client-management/mdm/policy-csp-Browser?WT.mc_id=Portal-fx" TargetMode="External"/><Relationship Id="rId635" Type="http://schemas.openxmlformats.org/officeDocument/2006/relationships/hyperlink" Target="https://learn.microsoft.com/en-us/windows/client-management/mdm/policy-csp-lsa" TargetMode="External"/><Relationship Id="rId274" Type="http://schemas.openxmlformats.org/officeDocument/2006/relationships/hyperlink" Target="https://learn.microsoft.com/en-us/windows/client-management/mdm/policy-csp-internetexplorer?WT.mc_id=Portal-fx" TargetMode="External"/><Relationship Id="rId481" Type="http://schemas.openxmlformats.org/officeDocument/2006/relationships/hyperlink" Target="https://learn.microsoft.com/en-us/intune/device-security/security-baselines/ref-windows-mdm-settings?pivots=mdm-24h2" TargetMode="External"/><Relationship Id="rId702" Type="http://schemas.openxmlformats.org/officeDocument/2006/relationships/hyperlink" Target="https://learn.microsoft.com/en-us/intune/device-security/security-baselines/ref-windows-mdm-settings?pivots=mdm-24h2" TargetMode="External"/><Relationship Id="rId69" Type="http://schemas.openxmlformats.org/officeDocument/2006/relationships/hyperlink" Target="https://learn.microsoft.com/en-us/intune/device-security/security-baselines/ref-windows-mdm-settings?pivots=mdm-24h2" TargetMode="External"/><Relationship Id="rId134" Type="http://schemas.openxmlformats.org/officeDocument/2006/relationships/hyperlink" Target="https://learn.microsoft.com/en-us/windows/client-management/mdm/policy-csp-internetexplorer?WT.mc_id=Portal-fx" TargetMode="External"/><Relationship Id="rId579" Type="http://schemas.openxmlformats.org/officeDocument/2006/relationships/hyperlink" Target="https://learn.microsoft.com/en-us/windows/client-management/mdm/policy-csp-LanmanWorkstation?WT.mc_id=Portal-fx" TargetMode="External"/><Relationship Id="rId341" Type="http://schemas.openxmlformats.org/officeDocument/2006/relationships/hyperlink" Target="https://learn.microsoft.com/en-us/intune/device-security/security-baselines/ref-windows-mdm-settings?pivots=mdm-24h2" TargetMode="External"/><Relationship Id="rId439" Type="http://schemas.openxmlformats.org/officeDocument/2006/relationships/hyperlink" Target="https://learn.microsoft.com/en-us/intune/device-security/security-baselines/ref-windows-mdm-settings?pivots=mdm-24h2" TargetMode="External"/><Relationship Id="rId646" Type="http://schemas.openxmlformats.org/officeDocument/2006/relationships/hyperlink" Target="https://learn.microsoft.com/en-us/intune/device-security/security-baselines/ref-windows-mdm-settings?pivots=mdm-24h2" TargetMode="External"/><Relationship Id="rId201" Type="http://schemas.openxmlformats.org/officeDocument/2006/relationships/hyperlink" Target="https://learn.microsoft.com/en-us/intune/device-security/security-baselines/ref-windows-mdm-settings?pivots=mdm-24h2" TargetMode="External"/><Relationship Id="rId285" Type="http://schemas.openxmlformats.org/officeDocument/2006/relationships/hyperlink" Target="https://learn.microsoft.com/en-us/intune/device-security/security-baselines/ref-windows-mdm-settings?pivots=mdm-24h2" TargetMode="External"/><Relationship Id="rId506" Type="http://schemas.openxmlformats.org/officeDocument/2006/relationships/hyperlink" Target="https://learn.microsoft.com/en-us/intune/device-security/security-baselines/ref-windows-mdm-settings?pivots=mdm-24h2" TargetMode="External"/><Relationship Id="rId492" Type="http://schemas.openxmlformats.org/officeDocument/2006/relationships/hyperlink" Target="https://learn.microsoft.com/en-us/intune/device-security/security-baselines/ref-windows-mdm-settings?pivots=mdm-24h2" TargetMode="External"/><Relationship Id="rId713" Type="http://schemas.openxmlformats.org/officeDocument/2006/relationships/hyperlink" Target="https://learn.microsoft.com/en-us/windows/client-management/mdm/policy-csp-Kerberos?WT.mc_id=Portal-fx" TargetMode="External"/><Relationship Id="rId145" Type="http://schemas.openxmlformats.org/officeDocument/2006/relationships/hyperlink" Target="https://learn.microsoft.com/en-us/intune/device-security/security-baselines/ref-windows-mdm-settings?pivots=mdm-24h2" TargetMode="External"/><Relationship Id="rId352" Type="http://schemas.openxmlformats.org/officeDocument/2006/relationships/hyperlink" Target="https://learn.microsoft.com/en-us/windows/client-management/mdm/policy-csp-remotedesktopservices?WT.mc_id=Portal-fx" TargetMode="External"/><Relationship Id="rId212" Type="http://schemas.openxmlformats.org/officeDocument/2006/relationships/hyperlink" Target="https://learn.microsoft.com/en-us/windows/client-management/mdm/policy-csp-internetexplorer?WT.mc_id=Portal-fx" TargetMode="External"/><Relationship Id="rId657" Type="http://schemas.openxmlformats.org/officeDocument/2006/relationships/hyperlink" Target="https://learn.microsoft.com/en-us/windows/client-management/mdm/policy-csp-SystemServices?WT.mc_id=Portal-fx" TargetMode="External"/><Relationship Id="rId296" Type="http://schemas.openxmlformats.org/officeDocument/2006/relationships/hyperlink" Target="https://learn.microsoft.com/en-us/windows/client-management/mdm/policy-csp-internetexplorer?WT.mc_id=Portal-fx" TargetMode="External"/><Relationship Id="rId517" Type="http://schemas.openxmlformats.org/officeDocument/2006/relationships/hyperlink" Target="https://learn.microsoft.com/en-us/windows/client-management/mdm/policy-csp-experience?WT.mc_id=Portal-fx" TargetMode="External"/><Relationship Id="rId60" Type="http://schemas.openxmlformats.org/officeDocument/2006/relationships/hyperlink" Target="https://learn.microsoft.com/en-us/windows/client-management/mdm/policy-csp-admx-grouppolicy?WT.mc_id=Portal-fx" TargetMode="External"/><Relationship Id="rId156" Type="http://schemas.openxmlformats.org/officeDocument/2006/relationships/hyperlink" Target="https://learn.microsoft.com/en-us/windows/client-management/mdm/policy-csp-internetexplorer?WT.mc_id=Portal-fx" TargetMode="External"/><Relationship Id="rId363" Type="http://schemas.openxmlformats.org/officeDocument/2006/relationships/hyperlink" Target="https://learn.microsoft.com/en-us/intune/device-security/security-baselines/ref-windows-mdm-settings?pivots=mdm-24h2" TargetMode="External"/><Relationship Id="rId570" Type="http://schemas.openxmlformats.org/officeDocument/2006/relationships/hyperlink" Target="https://learn.microsoft.com/en-us/intune/device-security/security-baselines/ref-windows-mdm-settings?pivots=mdm-24h2" TargetMode="External"/><Relationship Id="rId223" Type="http://schemas.openxmlformats.org/officeDocument/2006/relationships/hyperlink" Target="https://learn.microsoft.com/en-us/intune/device-security/security-baselines/ref-windows-mdm-settings?pivots=mdm-24h2" TargetMode="External"/><Relationship Id="rId430" Type="http://schemas.openxmlformats.org/officeDocument/2006/relationships/hyperlink" Target="https://learn.microsoft.com/en-us/windows/client-management/mdm/policy-csp-Browser?WT.mc_id=Portal-fx" TargetMode="External"/><Relationship Id="rId668" Type="http://schemas.openxmlformats.org/officeDocument/2006/relationships/hyperlink" Target="https://learn.microsoft.com/en-us/intune/device-security/security-baselines/ref-windows-mdm-settings?pivots=mdm-24h2" TargetMode="External"/><Relationship Id="rId18" Type="http://schemas.openxmlformats.org/officeDocument/2006/relationships/hyperlink" Target="https://learn.microsoft.com/en-us/windows/client-management/mdm/policy-csp-msslegacy?WT.mc_id=Portal-fx" TargetMode="External"/><Relationship Id="rId528" Type="http://schemas.openxmlformats.org/officeDocument/2006/relationships/hyperlink" Target="https://learn.microsoft.com/en-us/intune/device-security/security-baselines/ref-windows-mdm-settings?pivots=mdm-24h2" TargetMode="External"/><Relationship Id="rId167" Type="http://schemas.openxmlformats.org/officeDocument/2006/relationships/hyperlink" Target="https://learn.microsoft.com/en-us/intune/device-security/security-baselines/ref-windows-mdm-settings?pivots=mdm-24h2" TargetMode="External"/><Relationship Id="rId374" Type="http://schemas.openxmlformats.org/officeDocument/2006/relationships/hyperlink" Target="https://learn.microsoft.com/en-us/windows/client-management/mdm/policy-csp-remotemanagement?WT.mc_id=Portal-fx" TargetMode="External"/><Relationship Id="rId581" Type="http://schemas.openxmlformats.org/officeDocument/2006/relationships/hyperlink" Target="https://learn.microsoft.com/en-us/windows/client-management/mdm/policy-csp-LanmanWorkstation?WT.mc_id=Portal-fx" TargetMode="External"/><Relationship Id="rId71" Type="http://schemas.openxmlformats.org/officeDocument/2006/relationships/hyperlink" Target="https://learn.microsoft.com/en-us/intune/device-security/security-baselines/ref-windows-mdm-settings?pivots=mdm-24h2" TargetMode="External"/><Relationship Id="rId234" Type="http://schemas.openxmlformats.org/officeDocument/2006/relationships/hyperlink" Target="https://learn.microsoft.com/en-us/windows/client-management/mdm/policy-csp-internetexplorer?WT.mc_id=Portal-fx" TargetMode="External"/><Relationship Id="rId679" Type="http://schemas.openxmlformats.org/officeDocument/2006/relationships/hyperlink" Target="https://learn.microsoft.com/en-us/windows/client-management/mdm/policy-csp-UserRights?WT.mc_id=Portal-fx" TargetMode="External"/><Relationship Id="rId2" Type="http://schemas.openxmlformats.org/officeDocument/2006/relationships/hyperlink" Target="https://learn.microsoft.com/en-us/windows/client-management/mdm/policy-csp-devicelock?WT.mc_id=Portal-fx" TargetMode="External"/><Relationship Id="rId29" Type="http://schemas.openxmlformats.org/officeDocument/2006/relationships/hyperlink" Target="https://learn.microsoft.com/en-us/intune/device-security/security-baselines/ref-windows-mdm-settings?pivots=mdm-24h2" TargetMode="External"/><Relationship Id="rId441" Type="http://schemas.openxmlformats.org/officeDocument/2006/relationships/hyperlink" Target="https://learn.microsoft.com/en-us/intune/device-security/security-baselines/ref-windows-mdm-settings?pivots=mdm-24h2" TargetMode="External"/><Relationship Id="rId539" Type="http://schemas.openxmlformats.org/officeDocument/2006/relationships/hyperlink" Target="https://learn.microsoft.com/en-us/windows/client-management/mdm/firewall-csp?WT.mc_id=Portal-fx" TargetMode="External"/><Relationship Id="rId178" Type="http://schemas.openxmlformats.org/officeDocument/2006/relationships/hyperlink" Target="https://learn.microsoft.com/en-us/windows/client-management/mdm/policy-csp-internetexplorer?WT.mc_id=Portal-fx" TargetMode="External"/><Relationship Id="rId301" Type="http://schemas.openxmlformats.org/officeDocument/2006/relationships/hyperlink" Target="https://learn.microsoft.com/en-us/intune/device-security/security-baselines/ref-windows-mdm-settings?pivots=mdm-24h2" TargetMode="External"/><Relationship Id="rId82" Type="http://schemas.openxmlformats.org/officeDocument/2006/relationships/hyperlink" Target="https://learn.microsoft.com/en-us/windows/client-management/mdm/policy-csp-appruntime?WT.mc_id=Portal-fx" TargetMode="External"/><Relationship Id="rId203" Type="http://schemas.openxmlformats.org/officeDocument/2006/relationships/hyperlink" Target="https://learn.microsoft.com/en-us/intune/device-security/security-baselines/ref-windows-mdm-settings?pivots=mdm-24h2" TargetMode="External"/><Relationship Id="rId385" Type="http://schemas.openxmlformats.org/officeDocument/2006/relationships/hyperlink" Target="https://learn.microsoft.com/en-us/intune/device-security/security-baselines/ref-windows-mdm-settings?pivots=mdm-24h2" TargetMode="External"/><Relationship Id="rId592" Type="http://schemas.openxmlformats.org/officeDocument/2006/relationships/hyperlink" Target="https://learn.microsoft.com/en-us/intune/device-security/security-baselines/ref-windows-mdm-settings?pivots=mdm-24h2" TargetMode="External"/><Relationship Id="rId606" Type="http://schemas.openxmlformats.org/officeDocument/2006/relationships/hyperlink" Target="https://learn.microsoft.com/en-us/intune/device-security/security-baselines/ref-windows-mdm-settings?pivots=mdm-24h2" TargetMode="External"/><Relationship Id="rId648" Type="http://schemas.openxmlformats.org/officeDocument/2006/relationships/hyperlink" Target="https://learn.microsoft.com/en-us/intune/device-security/security-baselines/ref-windows-mdm-settings?pivots=mdm-24h2" TargetMode="External"/><Relationship Id="rId245" Type="http://schemas.openxmlformats.org/officeDocument/2006/relationships/hyperlink" Target="https://learn.microsoft.com/en-us/intune/device-security/security-baselines/ref-windows-mdm-settings?pivots=mdm-24h2" TargetMode="External"/><Relationship Id="rId287" Type="http://schemas.openxmlformats.org/officeDocument/2006/relationships/hyperlink" Target="https://learn.microsoft.com/en-us/intune/device-security/security-baselines/ref-windows-mdm-settings?pivots=mdm-24h2" TargetMode="External"/><Relationship Id="rId410" Type="http://schemas.openxmlformats.org/officeDocument/2006/relationships/hyperlink" Target="https://learn.microsoft.com/en-us/windows/client-management/mdm/policy-csp-Audit?WT.mc_id=Portal-fx" TargetMode="External"/><Relationship Id="rId452" Type="http://schemas.openxmlformats.org/officeDocument/2006/relationships/hyperlink" Target="https://learn.microsoft.com/en-us/windows/security/threat-protection/microsoft-defender-atp/attack-surface-reduction?WT.mc_id=Portal-fx" TargetMode="External"/><Relationship Id="rId494" Type="http://schemas.openxmlformats.org/officeDocument/2006/relationships/hyperlink" Target="https://learn.microsoft.com/en-us/intune/device-security/security-baselines/ref-windows-mdm-settings?pivots=mdm-24h2" TargetMode="External"/><Relationship Id="rId508" Type="http://schemas.openxmlformats.org/officeDocument/2006/relationships/hyperlink" Target="https://learn.microsoft.com/en-us/intune/device-security/security-baselines/ref-windows-mdm-settings?pivots=mdm-24h2" TargetMode="External"/><Relationship Id="rId715" Type="http://schemas.openxmlformats.org/officeDocument/2006/relationships/hyperlink" Target="https://learn.microsoft.com/en-us/windows/client-management/mdm/policy-csp-Kerberos?WT.mc_id=Portal-fx" TargetMode="External"/><Relationship Id="rId105" Type="http://schemas.openxmlformats.org/officeDocument/2006/relationships/hyperlink" Target="https://learn.microsoft.com/en-us/intune/device-security/security-baselines/ref-windows-mdm-settings?pivots=mdm-24h2" TargetMode="External"/><Relationship Id="rId147" Type="http://schemas.openxmlformats.org/officeDocument/2006/relationships/hyperlink" Target="https://learn.microsoft.com/en-us/intune/device-security/security-baselines/ref-windows-mdm-settings?pivots=mdm-24h2" TargetMode="External"/><Relationship Id="rId312" Type="http://schemas.openxmlformats.org/officeDocument/2006/relationships/hyperlink" Target="https://learn.microsoft.com/en-us/windows/client-management/mdm/policy-csp-internetexplorer?WT.mc_id=Portal-fx" TargetMode="External"/><Relationship Id="rId354" Type="http://schemas.openxmlformats.org/officeDocument/2006/relationships/hyperlink" Target="https://learn.microsoft.com/en-us/windows/client-management/mdm/policy-csp-remotedesktopservices?WT.mc_id=Portal-fx" TargetMode="External"/><Relationship Id="rId51" Type="http://schemas.openxmlformats.org/officeDocument/2006/relationships/hyperlink" Target="https://learn.microsoft.com/en-us/intune/device-security/security-baselines/ref-windows-mdm-settings?pivots=mdm-24h2" TargetMode="External"/><Relationship Id="rId93" Type="http://schemas.openxmlformats.org/officeDocument/2006/relationships/hyperlink" Target="https://learn.microsoft.com/en-us/intune/device-security/security-baselines/ref-windows-mdm-settings?pivots=mdm-24h2" TargetMode="External"/><Relationship Id="rId189" Type="http://schemas.openxmlformats.org/officeDocument/2006/relationships/hyperlink" Target="https://learn.microsoft.com/en-us/intune/device-security/security-baselines/ref-windows-mdm-settings?pivots=mdm-24h2" TargetMode="External"/><Relationship Id="rId396" Type="http://schemas.openxmlformats.org/officeDocument/2006/relationships/hyperlink" Target="https://learn.microsoft.com/en-us/windows/client-management/mdm/policy-csp-Audit?WT.mc_id=Portal-fx" TargetMode="External"/><Relationship Id="rId561" Type="http://schemas.openxmlformats.org/officeDocument/2006/relationships/hyperlink" Target="https://learn.microsoft.com/en-us/windows/client-management/mdm/policy-csp-lanmanserver" TargetMode="External"/><Relationship Id="rId617" Type="http://schemas.openxmlformats.org/officeDocument/2006/relationships/hyperlink" Target="https://learn.microsoft.com/en-us/windows/client-management/mdm/policy-csp-LocalPoliciesSecurityOptions?WT.mc_id=Portal-fx" TargetMode="External"/><Relationship Id="rId659" Type="http://schemas.openxmlformats.org/officeDocument/2006/relationships/hyperlink" Target="https://learn.microsoft.com/en-us/windows/client-management/mdm/policy-csp-SystemServices?WT.mc_id=Portal-fx" TargetMode="External"/><Relationship Id="rId214" Type="http://schemas.openxmlformats.org/officeDocument/2006/relationships/hyperlink" Target="https://learn.microsoft.com/en-us/windows/client-management/mdm/policy-csp-internetexplorer?WT.mc_id=Portal-fx" TargetMode="External"/><Relationship Id="rId256" Type="http://schemas.openxmlformats.org/officeDocument/2006/relationships/hyperlink" Target="https://learn.microsoft.com/en-us/windows/client-management/mdm/policy-csp-internetexplorer?WT.mc_id=Portal-fx" TargetMode="External"/><Relationship Id="rId298" Type="http://schemas.openxmlformats.org/officeDocument/2006/relationships/hyperlink" Target="https://learn.microsoft.com/en-us/windows/client-management/mdm/policy-csp-internetexplorer?WT.mc_id=Portal-fx" TargetMode="External"/><Relationship Id="rId421" Type="http://schemas.openxmlformats.org/officeDocument/2006/relationships/hyperlink" Target="https://learn.microsoft.com/en-us/intune/device-security/security-baselines/ref-windows-mdm-settings?pivots=mdm-24h2" TargetMode="External"/><Relationship Id="rId463" Type="http://schemas.openxmlformats.org/officeDocument/2006/relationships/hyperlink" Target="https://learn.microsoft.com/en-us/intune/device-security/security-baselines/ref-windows-mdm-settings?pivots=mdm-24h2" TargetMode="External"/><Relationship Id="rId519" Type="http://schemas.openxmlformats.org/officeDocument/2006/relationships/hyperlink" Target="https://learn.microsoft.com/en-us/windows/client-management/mdm/policy-csp-Experience?WT.mc_id=Portal-fx" TargetMode="External"/><Relationship Id="rId670" Type="http://schemas.openxmlformats.org/officeDocument/2006/relationships/hyperlink" Target="https://learn.microsoft.com/en-us/intune/device-security/security-baselines/ref-windows-mdm-settings?pivots=mdm-24h2" TargetMode="External"/><Relationship Id="rId116" Type="http://schemas.openxmlformats.org/officeDocument/2006/relationships/hyperlink" Target="https://learn.microsoft.com/en-us/windows/client-management/mdm/policy-csp-internetexplorer?WT.mc_id=Portal-fx" TargetMode="External"/><Relationship Id="rId158" Type="http://schemas.openxmlformats.org/officeDocument/2006/relationships/hyperlink" Target="https://learn.microsoft.com/en-us/windows/client-management/mdm/policy-csp-internetexplorer?WT.mc_id=Portal-fx" TargetMode="External"/><Relationship Id="rId323" Type="http://schemas.openxmlformats.org/officeDocument/2006/relationships/hyperlink" Target="https://learn.microsoft.com/en-us/intune/device-security/security-baselines/ref-windows-mdm-settings?pivots=mdm-24h2" TargetMode="External"/><Relationship Id="rId530" Type="http://schemas.openxmlformats.org/officeDocument/2006/relationships/hyperlink" Target="https://learn.microsoft.com/en-us/intune/device-security/security-baselines/ref-windows-mdm-settings?pivots=mdm-24h2" TargetMode="External"/><Relationship Id="rId20" Type="http://schemas.openxmlformats.org/officeDocument/2006/relationships/hyperlink" Target="https://learn.microsoft.com/en-us/windows/client-management/mdm/policy-csp-msslegacy?WT.mc_id=Portal-fx" TargetMode="External"/><Relationship Id="rId62" Type="http://schemas.openxmlformats.org/officeDocument/2006/relationships/hyperlink" Target="https://learn.microsoft.com/en-us/windows/client-management/mdm/policy-csp-admx-grouppolicy?WT.mc_id=Portal-fx" TargetMode="External"/><Relationship Id="rId365" Type="http://schemas.openxmlformats.org/officeDocument/2006/relationships/hyperlink" Target="https://learn.microsoft.com/en-us/intune/device-security/security-baselines/ref-windows-mdm-settings?pivots=mdm-24h2" TargetMode="External"/><Relationship Id="rId572" Type="http://schemas.openxmlformats.org/officeDocument/2006/relationships/hyperlink" Target="https://learn.microsoft.com/en-us/intune/device-security/security-baselines/ref-windows-mdm-settings?pivots=mdm-24h2" TargetMode="External"/><Relationship Id="rId628" Type="http://schemas.openxmlformats.org/officeDocument/2006/relationships/hyperlink" Target="https://learn.microsoft.com/en-us/intune/device-security/security-baselines/ref-windows-mdm-settings?pivots=mdm-24h2" TargetMode="External"/><Relationship Id="rId225" Type="http://schemas.openxmlformats.org/officeDocument/2006/relationships/hyperlink" Target="https://learn.microsoft.com/en-us/intune/device-security/security-baselines/ref-windows-mdm-settings?pivots=mdm-24h2" TargetMode="External"/><Relationship Id="rId267" Type="http://schemas.openxmlformats.org/officeDocument/2006/relationships/hyperlink" Target="https://learn.microsoft.com/en-us/intune/device-security/security-baselines/ref-windows-mdm-settings?pivots=mdm-24h2" TargetMode="External"/><Relationship Id="rId432" Type="http://schemas.openxmlformats.org/officeDocument/2006/relationships/hyperlink" Target="https://learn.microsoft.com/en-us/windows/client-management/mdm/policy-csp-Browser?WT.mc_id=Portal-fx" TargetMode="External"/><Relationship Id="rId474" Type="http://schemas.openxmlformats.org/officeDocument/2006/relationships/hyperlink" Target="https://learn.microsoft.com/en-us/windows/security/threat-protection/microsoft-defender-atp/attack-surface-reduction?WT.mc_id=Portal-fx" TargetMode="External"/><Relationship Id="rId127" Type="http://schemas.openxmlformats.org/officeDocument/2006/relationships/hyperlink" Target="https://learn.microsoft.com/en-us/intune/device-security/security-baselines/ref-windows-mdm-settings?pivots=mdm-24h2" TargetMode="External"/><Relationship Id="rId681" Type="http://schemas.openxmlformats.org/officeDocument/2006/relationships/hyperlink" Target="https://learn.microsoft.com/en-us/windows/client-management/mdm/policy-csp-UserRights?WT.mc_id=Portal-fx" TargetMode="External"/><Relationship Id="rId31" Type="http://schemas.openxmlformats.org/officeDocument/2006/relationships/hyperlink" Target="https://learn.microsoft.com/en-us/intune/device-security/security-baselines/ref-windows-mdm-settings?pivots=mdm-24h2" TargetMode="External"/><Relationship Id="rId73" Type="http://schemas.openxmlformats.org/officeDocument/2006/relationships/hyperlink" Target="https://learn.microsoft.com/en-us/intune/device-security/security-baselines/ref-windows-mdm-settings?pivots=mdm-24h2" TargetMode="External"/><Relationship Id="rId169" Type="http://schemas.openxmlformats.org/officeDocument/2006/relationships/hyperlink" Target="https://learn.microsoft.com/en-us/intune/device-security/security-baselines/ref-windows-mdm-settings?pivots=mdm-24h2" TargetMode="External"/><Relationship Id="rId334" Type="http://schemas.openxmlformats.org/officeDocument/2006/relationships/hyperlink" Target="https://learn.microsoft.com/en-us/windows/client-management/mdm/policy-csp-internetexplorer?WT.mc_id=Portal-fx" TargetMode="External"/><Relationship Id="rId376" Type="http://schemas.openxmlformats.org/officeDocument/2006/relationships/hyperlink" Target="https://learn.microsoft.com/en-us/windows/client-management/mdm/policy-csp-remotemanagement?WT.mc_id=Portal-fx" TargetMode="External"/><Relationship Id="rId541" Type="http://schemas.openxmlformats.org/officeDocument/2006/relationships/hyperlink" Target="https://learn.microsoft.com/en-us/windows/client-management/mdm/firewall-csp?WT.mc_id=Portal-fx" TargetMode="External"/><Relationship Id="rId583" Type="http://schemas.openxmlformats.org/officeDocument/2006/relationships/hyperlink" Target="https://learn.microsoft.com/en-us/windows/client-management/mdm/policy-csp-LanmanWorkstation?WT.mc_id=Portal-fx" TargetMode="External"/><Relationship Id="rId639" Type="http://schemas.openxmlformats.org/officeDocument/2006/relationships/hyperlink" Target="https://learn.microsoft.com/en-us/windows/client-management/mdm/policy-csp-ApplicationManagement?WT.mc_id=Portal-fx" TargetMode="External"/><Relationship Id="rId4" Type="http://schemas.openxmlformats.org/officeDocument/2006/relationships/hyperlink" Target="https://learn.microsoft.com/en-us/windows/client-management/mdm/policy-csp-devicelock?WT.mc_id=Portal-fx" TargetMode="External"/><Relationship Id="rId180" Type="http://schemas.openxmlformats.org/officeDocument/2006/relationships/hyperlink" Target="https://learn.microsoft.com/en-us/windows/client-management/mdm/policy-csp-internetexplorer?WT.mc_id=Portal-fx" TargetMode="External"/><Relationship Id="rId236" Type="http://schemas.openxmlformats.org/officeDocument/2006/relationships/hyperlink" Target="https://learn.microsoft.com/en-us/windows/client-management/mdm/policy-csp-internetexplorer?WT.mc_id=Portal-fx" TargetMode="External"/><Relationship Id="rId278" Type="http://schemas.openxmlformats.org/officeDocument/2006/relationships/hyperlink" Target="https://learn.microsoft.com/en-us/windows/client-management/mdm/policy-csp-internetexplorer?WT.mc_id=Portal-fx" TargetMode="External"/><Relationship Id="rId401" Type="http://schemas.openxmlformats.org/officeDocument/2006/relationships/hyperlink" Target="https://learn.microsoft.com/en-us/intune/device-security/security-baselines/ref-windows-mdm-settings?pivots=mdm-24h2" TargetMode="External"/><Relationship Id="rId443" Type="http://schemas.openxmlformats.org/officeDocument/2006/relationships/hyperlink" Target="https://learn.microsoft.com/en-us/intune/device-security/security-baselines/ref-windows-mdm-settings?pivots=mdm-24h2" TargetMode="External"/><Relationship Id="rId650" Type="http://schemas.openxmlformats.org/officeDocument/2006/relationships/hyperlink" Target="https://learn.microsoft.com/en-us/intune/device-security/security-baselines/ref-windows-mdm-settings?pivots=mdm-24h2" TargetMode="External"/><Relationship Id="rId303" Type="http://schemas.openxmlformats.org/officeDocument/2006/relationships/hyperlink" Target="https://learn.microsoft.com/en-us/intune/device-security/security-baselines/ref-windows-mdm-settings?pivots=mdm-24h2" TargetMode="External"/><Relationship Id="rId485" Type="http://schemas.openxmlformats.org/officeDocument/2006/relationships/hyperlink" Target="https://learn.microsoft.com/en-us/intune/device-security/security-baselines/ref-windows-mdm-settings?pivots=mdm-24h2" TargetMode="External"/><Relationship Id="rId692" Type="http://schemas.openxmlformats.org/officeDocument/2006/relationships/hyperlink" Target="https://learn.microsoft.com/en-us/intune/device-security/security-baselines/ref-windows-mdm-settings?pivots=mdm-24h2" TargetMode="External"/><Relationship Id="rId706" Type="http://schemas.openxmlformats.org/officeDocument/2006/relationships/hyperlink" Target="https://learn.microsoft.com/en-us/intune/device-security/security-baselines/ref-windows-mdm-settings?pivots=mdm-24h2" TargetMode="External"/><Relationship Id="rId42" Type="http://schemas.openxmlformats.org/officeDocument/2006/relationships/hyperlink" Target="https://learn.microsoft.com/en-us/windows/client-management/mdm/policy-csp-printers?WT.mc_id=Portal-fx" TargetMode="External"/><Relationship Id="rId84" Type="http://schemas.openxmlformats.org/officeDocument/2006/relationships/hyperlink" Target="https://learn.microsoft.com/en-us/windows/client-management/mdm/policy-csp-autoplay?WT.mc_id=Portal-fx" TargetMode="External"/><Relationship Id="rId138" Type="http://schemas.openxmlformats.org/officeDocument/2006/relationships/hyperlink" Target="https://learn.microsoft.com/en-us/windows/client-management/mdm/policy-csp-internetexplorer?WT.mc_id=Portal-fx" TargetMode="External"/><Relationship Id="rId345" Type="http://schemas.openxmlformats.org/officeDocument/2006/relationships/hyperlink" Target="https://learn.microsoft.com/en-us/intune/device-security/security-baselines/ref-windows-mdm-settings?pivots=mdm-24h2" TargetMode="External"/><Relationship Id="rId387" Type="http://schemas.openxmlformats.org/officeDocument/2006/relationships/hyperlink" Target="https://learn.microsoft.com/en-us/intune/device-security/security-baselines/ref-windows-mdm-settings?pivots=mdm-24h2" TargetMode="External"/><Relationship Id="rId510" Type="http://schemas.openxmlformats.org/officeDocument/2006/relationships/hyperlink" Target="https://learn.microsoft.com/en-us/intune/device-security/security-baselines/ref-windows-mdm-settings?pivots=mdm-24h2" TargetMode="External"/><Relationship Id="rId552" Type="http://schemas.openxmlformats.org/officeDocument/2006/relationships/hyperlink" Target="https://learn.microsoft.com/en-us/intune/device-security/security-baselines/ref-windows-mdm-settings?pivots=mdm-24h2" TargetMode="External"/><Relationship Id="rId594" Type="http://schemas.openxmlformats.org/officeDocument/2006/relationships/hyperlink" Target="https://learn.microsoft.com/en-us/intune/device-security/security-baselines/ref-windows-mdm-settings?pivots=mdm-24h2" TargetMode="External"/><Relationship Id="rId608" Type="http://schemas.openxmlformats.org/officeDocument/2006/relationships/hyperlink" Target="https://learn.microsoft.com/en-us/intune/device-security/security-baselines/ref-windows-mdm-settings?pivots=mdm-24h2" TargetMode="External"/><Relationship Id="rId191" Type="http://schemas.openxmlformats.org/officeDocument/2006/relationships/hyperlink" Target="https://learn.microsoft.com/en-us/intune/device-security/security-baselines/ref-windows-mdm-settings?pivots=mdm-24h2" TargetMode="External"/><Relationship Id="rId205" Type="http://schemas.openxmlformats.org/officeDocument/2006/relationships/hyperlink" Target="https://learn.microsoft.com/en-us/intune/device-security/security-baselines/ref-windows-mdm-settings?pivots=mdm-24h2" TargetMode="External"/><Relationship Id="rId247" Type="http://schemas.openxmlformats.org/officeDocument/2006/relationships/hyperlink" Target="https://learn.microsoft.com/en-us/intune/device-security/security-baselines/ref-windows-mdm-settings?pivots=mdm-24h2" TargetMode="External"/><Relationship Id="rId412" Type="http://schemas.openxmlformats.org/officeDocument/2006/relationships/hyperlink" Target="https://learn.microsoft.com/en-us/windows/client-management/mdm/policy-csp-Audit?WT.mc_id=Portal-fx" TargetMode="External"/><Relationship Id="rId107" Type="http://schemas.openxmlformats.org/officeDocument/2006/relationships/hyperlink" Target="https://learn.microsoft.com/en-us/intune/device-security/security-baselines/ref-windows-mdm-settings?pivots=mdm-24h2" TargetMode="External"/><Relationship Id="rId289" Type="http://schemas.openxmlformats.org/officeDocument/2006/relationships/hyperlink" Target="https://learn.microsoft.com/en-us/intune/device-security/security-baselines/ref-windows-mdm-settings?pivots=mdm-24h2" TargetMode="External"/><Relationship Id="rId454" Type="http://schemas.openxmlformats.org/officeDocument/2006/relationships/hyperlink" Target="https://learn.microsoft.com/en-us/windows/security/threat-protection/microsoft-defender-atp/attack-surface-reduction?WT.mc_id=Portal-fx" TargetMode="External"/><Relationship Id="rId496" Type="http://schemas.openxmlformats.org/officeDocument/2006/relationships/hyperlink" Target="https://learn.microsoft.com/en-us/intune/device-security/security-baselines/ref-windows-mdm-settings?pivots=mdm-24h2" TargetMode="External"/><Relationship Id="rId661" Type="http://schemas.openxmlformats.org/officeDocument/2006/relationships/hyperlink" Target="https://learn.microsoft.com/en-us/windows/client-management/mdm/policy-csp-SystemServices?WT.mc_id=Portal-fx" TargetMode="External"/><Relationship Id="rId717" Type="http://schemas.openxmlformats.org/officeDocument/2006/relationships/hyperlink" Target="https://learn.microsoft.com/en-us/windows/client-management/mdm/policy-csp-Kerberos?WT.mc_id=Portal-fx" TargetMode="External"/><Relationship Id="rId11" Type="http://schemas.openxmlformats.org/officeDocument/2006/relationships/hyperlink" Target="https://learn.microsoft.com/en-us/intune/device-security/security-baselines/ref-windows-mdm-settings?pivots=mdm-24h2" TargetMode="External"/><Relationship Id="rId53" Type="http://schemas.openxmlformats.org/officeDocument/2006/relationships/hyperlink" Target="https://learn.microsoft.com/en-us/intune/device-security/security-baselines/ref-windows-mdm-settings?pivots=mdm-24h2" TargetMode="External"/><Relationship Id="rId149" Type="http://schemas.openxmlformats.org/officeDocument/2006/relationships/hyperlink" Target="https://learn.microsoft.com/en-us/intune/device-security/security-baselines/ref-windows-mdm-settings?pivots=mdm-24h2" TargetMode="External"/><Relationship Id="rId314" Type="http://schemas.openxmlformats.org/officeDocument/2006/relationships/hyperlink" Target="https://learn.microsoft.com/en-us/windows/client-management/mdm/policy-csp-internetexplorer?WT.mc_id=Portal-fx" TargetMode="External"/><Relationship Id="rId356" Type="http://schemas.openxmlformats.org/officeDocument/2006/relationships/hyperlink" Target="https://learn.microsoft.com/en-us/windows/client-management/mdm/policy-csp-remotedesktopservices?WT.mc_id=Portal-fx" TargetMode="External"/><Relationship Id="rId398" Type="http://schemas.openxmlformats.org/officeDocument/2006/relationships/hyperlink" Target="https://learn.microsoft.com/en-us/windows/client-management/mdm/policy-csp-Audit?WT.mc_id=Portal-fx" TargetMode="External"/><Relationship Id="rId521" Type="http://schemas.openxmlformats.org/officeDocument/2006/relationships/hyperlink" Target="https://learn.microsoft.com/en-us/windows/client-management/mdm/Firewall-csp?WT.mc_id=Portal-fx" TargetMode="External"/><Relationship Id="rId563" Type="http://schemas.openxmlformats.org/officeDocument/2006/relationships/hyperlink" Target="https://learn.microsoft.com/en-us/windows/client-management/mdm/policy-csp-lanmanserver" TargetMode="External"/><Relationship Id="rId619" Type="http://schemas.openxmlformats.org/officeDocument/2006/relationships/hyperlink" Target="https://learn.microsoft.com/en-us/windows/client-management/mdm/policy-csp-LocalPoliciesSecurityOptions?WT.mc_id=Portal-fx" TargetMode="External"/><Relationship Id="rId95" Type="http://schemas.openxmlformats.org/officeDocument/2006/relationships/hyperlink" Target="https://learn.microsoft.com/en-us/intune/device-security/security-baselines/ref-windows-mdm-settings?pivots=mdm-24h2" TargetMode="External"/><Relationship Id="rId160" Type="http://schemas.openxmlformats.org/officeDocument/2006/relationships/hyperlink" Target="https://learn.microsoft.com/en-us/windows/client-management/mdm/policy-csp-internetexplorer?WT.mc_id=Portal-fx" TargetMode="External"/><Relationship Id="rId216" Type="http://schemas.openxmlformats.org/officeDocument/2006/relationships/hyperlink" Target="https://learn.microsoft.com/en-us/windows/client-management/mdm/policy-csp-internetexplorer?WT.mc_id=Portal-fx" TargetMode="External"/><Relationship Id="rId423" Type="http://schemas.openxmlformats.org/officeDocument/2006/relationships/hyperlink" Target="https://learn.microsoft.com/en-us/intune/device-security/security-baselines/ref-windows-mdm-settings?pivots=mdm-24h2" TargetMode="External"/><Relationship Id="rId258" Type="http://schemas.openxmlformats.org/officeDocument/2006/relationships/hyperlink" Target="https://learn.microsoft.com/en-us/windows/client-management/mdm/policy-csp-internetexplorer?WT.mc_id=Portal-fx" TargetMode="External"/><Relationship Id="rId465" Type="http://schemas.openxmlformats.org/officeDocument/2006/relationships/hyperlink" Target="https://learn.microsoft.com/en-us/intune/device-security/security-baselines/ref-windows-mdm-settings?pivots=mdm-24h2" TargetMode="External"/><Relationship Id="rId630" Type="http://schemas.openxmlformats.org/officeDocument/2006/relationships/hyperlink" Target="https://learn.microsoft.com/en-us/intune/device-security/security-baselines/ref-windows-mdm-settings?pivots=mdm-24h2" TargetMode="External"/><Relationship Id="rId672" Type="http://schemas.openxmlformats.org/officeDocument/2006/relationships/hyperlink" Target="https://learn.microsoft.com/en-us/intune/device-security/security-baselines/ref-windows-mdm-settings?pivots=mdm-24h2" TargetMode="External"/><Relationship Id="rId22" Type="http://schemas.openxmlformats.org/officeDocument/2006/relationships/hyperlink" Target="https://learn.microsoft.com/en-us/windows/client-management/mdm/policy-csp-msslegacy?WT.mc_id=Portal-fx" TargetMode="External"/><Relationship Id="rId64" Type="http://schemas.openxmlformats.org/officeDocument/2006/relationships/hyperlink" Target="https://learn.microsoft.com/en-us/windows/client-management/mdm/policy-csp-connectivity?WT.mc_id=Portal-fx" TargetMode="External"/><Relationship Id="rId118" Type="http://schemas.openxmlformats.org/officeDocument/2006/relationships/hyperlink" Target="https://learn.microsoft.com/en-us/windows/client-management/mdm/policy-csp-internetexplorer?WT.mc_id=Portal-fx" TargetMode="External"/><Relationship Id="rId325" Type="http://schemas.openxmlformats.org/officeDocument/2006/relationships/hyperlink" Target="https://learn.microsoft.com/en-us/intune/device-security/security-baselines/ref-windows-mdm-settings?pivots=mdm-24h2" TargetMode="External"/><Relationship Id="rId367" Type="http://schemas.openxmlformats.org/officeDocument/2006/relationships/hyperlink" Target="https://learn.microsoft.com/en-us/intune/device-security/security-baselines/ref-windows-mdm-settings?pivots=mdm-24h2" TargetMode="External"/><Relationship Id="rId532" Type="http://schemas.openxmlformats.org/officeDocument/2006/relationships/hyperlink" Target="https://learn.microsoft.com/en-us/intune/device-security/security-baselines/ref-windows-mdm-settings?pivots=mdm-24h2" TargetMode="External"/><Relationship Id="rId574" Type="http://schemas.openxmlformats.org/officeDocument/2006/relationships/hyperlink" Target="https://learn.microsoft.com/en-us/intune/device-security/security-baselines/ref-windows-mdm-settings?pivots=mdm-24h2" TargetMode="External"/><Relationship Id="rId171" Type="http://schemas.openxmlformats.org/officeDocument/2006/relationships/hyperlink" Target="https://learn.microsoft.com/en-us/intune/device-security/security-baselines/ref-windows-mdm-settings?pivots=mdm-24h2" TargetMode="External"/><Relationship Id="rId227" Type="http://schemas.openxmlformats.org/officeDocument/2006/relationships/hyperlink" Target="https://learn.microsoft.com/en-us/intune/device-security/security-baselines/ref-windows-mdm-settings?pivots=mdm-24h2" TargetMode="External"/><Relationship Id="rId269" Type="http://schemas.openxmlformats.org/officeDocument/2006/relationships/hyperlink" Target="https://learn.microsoft.com/en-us/intune/device-security/security-baselines/ref-windows-mdm-settings?pivots=mdm-24h2" TargetMode="External"/><Relationship Id="rId434" Type="http://schemas.openxmlformats.org/officeDocument/2006/relationships/hyperlink" Target="https://learn.microsoft.com/en-us/windows/client-management/mdm/policy-csp-Browser?WT.mc_id=Portal-fx" TargetMode="External"/><Relationship Id="rId476" Type="http://schemas.openxmlformats.org/officeDocument/2006/relationships/hyperlink" Target="https://learn.microsoft.com/en-us/windows/client-management/mdm/policy-csp-defender?WT.mc_id=Portal-fx" TargetMode="External"/><Relationship Id="rId641" Type="http://schemas.openxmlformats.org/officeDocument/2006/relationships/hyperlink" Target="https://learn.microsoft.com/en-us/windows/client-management/mdm/policy-csp-ApplicationManagement?WT.mc_id=Portal-fx" TargetMode="External"/><Relationship Id="rId683" Type="http://schemas.openxmlformats.org/officeDocument/2006/relationships/hyperlink" Target="https://learn.microsoft.com/en-us/windows/client-management/mdm/policy-csp-UserRights?WT.mc_id=Portal-fx" TargetMode="External"/><Relationship Id="rId33" Type="http://schemas.openxmlformats.org/officeDocument/2006/relationships/hyperlink" Target="https://learn.microsoft.com/en-us/intune/device-security/security-baselines/ref-windows-mdm-settings?pivots=mdm-24h2" TargetMode="External"/><Relationship Id="rId129" Type="http://schemas.openxmlformats.org/officeDocument/2006/relationships/hyperlink" Target="https://learn.microsoft.com/en-us/intune/device-security/security-baselines/ref-windows-mdm-settings?pivots=mdm-24h2" TargetMode="External"/><Relationship Id="rId280" Type="http://schemas.openxmlformats.org/officeDocument/2006/relationships/hyperlink" Target="https://learn.microsoft.com/en-us/windows/client-management/mdm/policy-csp-internetexplorer?WT.mc_id=Portal-fx" TargetMode="External"/><Relationship Id="rId336" Type="http://schemas.openxmlformats.org/officeDocument/2006/relationships/hyperlink" Target="https://learn.microsoft.com/en-us/windows/client-management/mdm/policy-csp-internetexplorer?WT.mc_id=Portal-fx" TargetMode="External"/><Relationship Id="rId501" Type="http://schemas.openxmlformats.org/officeDocument/2006/relationships/hyperlink" Target="https://learn.microsoft.com/en-us/windows/client-management/mdm/policy-csp-deviceguard?WT.mc_id=Portal-fx" TargetMode="External"/><Relationship Id="rId543" Type="http://schemas.openxmlformats.org/officeDocument/2006/relationships/hyperlink" Target="https://learn.microsoft.com/en-us/windows/client-management/mdm/firewall-csp?WT.mc_id=Portal-fx" TargetMode="External"/><Relationship Id="rId75" Type="http://schemas.openxmlformats.org/officeDocument/2006/relationships/hyperlink" Target="https://learn.microsoft.com/en-us/intune/device-security/security-baselines/ref-windows-mdm-settings?pivots=mdm-24h2" TargetMode="External"/><Relationship Id="rId140" Type="http://schemas.openxmlformats.org/officeDocument/2006/relationships/hyperlink" Target="https://learn.microsoft.com/en-us/windows/client-management/mdm/policy-csp-internetexplorer?WT.mc_id=Portal-fx" TargetMode="External"/><Relationship Id="rId182" Type="http://schemas.openxmlformats.org/officeDocument/2006/relationships/hyperlink" Target="https://learn.microsoft.com/en-us/windows/client-management/mdm/policy-csp-internetexplorer?WT.mc_id=Portal-fx" TargetMode="External"/><Relationship Id="rId378" Type="http://schemas.openxmlformats.org/officeDocument/2006/relationships/hyperlink" Target="https://learn.microsoft.com/en-us/windows/client-management/mdm/policy-csp-remotemanagement?WT.mc_id=Portal-fx" TargetMode="External"/><Relationship Id="rId403" Type="http://schemas.openxmlformats.org/officeDocument/2006/relationships/hyperlink" Target="https://learn.microsoft.com/en-us/intune/device-security/security-baselines/ref-windows-mdm-settings?pivots=mdm-24h2" TargetMode="External"/><Relationship Id="rId585" Type="http://schemas.openxmlformats.org/officeDocument/2006/relationships/hyperlink" Target="https://learn.microsoft.com/en-us/windows/client-management/mdm/policy-csp-LanmanWorkstation?WT.mc_id=Portal-fx" TargetMode="External"/><Relationship Id="rId6" Type="http://schemas.openxmlformats.org/officeDocument/2006/relationships/hyperlink" Target="https://learn.microsoft.com/en-us/windows/client-management/mdm/policy-csp-mssecurityguide?WT.mc_id=Portal-fx" TargetMode="External"/><Relationship Id="rId238" Type="http://schemas.openxmlformats.org/officeDocument/2006/relationships/hyperlink" Target="https://learn.microsoft.com/en-us/windows/client-management/mdm/policy-csp-internetexplorer?WT.mc_id=Portal-fx" TargetMode="External"/><Relationship Id="rId445" Type="http://schemas.openxmlformats.org/officeDocument/2006/relationships/hyperlink" Target="https://learn.microsoft.com/en-us/intune/device-security/security-baselines/ref-windows-mdm-settings?pivots=mdm-24h2" TargetMode="External"/><Relationship Id="rId487" Type="http://schemas.openxmlformats.org/officeDocument/2006/relationships/hyperlink" Target="https://learn.microsoft.com/en-us/intune/device-security/security-baselines/ref-windows-mdm-settings?pivots=mdm-24h2" TargetMode="External"/><Relationship Id="rId610" Type="http://schemas.openxmlformats.org/officeDocument/2006/relationships/hyperlink" Target="https://learn.microsoft.com/en-us/intune/device-security/security-baselines/ref-windows-mdm-settings?pivots=mdm-24h2" TargetMode="External"/><Relationship Id="rId652" Type="http://schemas.openxmlformats.org/officeDocument/2006/relationships/hyperlink" Target="https://learn.microsoft.com/en-us/intune/device-security/security-baselines/ref-windows-mdm-settings?pivots=mdm-24h2" TargetMode="External"/><Relationship Id="rId694" Type="http://schemas.openxmlformats.org/officeDocument/2006/relationships/hyperlink" Target="https://learn.microsoft.com/en-us/intune/device-security/security-baselines/ref-windows-mdm-settings?pivots=mdm-24h2" TargetMode="External"/><Relationship Id="rId708" Type="http://schemas.openxmlformats.org/officeDocument/2006/relationships/hyperlink" Target="https://learn.microsoft.com/en-us/intune/device-security/security-baselines/ref-windows-mdm-settings?pivots=mdm-24h2" TargetMode="External"/><Relationship Id="rId291" Type="http://schemas.openxmlformats.org/officeDocument/2006/relationships/hyperlink" Target="https://learn.microsoft.com/en-us/intune/device-security/security-baselines/ref-windows-mdm-settings?pivots=mdm-24h2" TargetMode="External"/><Relationship Id="rId305" Type="http://schemas.openxmlformats.org/officeDocument/2006/relationships/hyperlink" Target="https://learn.microsoft.com/en-us/intune/device-security/security-baselines/ref-windows-mdm-settings?pivots=mdm-24h2" TargetMode="External"/><Relationship Id="rId347" Type="http://schemas.openxmlformats.org/officeDocument/2006/relationships/hyperlink" Target="https://learn.microsoft.com/en-us/intune/device-security/security-baselines/ref-windows-mdm-settings?pivots=mdm-24h2" TargetMode="External"/><Relationship Id="rId512" Type="http://schemas.openxmlformats.org/officeDocument/2006/relationships/hyperlink" Target="https://learn.microsoft.com/en-us/intune/device-security/security-baselines/ref-windows-mdm-settings?pivots=mdm-24h2" TargetMode="External"/><Relationship Id="rId44" Type="http://schemas.openxmlformats.org/officeDocument/2006/relationships/hyperlink" Target="https://learn.microsoft.com/en-us/windows/client-management/mdm/policy-csp-printers?WT.mc_id=Portal-fx" TargetMode="External"/><Relationship Id="rId86" Type="http://schemas.openxmlformats.org/officeDocument/2006/relationships/hyperlink" Target="https://learn.microsoft.com/en-us/windows/client-management/mdm/policy-csp-autoplay?WT.mc_id=Portal-fx" TargetMode="External"/><Relationship Id="rId151" Type="http://schemas.openxmlformats.org/officeDocument/2006/relationships/hyperlink" Target="https://learn.microsoft.com/en-us/intune/device-security/security-baselines/ref-windows-mdm-settings?pivots=mdm-24h2" TargetMode="External"/><Relationship Id="rId389" Type="http://schemas.openxmlformats.org/officeDocument/2006/relationships/hyperlink" Target="https://learn.microsoft.com/en-us/intune/device-security/security-baselines/ref-windows-mdm-settings?pivots=mdm-24h2" TargetMode="External"/><Relationship Id="rId554" Type="http://schemas.openxmlformats.org/officeDocument/2006/relationships/hyperlink" Target="https://learn.microsoft.com/en-us/intune/device-security/security-baselines/ref-windows-mdm-settings?pivots=mdm-24h2" TargetMode="External"/><Relationship Id="rId596" Type="http://schemas.openxmlformats.org/officeDocument/2006/relationships/hyperlink" Target="https://learn.microsoft.com/en-us/intune/device-security/security-baselines/ref-windows-mdm-settings?pivots=mdm-24h2" TargetMode="External"/><Relationship Id="rId193" Type="http://schemas.openxmlformats.org/officeDocument/2006/relationships/hyperlink" Target="https://learn.microsoft.com/en-us/intune/device-security/security-baselines/ref-windows-mdm-settings?pivots=mdm-24h2" TargetMode="External"/><Relationship Id="rId207" Type="http://schemas.openxmlformats.org/officeDocument/2006/relationships/hyperlink" Target="https://learn.microsoft.com/en-us/intune/device-security/security-baselines/ref-windows-mdm-settings?pivots=mdm-24h2" TargetMode="External"/><Relationship Id="rId249" Type="http://schemas.openxmlformats.org/officeDocument/2006/relationships/hyperlink" Target="https://learn.microsoft.com/en-us/intune/device-security/security-baselines/ref-windows-mdm-settings?pivots=mdm-24h2" TargetMode="External"/><Relationship Id="rId414" Type="http://schemas.openxmlformats.org/officeDocument/2006/relationships/hyperlink" Target="https://learn.microsoft.com/en-us/windows/client-management/mdm/policy-csp-Audit?WT.mc_id=Portal-fx" TargetMode="External"/><Relationship Id="rId456" Type="http://schemas.openxmlformats.org/officeDocument/2006/relationships/hyperlink" Target="https://learn.microsoft.com/en-us/windows/security/threat-protection/microsoft-defender-atp/attack-surface-reduction?WT.mc_id=Portal-fx" TargetMode="External"/><Relationship Id="rId498" Type="http://schemas.openxmlformats.org/officeDocument/2006/relationships/hyperlink" Target="https://learn.microsoft.com/en-us/intune/device-security/security-baselines/ref-windows-mdm-settings?pivots=mdm-24h2" TargetMode="External"/><Relationship Id="rId621" Type="http://schemas.openxmlformats.org/officeDocument/2006/relationships/hyperlink" Target="https://learn.microsoft.com/en-us/windows/client-management/mdm/policy-csp-LocalPoliciesSecurityOptions?WT.mc_id=Portal-fx" TargetMode="External"/><Relationship Id="rId663" Type="http://schemas.openxmlformats.org/officeDocument/2006/relationships/hyperlink" Target="https://learn.microsoft.com/en-us/windows/client-management/mdm/policy-csp-SystemServices?WT.mc_id=Portal-fx" TargetMode="External"/><Relationship Id="rId13" Type="http://schemas.openxmlformats.org/officeDocument/2006/relationships/hyperlink" Target="https://learn.microsoft.com/en-us/intune/device-security/security-baselines/ref-windows-mdm-settings?pivots=mdm-24h2" TargetMode="External"/><Relationship Id="rId109" Type="http://schemas.openxmlformats.org/officeDocument/2006/relationships/hyperlink" Target="https://learn.microsoft.com/en-us/intune/device-security/security-baselines/ref-windows-mdm-settings?pivots=mdm-24h2" TargetMode="External"/><Relationship Id="rId260" Type="http://schemas.openxmlformats.org/officeDocument/2006/relationships/hyperlink" Target="https://learn.microsoft.com/en-us/windows/client-management/mdm/policy-csp-internetexplorer?WT.mc_id=Portal-fx" TargetMode="External"/><Relationship Id="rId316" Type="http://schemas.openxmlformats.org/officeDocument/2006/relationships/hyperlink" Target="https://learn.microsoft.com/en-us/windows/client-management/mdm/policy-csp-internetexplorer?WT.mc_id=Portal-fx" TargetMode="External"/><Relationship Id="rId523" Type="http://schemas.openxmlformats.org/officeDocument/2006/relationships/hyperlink" Target="https://learn.microsoft.com/en-us/windows/client-management/mdm/firewall-csp?WT.mc_id=Portal-fx" TargetMode="External"/><Relationship Id="rId719" Type="http://schemas.openxmlformats.org/officeDocument/2006/relationships/hyperlink" Target="https://learn.microsoft.com/en-us/windows/client-management/mdm/policy-csp-Kerberos?WT.mc_id=Portal-fx" TargetMode="External"/><Relationship Id="rId55" Type="http://schemas.openxmlformats.org/officeDocument/2006/relationships/hyperlink" Target="https://learn.microsoft.com/en-us/intune/device-security/security-baselines/ref-windows-mdm-settings?pivots=mdm-24h2" TargetMode="External"/><Relationship Id="rId97" Type="http://schemas.openxmlformats.org/officeDocument/2006/relationships/hyperlink" Target="https://learn.microsoft.com/en-us/intune/device-security/security-baselines/ref-windows-mdm-settings?pivots=mdm-24h2" TargetMode="External"/><Relationship Id="rId120" Type="http://schemas.openxmlformats.org/officeDocument/2006/relationships/hyperlink" Target="https://learn.microsoft.com/en-us/windows/client-management/mdm/policy-csp-internetexplorer?WT.mc_id=Portal-fx" TargetMode="External"/><Relationship Id="rId358" Type="http://schemas.openxmlformats.org/officeDocument/2006/relationships/hyperlink" Target="https://learn.microsoft.com/en-us/windows/client-management/mdm/policy-csp-remotedesktopservices?WT.mc_id=Portal-fx" TargetMode="External"/><Relationship Id="rId565" Type="http://schemas.openxmlformats.org/officeDocument/2006/relationships/hyperlink" Target="https://learn.microsoft.com/en-us/windows/client-management/mdm/policy-csp-lanmanserver" TargetMode="External"/><Relationship Id="rId162" Type="http://schemas.openxmlformats.org/officeDocument/2006/relationships/hyperlink" Target="https://learn.microsoft.com/en-us/windows/client-management/mdm/policy-csp-internetexplorer?WT.mc_id=Portal-fx" TargetMode="External"/><Relationship Id="rId218" Type="http://schemas.openxmlformats.org/officeDocument/2006/relationships/hyperlink" Target="https://learn.microsoft.com/en-us/windows/client-management/mdm/policy-csp-internetexplorer?WT.mc_id=Portal-fx" TargetMode="External"/><Relationship Id="rId425" Type="http://schemas.openxmlformats.org/officeDocument/2006/relationships/hyperlink" Target="https://learn.microsoft.com/en-us/intune/device-security/security-baselines/ref-windows-mdm-settings?pivots=mdm-24h2" TargetMode="External"/><Relationship Id="rId467" Type="http://schemas.openxmlformats.org/officeDocument/2006/relationships/hyperlink" Target="https://learn.microsoft.com/en-us/intune/device-security/security-baselines/ref-windows-mdm-settings?pivots=mdm-24h2" TargetMode="External"/><Relationship Id="rId632" Type="http://schemas.openxmlformats.org/officeDocument/2006/relationships/hyperlink" Target="https://learn.microsoft.com/en-us/intune/device-security/security-baselines/ref-windows-mdm-settings?pivots=mdm-24h2" TargetMode="External"/><Relationship Id="rId271" Type="http://schemas.openxmlformats.org/officeDocument/2006/relationships/hyperlink" Target="https://learn.microsoft.com/en-us/intune/device-security/security-baselines/ref-windows-mdm-settings?pivots=mdm-24h2" TargetMode="External"/><Relationship Id="rId674" Type="http://schemas.openxmlformats.org/officeDocument/2006/relationships/hyperlink" Target="https://learn.microsoft.com/en-us/intune/device-security/security-baselines/ref-windows-mdm-settings?pivots=mdm-24h2" TargetMode="External"/><Relationship Id="rId24" Type="http://schemas.openxmlformats.org/officeDocument/2006/relationships/hyperlink" Target="https://learn.microsoft.com/en-us/windows/client-management/mdm/policy-csp-admx-dnsclient?WT.mc_id=Portal-fx" TargetMode="External"/><Relationship Id="rId66" Type="http://schemas.openxmlformats.org/officeDocument/2006/relationships/hyperlink" Target="https://learn.microsoft.com/en-us/windows/client-management/mdm/policy-csp-connectivity?WT.mc_id=Portal-fx" TargetMode="External"/><Relationship Id="rId131" Type="http://schemas.openxmlformats.org/officeDocument/2006/relationships/hyperlink" Target="https://learn.microsoft.com/en-us/intune/device-security/security-baselines/ref-windows-mdm-settings?pivots=mdm-24h2" TargetMode="External"/><Relationship Id="rId327" Type="http://schemas.openxmlformats.org/officeDocument/2006/relationships/hyperlink" Target="https://learn.microsoft.com/en-us/intune/device-security/security-baselines/ref-windows-mdm-settings?pivots=mdm-24h2" TargetMode="External"/><Relationship Id="rId369" Type="http://schemas.openxmlformats.org/officeDocument/2006/relationships/hyperlink" Target="https://learn.microsoft.com/en-us/intune/device-security/security-baselines/ref-windows-mdm-settings?pivots=mdm-24h2" TargetMode="External"/><Relationship Id="rId534" Type="http://schemas.openxmlformats.org/officeDocument/2006/relationships/hyperlink" Target="https://learn.microsoft.com/en-us/intune/device-security/security-baselines/ref-windows-mdm-settings?pivots=mdm-24h2" TargetMode="External"/><Relationship Id="rId576" Type="http://schemas.openxmlformats.org/officeDocument/2006/relationships/hyperlink" Target="https://learn.microsoft.com/en-us/intune/device-security/security-baselines/ref-windows-mdm-settings?pivots=mdm-24h2" TargetMode="External"/><Relationship Id="rId173" Type="http://schemas.openxmlformats.org/officeDocument/2006/relationships/hyperlink" Target="https://learn.microsoft.com/en-us/intune/device-security/security-baselines/ref-windows-mdm-settings?pivots=mdm-24h2" TargetMode="External"/><Relationship Id="rId229" Type="http://schemas.openxmlformats.org/officeDocument/2006/relationships/hyperlink" Target="https://learn.microsoft.com/en-us/intune/device-security/security-baselines/ref-windows-mdm-settings?pivots=mdm-24h2" TargetMode="External"/><Relationship Id="rId380" Type="http://schemas.openxmlformats.org/officeDocument/2006/relationships/hyperlink" Target="https://learn.microsoft.com/en-us/windows/client-management/mdm/policy-csp-Audit?WT.mc_id=Portal-fx" TargetMode="External"/><Relationship Id="rId436" Type="http://schemas.openxmlformats.org/officeDocument/2006/relationships/hyperlink" Target="https://learn.microsoft.com/en-us/windows/client-management/mdm/policy-csp-dataprotection?WT.mc_id=Portal-fx" TargetMode="External"/><Relationship Id="rId601" Type="http://schemas.openxmlformats.org/officeDocument/2006/relationships/hyperlink" Target="https://learn.microsoft.com/en-us/windows/client-management/mdm/policy-csp-LocalPoliciesSecurityOptions?WT.mc_id=Portal-fx" TargetMode="External"/><Relationship Id="rId643" Type="http://schemas.openxmlformats.org/officeDocument/2006/relationships/hyperlink" Target="https://learn.microsoft.com/en-us/intune/device-security/security-baselines/ref-windows-mdm-settings?pivots=mdm-24h2" TargetMode="External"/><Relationship Id="rId240" Type="http://schemas.openxmlformats.org/officeDocument/2006/relationships/hyperlink" Target="https://learn.microsoft.com/en-us/windows/client-management/mdm/policy-csp-internetexplorer?WT.mc_id=Portal-fx" TargetMode="External"/><Relationship Id="rId478" Type="http://schemas.openxmlformats.org/officeDocument/2006/relationships/hyperlink" Target="https://learn.microsoft.com/en-us/windows/client-management/mdm/policy-csp-defender?WT.mc_id=Portal-fx" TargetMode="External"/><Relationship Id="rId685" Type="http://schemas.openxmlformats.org/officeDocument/2006/relationships/hyperlink" Target="https://learn.microsoft.com/en-us/windows/client-management/mdm/policy-csp-UserRights?WT.mc_id=Portal-fx" TargetMode="External"/><Relationship Id="rId35" Type="http://schemas.openxmlformats.org/officeDocument/2006/relationships/hyperlink" Target="https://learn.microsoft.com/en-us/intune/device-security/security-baselines/ref-windows-mdm-settings?pivots=mdm-24h2" TargetMode="External"/><Relationship Id="rId77" Type="http://schemas.openxmlformats.org/officeDocument/2006/relationships/hyperlink" Target="https://learn.microsoft.com/en-us/intune/device-security/security-baselines/ref-windows-mdm-settings?pivots=mdm-24h2" TargetMode="External"/><Relationship Id="rId100" Type="http://schemas.openxmlformats.org/officeDocument/2006/relationships/hyperlink" Target="https://learn.microsoft.com/en-us/windows/client-management/mdm/policy-csp-eventlogservice?WT.mc_id=Portal-fx" TargetMode="External"/><Relationship Id="rId282" Type="http://schemas.openxmlformats.org/officeDocument/2006/relationships/hyperlink" Target="https://learn.microsoft.com/en-us/windows/client-management/mdm/policy-csp-internetexplorer?WT.mc_id=Portal-fx" TargetMode="External"/><Relationship Id="rId338" Type="http://schemas.openxmlformats.org/officeDocument/2006/relationships/hyperlink" Target="https://learn.microsoft.com/en-us/windows/client-management/mdm/policy-csp-internetexplorer?WT.mc_id=Portal-fx" TargetMode="External"/><Relationship Id="rId503" Type="http://schemas.openxmlformats.org/officeDocument/2006/relationships/hyperlink" Target="https://learn.microsoft.com/en-us/windows/client-management/mdm/policy-csp-deviceguard?WT.mc_id=Portal-fx" TargetMode="External"/><Relationship Id="rId545" Type="http://schemas.openxmlformats.org/officeDocument/2006/relationships/hyperlink" Target="https://learn.microsoft.com/en-us/windows/client-management/mdm/firewall-csp?WT.mc_id=Portal-fx" TargetMode="External"/><Relationship Id="rId587" Type="http://schemas.openxmlformats.org/officeDocument/2006/relationships/hyperlink" Target="https://learn.microsoft.com/en-us/windows/client-management/mdm/policy-csp-LanmanWorkstation?WT.mc_id=Portal-fx" TargetMode="External"/><Relationship Id="rId710" Type="http://schemas.openxmlformats.org/officeDocument/2006/relationships/hyperlink" Target="https://learn.microsoft.com/en-us/intune/device-security/security-baselines/ref-windows-mdm-settings?pivots=mdm-24h2" TargetMode="External"/><Relationship Id="rId8" Type="http://schemas.openxmlformats.org/officeDocument/2006/relationships/hyperlink" Target="https://learn.microsoft.com/en-us/windows/client-management/mdm/policy-csp-mssecurityguide?WT.mc_id=Portal-fx" TargetMode="External"/><Relationship Id="rId142" Type="http://schemas.openxmlformats.org/officeDocument/2006/relationships/hyperlink" Target="https://learn.microsoft.com/en-us/windows/client-management/mdm/policy-csp-internetexplorer?WT.mc_id=Portal-fx" TargetMode="External"/><Relationship Id="rId184" Type="http://schemas.openxmlformats.org/officeDocument/2006/relationships/hyperlink" Target="https://learn.microsoft.com/en-us/windows/client-management/mdm/policy-csp-internetexplorer?WT.mc_id=Portal-fx" TargetMode="External"/><Relationship Id="rId391" Type="http://schemas.openxmlformats.org/officeDocument/2006/relationships/hyperlink" Target="https://learn.microsoft.com/en-us/intune/device-security/security-baselines/ref-windows-mdm-settings?pivots=mdm-24h2" TargetMode="External"/><Relationship Id="rId405" Type="http://schemas.openxmlformats.org/officeDocument/2006/relationships/hyperlink" Target="https://learn.microsoft.com/en-us/intune/device-security/security-baselines/ref-windows-mdm-settings?pivots=mdm-24h2" TargetMode="External"/><Relationship Id="rId447" Type="http://schemas.openxmlformats.org/officeDocument/2006/relationships/hyperlink" Target="https://learn.microsoft.com/en-us/intune/device-security/security-baselines/ref-windows-mdm-settings?pivots=mdm-24h2" TargetMode="External"/><Relationship Id="rId612" Type="http://schemas.openxmlformats.org/officeDocument/2006/relationships/hyperlink" Target="https://learn.microsoft.com/en-us/intune/device-security/security-baselines/ref-windows-mdm-settings?pivots=mdm-24h2" TargetMode="External"/><Relationship Id="rId251" Type="http://schemas.openxmlformats.org/officeDocument/2006/relationships/hyperlink" Target="https://learn.microsoft.com/en-us/intune/device-security/security-baselines/ref-windows-mdm-settings?pivots=mdm-24h2" TargetMode="External"/><Relationship Id="rId489" Type="http://schemas.openxmlformats.org/officeDocument/2006/relationships/hyperlink" Target="https://learn.microsoft.com/en-us/intune/device-security/security-baselines/ref-windows-mdm-settings?pivots=mdm-24h2" TargetMode="External"/><Relationship Id="rId654" Type="http://schemas.openxmlformats.org/officeDocument/2006/relationships/hyperlink" Target="https://learn.microsoft.com/en-us/intune/device-security/security-baselines/ref-windows-mdm-settings?pivots=mdm-24h2" TargetMode="External"/><Relationship Id="rId696" Type="http://schemas.openxmlformats.org/officeDocument/2006/relationships/hyperlink" Target="https://learn.microsoft.com/en-us/intune/device-security/security-baselines/ref-windows-mdm-settings?pivots=mdm-24h2" TargetMode="External"/><Relationship Id="rId46" Type="http://schemas.openxmlformats.org/officeDocument/2006/relationships/hyperlink" Target="https://learn.microsoft.com/en-us/windows/client-management/mdm/policy-csp-printers?WT.mc_id=Portal-fx" TargetMode="External"/><Relationship Id="rId293" Type="http://schemas.openxmlformats.org/officeDocument/2006/relationships/hyperlink" Target="https://learn.microsoft.com/en-us/intune/device-security/security-baselines/ref-windows-mdm-settings?pivots=mdm-24h2" TargetMode="External"/><Relationship Id="rId307" Type="http://schemas.openxmlformats.org/officeDocument/2006/relationships/hyperlink" Target="https://learn.microsoft.com/en-us/intune/device-security/security-baselines/ref-windows-mdm-settings?pivots=mdm-24h2" TargetMode="External"/><Relationship Id="rId349" Type="http://schemas.openxmlformats.org/officeDocument/2006/relationships/hyperlink" Target="https://learn.microsoft.com/en-us/intune/device-security/security-baselines/ref-windows-mdm-settings?pivots=mdm-24h2" TargetMode="External"/><Relationship Id="rId514" Type="http://schemas.openxmlformats.org/officeDocument/2006/relationships/hyperlink" Target="https://learn.microsoft.com/en-us/intune/device-security/security-baselines/ref-windows-mdm-settings?pivots=mdm-24h2" TargetMode="External"/><Relationship Id="rId556" Type="http://schemas.openxmlformats.org/officeDocument/2006/relationships/hyperlink" Target="https://learn.microsoft.com/en-us/intune/device-security/security-baselines/ref-windows-mdm-settings?pivots=mdm-24h2" TargetMode="External"/><Relationship Id="rId721" Type="http://schemas.openxmlformats.org/officeDocument/2006/relationships/hyperlink" Target="https://learn.microsoft.com/en-us/windows/client-management/mdm/policy-csp-sudo" TargetMode="External"/><Relationship Id="rId88" Type="http://schemas.openxmlformats.org/officeDocument/2006/relationships/hyperlink" Target="https://learn.microsoft.com/en-us/windows/client-management/mdm/policy-csp-autoplay?WT.mc_id=Portal-fx" TargetMode="External"/><Relationship Id="rId111" Type="http://schemas.openxmlformats.org/officeDocument/2006/relationships/hyperlink" Target="https://learn.microsoft.com/en-us/intune/device-security/security-baselines/ref-windows-mdm-settings?pivots=mdm-24h2" TargetMode="External"/><Relationship Id="rId153" Type="http://schemas.openxmlformats.org/officeDocument/2006/relationships/hyperlink" Target="https://learn.microsoft.com/en-us/intune/device-security/security-baselines/ref-windows-mdm-settings?pivots=mdm-24h2" TargetMode="External"/><Relationship Id="rId195" Type="http://schemas.openxmlformats.org/officeDocument/2006/relationships/hyperlink" Target="https://learn.microsoft.com/en-us/intune/device-security/security-baselines/ref-windows-mdm-settings?pivots=mdm-24h2" TargetMode="External"/><Relationship Id="rId209" Type="http://schemas.openxmlformats.org/officeDocument/2006/relationships/hyperlink" Target="https://learn.microsoft.com/en-us/intune/device-security/security-baselines/ref-windows-mdm-settings?pivots=mdm-24h2" TargetMode="External"/><Relationship Id="rId360" Type="http://schemas.openxmlformats.org/officeDocument/2006/relationships/hyperlink" Target="https://learn.microsoft.com/en-us/windows/client-management/mdm/policy-csp-internetexplorer?WT.mc_id=Portal-fx" TargetMode="External"/><Relationship Id="rId416" Type="http://schemas.openxmlformats.org/officeDocument/2006/relationships/hyperlink" Target="https://learn.microsoft.com/en-us/windows/client-management/mdm/policy-csp-Audit?WT.mc_id=Portal-fx" TargetMode="External"/><Relationship Id="rId598" Type="http://schemas.openxmlformats.org/officeDocument/2006/relationships/hyperlink" Target="https://learn.microsoft.com/en-us/intune/device-security/security-baselines/ref-windows-mdm-settings?pivots=mdm-24h2" TargetMode="External"/><Relationship Id="rId220" Type="http://schemas.openxmlformats.org/officeDocument/2006/relationships/hyperlink" Target="https://learn.microsoft.com/en-us/windows/client-management/mdm/policy-csp-internetexplorer?WT.mc_id=Portal-fx" TargetMode="External"/><Relationship Id="rId458" Type="http://schemas.openxmlformats.org/officeDocument/2006/relationships/hyperlink" Target="https://learn.microsoft.com/en-us/windows/security/threat-protection/microsoft-defender-atp/attack-surface-reduction?WT.mc_id=Portal-fx" TargetMode="External"/><Relationship Id="rId623" Type="http://schemas.openxmlformats.org/officeDocument/2006/relationships/hyperlink" Target="https://learn.microsoft.com/en-us/windows/client-management/mdm/policy-csp-LocalPoliciesSecurityOptions?WT.mc_id=Portal-fx" TargetMode="External"/><Relationship Id="rId665" Type="http://schemas.openxmlformats.org/officeDocument/2006/relationships/hyperlink" Target="https://learn.microsoft.com/en-us/windows/client-management/mdm/policy-csp-TaskScheduler?WT.mc_id=Portal-fx" TargetMode="External"/><Relationship Id="rId15" Type="http://schemas.openxmlformats.org/officeDocument/2006/relationships/hyperlink" Target="https://learn.microsoft.com/en-us/intune/device-security/security-baselines/ref-windows-mdm-settings?pivots=mdm-24h2" TargetMode="External"/><Relationship Id="rId57" Type="http://schemas.openxmlformats.org/officeDocument/2006/relationships/hyperlink" Target="https://learn.microsoft.com/en-us/intune/device-security/security-baselines/ref-windows-mdm-settings?pivots=mdm-24h2" TargetMode="External"/><Relationship Id="rId262" Type="http://schemas.openxmlformats.org/officeDocument/2006/relationships/hyperlink" Target="https://learn.microsoft.com/en-us/windows/client-management/mdm/policy-csp-internetexplorer?WT.mc_id=Portal-fx" TargetMode="External"/><Relationship Id="rId318" Type="http://schemas.openxmlformats.org/officeDocument/2006/relationships/hyperlink" Target="https://learn.microsoft.com/en-us/windows/client-management/mdm/policy-csp-internetexplorer?WT.mc_id=Portal-fx" TargetMode="External"/><Relationship Id="rId525" Type="http://schemas.openxmlformats.org/officeDocument/2006/relationships/hyperlink" Target="https://learn.microsoft.com/en-us/windows/client-management/mdm/Firewall-csp?WT.mc_id=Portal-fx" TargetMode="External"/><Relationship Id="rId567" Type="http://schemas.openxmlformats.org/officeDocument/2006/relationships/hyperlink" Target="https://learn.microsoft.com/en-us/windows/client-management/mdm/policy-csp-lanmanserver" TargetMode="External"/><Relationship Id="rId99" Type="http://schemas.openxmlformats.org/officeDocument/2006/relationships/hyperlink" Target="https://learn.microsoft.com/en-us/intune/device-security/security-baselines/ref-windows-mdm-settings?pivots=mdm-24h2" TargetMode="External"/><Relationship Id="rId122" Type="http://schemas.openxmlformats.org/officeDocument/2006/relationships/hyperlink" Target="https://learn.microsoft.com/en-us/windows/client-management/mdm/policy-csp-internetexplorer?WT.mc_id=Portal-fx" TargetMode="External"/><Relationship Id="rId164" Type="http://schemas.openxmlformats.org/officeDocument/2006/relationships/hyperlink" Target="https://learn.microsoft.com/en-us/windows/client-management/mdm/policy-csp-internetexplorer?WT.mc_id=Portal-fx" TargetMode="External"/><Relationship Id="rId371" Type="http://schemas.openxmlformats.org/officeDocument/2006/relationships/hyperlink" Target="https://learn.microsoft.com/en-us/intune/device-security/security-baselines/ref-windows-mdm-settings?pivots=mdm-24h2" TargetMode="External"/><Relationship Id="rId427" Type="http://schemas.openxmlformats.org/officeDocument/2006/relationships/hyperlink" Target="https://learn.microsoft.com/en-us/intune/device-security/security-baselines/ref-windows-mdm-settings?pivots=mdm-24h2" TargetMode="External"/><Relationship Id="rId469" Type="http://schemas.openxmlformats.org/officeDocument/2006/relationships/hyperlink" Target="https://learn.microsoft.com/en-us/intune/device-security/security-baselines/ref-windows-mdm-settings?pivots=mdm-24h2" TargetMode="External"/><Relationship Id="rId634" Type="http://schemas.openxmlformats.org/officeDocument/2006/relationships/hyperlink" Target="https://learn.microsoft.com/en-us/intune/device-security/security-baselines/ref-windows-mdm-settings?pivots=mdm-24h2" TargetMode="External"/><Relationship Id="rId676" Type="http://schemas.openxmlformats.org/officeDocument/2006/relationships/hyperlink" Target="https://learn.microsoft.com/en-us/intune/device-security/security-baselines/ref-windows-mdm-settings?pivots=mdm-24h2" TargetMode="External"/><Relationship Id="rId26" Type="http://schemas.openxmlformats.org/officeDocument/2006/relationships/hyperlink" Target="https://learn.microsoft.com/en-us/windows/client-management/mdm/policy-csp-admx-networkconnections?WT.mc_id=Portal-fx" TargetMode="External"/><Relationship Id="rId231" Type="http://schemas.openxmlformats.org/officeDocument/2006/relationships/hyperlink" Target="https://learn.microsoft.com/en-us/intune/device-security/security-baselines/ref-windows-mdm-settings?pivots=mdm-24h2" TargetMode="External"/><Relationship Id="rId273" Type="http://schemas.openxmlformats.org/officeDocument/2006/relationships/hyperlink" Target="https://learn.microsoft.com/en-us/intune/device-security/security-baselines/ref-windows-mdm-settings?pivots=mdm-24h2" TargetMode="External"/><Relationship Id="rId329" Type="http://schemas.openxmlformats.org/officeDocument/2006/relationships/hyperlink" Target="https://learn.microsoft.com/en-us/intune/device-security/security-baselines/ref-windows-mdm-settings?pivots=mdm-24h2" TargetMode="External"/><Relationship Id="rId480" Type="http://schemas.openxmlformats.org/officeDocument/2006/relationships/hyperlink" Target="https://learn.microsoft.com/en-us/windows/client-management/mdm/Defender-csp?WT.mc_id=Portal-fx" TargetMode="External"/><Relationship Id="rId536" Type="http://schemas.openxmlformats.org/officeDocument/2006/relationships/hyperlink" Target="https://learn.microsoft.com/en-us/intune/device-security/security-baselines/ref-windows-mdm-settings?pivots=mdm-24h2" TargetMode="External"/><Relationship Id="rId701" Type="http://schemas.openxmlformats.org/officeDocument/2006/relationships/hyperlink" Target="https://learn.microsoft.com/en-us/windows/client-management/mdm/policy-csp-VirtualizationBasedTechnology?WT.mc_id=Portal-fx" TargetMode="External"/><Relationship Id="rId68" Type="http://schemas.openxmlformats.org/officeDocument/2006/relationships/hyperlink" Target="https://learn.microsoft.com/en-us/windows/client-management/mdm/policy-csp-lsa" TargetMode="External"/><Relationship Id="rId133" Type="http://schemas.openxmlformats.org/officeDocument/2006/relationships/hyperlink" Target="https://learn.microsoft.com/en-us/intune/device-security/security-baselines/ref-windows-mdm-settings?pivots=mdm-24h2" TargetMode="External"/><Relationship Id="rId175" Type="http://schemas.openxmlformats.org/officeDocument/2006/relationships/hyperlink" Target="https://learn.microsoft.com/en-us/intune/device-security/security-baselines/ref-windows-mdm-settings?pivots=mdm-24h2" TargetMode="External"/><Relationship Id="rId340" Type="http://schemas.openxmlformats.org/officeDocument/2006/relationships/hyperlink" Target="https://learn.microsoft.com/en-us/windows/client-management/mdm/policy-csp-internetexplorer?WT.mc_id=Portal-fx" TargetMode="External"/><Relationship Id="rId578" Type="http://schemas.openxmlformats.org/officeDocument/2006/relationships/hyperlink" Target="https://learn.microsoft.com/en-us/intune/device-security/security-baselines/ref-windows-mdm-settings?pivots=mdm-24h2" TargetMode="External"/><Relationship Id="rId200" Type="http://schemas.openxmlformats.org/officeDocument/2006/relationships/hyperlink" Target="https://learn.microsoft.com/en-us/windows/client-management/mdm/policy-csp-internetexplorer?WT.mc_id=Portal-fx" TargetMode="External"/><Relationship Id="rId382" Type="http://schemas.openxmlformats.org/officeDocument/2006/relationships/hyperlink" Target="https://learn.microsoft.com/en-us/windows/client-management/mdm/policy-csp-Audit?WT.mc_id=Portal-fx" TargetMode="External"/><Relationship Id="rId438" Type="http://schemas.openxmlformats.org/officeDocument/2006/relationships/hyperlink" Target="https://learn.microsoft.com/en-us/windows/client-management/mdm/policy-csp-defender?WT.mc_id=Portal-fx" TargetMode="External"/><Relationship Id="rId603" Type="http://schemas.openxmlformats.org/officeDocument/2006/relationships/hyperlink" Target="https://learn.microsoft.com/en-us/windows/client-management/mdm/policy-csp-LocalPoliciesSecurityOptions?WT.mc_id=Portal-fx" TargetMode="External"/><Relationship Id="rId645" Type="http://schemas.openxmlformats.org/officeDocument/2006/relationships/hyperlink" Target="https://learn.microsoft.com/en-us/windows/client-management/mdm/policy-csp-Privacy?WT.mc_id=Portal-fx" TargetMode="External"/><Relationship Id="rId687" Type="http://schemas.openxmlformats.org/officeDocument/2006/relationships/hyperlink" Target="https://learn.microsoft.com/en-us/windows/client-management/mdm/policy-csp-UserRights?WT.mc_id=Portal-fx" TargetMode="External"/><Relationship Id="rId242" Type="http://schemas.openxmlformats.org/officeDocument/2006/relationships/hyperlink" Target="https://learn.microsoft.com/en-us/windows/client-management/mdm/policy-csp-internetexplorer?WT.mc_id=Portal-fx" TargetMode="External"/><Relationship Id="rId284" Type="http://schemas.openxmlformats.org/officeDocument/2006/relationships/hyperlink" Target="https://learn.microsoft.com/en-us/windows/client-management/mdm/policy-csp-internetexplorer?WT.mc_id=Portal-fx" TargetMode="External"/><Relationship Id="rId491" Type="http://schemas.openxmlformats.org/officeDocument/2006/relationships/hyperlink" Target="https://learn.microsoft.com/en-us/windows/client-management/mdm/policy-csp-defender?WT.mc_id=Portal-fx" TargetMode="External"/><Relationship Id="rId505" Type="http://schemas.openxmlformats.org/officeDocument/2006/relationships/hyperlink" Target="https://learn.microsoft.com/en-us/windows/client-management/mdm/policy-csp-deviceguard?WT.mc_id=Portal-fx" TargetMode="External"/><Relationship Id="rId712" Type="http://schemas.openxmlformats.org/officeDocument/2006/relationships/hyperlink" Target="https://learn.microsoft.com/en-us/intune/device-security/security-baselines/ref-windows-mdm-settings?pivots=mdm-24h2" TargetMode="External"/><Relationship Id="rId37" Type="http://schemas.openxmlformats.org/officeDocument/2006/relationships/hyperlink" Target="https://learn.microsoft.com/en-us/intune/device-security/security-baselines/ref-windows-mdm-settings?pivots=mdm-24h2" TargetMode="External"/><Relationship Id="rId79" Type="http://schemas.openxmlformats.org/officeDocument/2006/relationships/hyperlink" Target="https://learn.microsoft.com/en-us/intune/device-security/security-baselines/ref-windows-mdm-settings?pivots=mdm-24h2" TargetMode="External"/><Relationship Id="rId102" Type="http://schemas.openxmlformats.org/officeDocument/2006/relationships/hyperlink" Target="https://learn.microsoft.com/en-us/windows/client-management/mdm/policy-csp-admx-windowsexplorer?WT.mc_id=Portal-fx" TargetMode="External"/><Relationship Id="rId144" Type="http://schemas.openxmlformats.org/officeDocument/2006/relationships/hyperlink" Target="https://learn.microsoft.com/en-us/windows/client-management/mdm/policy-csp-internetexplorer?WT.mc_id=Portal-fx" TargetMode="External"/><Relationship Id="rId547" Type="http://schemas.openxmlformats.org/officeDocument/2006/relationships/hyperlink" Target="https://learn.microsoft.com/en-us/windows/client-management/mdm/firewall-csp?WT.mc_id=Portal-fx" TargetMode="External"/><Relationship Id="rId589" Type="http://schemas.openxmlformats.org/officeDocument/2006/relationships/hyperlink" Target="https://learn.microsoft.com/en-us/windows/client-management/mdm/policy-csp-LanmanWorkstation?WT.mc_id=Portal-fx" TargetMode="External"/><Relationship Id="rId90" Type="http://schemas.openxmlformats.org/officeDocument/2006/relationships/hyperlink" Target="https://learn.microsoft.com/en-us/windows/client-management/mdm/bitlocker-csp?WT.mc_id=Portal-fx" TargetMode="External"/><Relationship Id="rId186" Type="http://schemas.openxmlformats.org/officeDocument/2006/relationships/hyperlink" Target="https://learn.microsoft.com/en-us/windows/client-management/mdm/policy-csp-internetexplorer?WT.mc_id=Portal-fx" TargetMode="External"/><Relationship Id="rId351" Type="http://schemas.openxmlformats.org/officeDocument/2006/relationships/hyperlink" Target="https://learn.microsoft.com/en-us/intune/device-security/security-baselines/ref-windows-mdm-settings?pivots=mdm-24h2" TargetMode="External"/><Relationship Id="rId393" Type="http://schemas.openxmlformats.org/officeDocument/2006/relationships/hyperlink" Target="https://learn.microsoft.com/en-us/intune/device-security/security-baselines/ref-windows-mdm-settings?pivots=mdm-24h2" TargetMode="External"/><Relationship Id="rId407" Type="http://schemas.openxmlformats.org/officeDocument/2006/relationships/hyperlink" Target="https://learn.microsoft.com/en-us/intune/device-security/security-baselines/ref-windows-mdm-settings?pivots=mdm-24h2" TargetMode="External"/><Relationship Id="rId449" Type="http://schemas.openxmlformats.org/officeDocument/2006/relationships/hyperlink" Target="https://learn.microsoft.com/en-us/intune/device-security/security-baselines/ref-windows-mdm-settings?pivots=mdm-24h2" TargetMode="External"/><Relationship Id="rId614" Type="http://schemas.openxmlformats.org/officeDocument/2006/relationships/hyperlink" Target="https://learn.microsoft.com/en-us/intune/device-security/security-baselines/ref-windows-mdm-settings?pivots=mdm-24h2" TargetMode="External"/><Relationship Id="rId656" Type="http://schemas.openxmlformats.org/officeDocument/2006/relationships/hyperlink" Target="https://learn.microsoft.com/en-us/intune/device-security/security-baselines/ref-windows-mdm-settings?pivots=mdm-24h2" TargetMode="External"/><Relationship Id="rId211" Type="http://schemas.openxmlformats.org/officeDocument/2006/relationships/hyperlink" Target="https://learn.microsoft.com/en-us/intune/device-security/security-baselines/ref-windows-mdm-settings?pivots=mdm-24h2" TargetMode="External"/><Relationship Id="rId253" Type="http://schemas.openxmlformats.org/officeDocument/2006/relationships/hyperlink" Target="https://learn.microsoft.com/en-us/intune/device-security/security-baselines/ref-windows-mdm-settings?pivots=mdm-24h2" TargetMode="External"/><Relationship Id="rId295" Type="http://schemas.openxmlformats.org/officeDocument/2006/relationships/hyperlink" Target="https://learn.microsoft.com/en-us/intune/device-security/security-baselines/ref-windows-mdm-settings?pivots=mdm-24h2" TargetMode="External"/><Relationship Id="rId309" Type="http://schemas.openxmlformats.org/officeDocument/2006/relationships/hyperlink" Target="https://learn.microsoft.com/en-us/intune/device-security/security-baselines/ref-windows-mdm-settings?pivots=mdm-24h2" TargetMode="External"/><Relationship Id="rId460" Type="http://schemas.openxmlformats.org/officeDocument/2006/relationships/hyperlink" Target="https://learn.microsoft.com/en-us/windows/security/threat-protection/microsoft-defender-atp/attack-surface-reduction?WT.mc_id=Portal-fx" TargetMode="External"/><Relationship Id="rId516" Type="http://schemas.openxmlformats.org/officeDocument/2006/relationships/hyperlink" Target="https://learn.microsoft.com/en-us/intune/device-security/security-baselines/ref-windows-mdm-settings?pivots=mdm-24h2" TargetMode="External"/><Relationship Id="rId698" Type="http://schemas.openxmlformats.org/officeDocument/2006/relationships/hyperlink" Target="https://learn.microsoft.com/en-us/intune/device-security/security-baselines/ref-windows-mdm-settings?pivots=mdm-24h2" TargetMode="External"/><Relationship Id="rId48" Type="http://schemas.openxmlformats.org/officeDocument/2006/relationships/hyperlink" Target="https://learn.microsoft.com/en-us/windows/client-management/mdm/policy-csp-admx-wpn?WT.mc_id=Portal-fx" TargetMode="External"/><Relationship Id="rId113" Type="http://schemas.openxmlformats.org/officeDocument/2006/relationships/hyperlink" Target="https://learn.microsoft.com/en-us/intune/device-security/security-baselines/ref-windows-mdm-settings?pivots=mdm-24h2" TargetMode="External"/><Relationship Id="rId320" Type="http://schemas.openxmlformats.org/officeDocument/2006/relationships/hyperlink" Target="https://learn.microsoft.com/en-us/windows/client-management/mdm/policy-csp-internetexplorer?WT.mc_id=Portal-fx" TargetMode="External"/><Relationship Id="rId558" Type="http://schemas.openxmlformats.org/officeDocument/2006/relationships/hyperlink" Target="https://learn.microsoft.com/en-us/intune/device-security/security-baselines/ref-windows-mdm-settings?pivots=mdm-24h2" TargetMode="External"/><Relationship Id="rId723" Type="http://schemas.openxmlformats.org/officeDocument/2006/relationships/table" Target="../tables/table1.xml"/><Relationship Id="rId155" Type="http://schemas.openxmlformats.org/officeDocument/2006/relationships/hyperlink" Target="https://learn.microsoft.com/en-us/intune/device-security/security-baselines/ref-windows-mdm-settings?pivots=mdm-24h2" TargetMode="External"/><Relationship Id="rId197" Type="http://schemas.openxmlformats.org/officeDocument/2006/relationships/hyperlink" Target="https://learn.microsoft.com/en-us/intune/device-security/security-baselines/ref-windows-mdm-settings?pivots=mdm-24h2" TargetMode="External"/><Relationship Id="rId362" Type="http://schemas.openxmlformats.org/officeDocument/2006/relationships/hyperlink" Target="https://learn.microsoft.com/en-us/windows/client-management/mdm/policy-csp-windowslogon?WT.mc_id=Portal-fx" TargetMode="External"/><Relationship Id="rId418" Type="http://schemas.openxmlformats.org/officeDocument/2006/relationships/hyperlink" Target="https://learn.microsoft.com/en-us/windows/client-management/mdm/policy-csp-Audit?WT.mc_id=Portal-fx" TargetMode="External"/><Relationship Id="rId625" Type="http://schemas.openxmlformats.org/officeDocument/2006/relationships/hyperlink" Target="https://learn.microsoft.com/en-us/windows/client-management/mdm/policy-csp-LocalPoliciesSecurityOptions?WT.mc_id=Portal-fx" TargetMode="External"/><Relationship Id="rId222" Type="http://schemas.openxmlformats.org/officeDocument/2006/relationships/hyperlink" Target="https://learn.microsoft.com/en-us/windows/client-management/mdm/policy-csp-internetexplorer?WT.mc_id=Portal-fx" TargetMode="External"/><Relationship Id="rId264" Type="http://schemas.openxmlformats.org/officeDocument/2006/relationships/hyperlink" Target="https://learn.microsoft.com/en-us/windows/client-management/mdm/policy-csp-internetexplorer?WT.mc_id=Portal-fx" TargetMode="External"/><Relationship Id="rId471" Type="http://schemas.openxmlformats.org/officeDocument/2006/relationships/hyperlink" Target="https://learn.microsoft.com/en-us/intune/device-security/security-baselines/ref-windows-mdm-settings?pivots=mdm-24h2" TargetMode="External"/><Relationship Id="rId667" Type="http://schemas.openxmlformats.org/officeDocument/2006/relationships/hyperlink" Target="https://learn.microsoft.com/en-us/windows/client-management/mdm/policy-csp-UserRights?WT.mc_id=Portal-fx" TargetMode="External"/><Relationship Id="rId17" Type="http://schemas.openxmlformats.org/officeDocument/2006/relationships/hyperlink" Target="https://learn.microsoft.com/en-us/intune/device-security/security-baselines/ref-windows-mdm-settings?pivots=mdm-24h2" TargetMode="External"/><Relationship Id="rId59" Type="http://schemas.openxmlformats.org/officeDocument/2006/relationships/hyperlink" Target="https://learn.microsoft.com/en-us/intune/device-security/security-baselines/ref-windows-mdm-settings?pivots=mdm-24h2" TargetMode="External"/><Relationship Id="rId124" Type="http://schemas.openxmlformats.org/officeDocument/2006/relationships/hyperlink" Target="https://learn.microsoft.com/en-us/windows/client-management/mdm/policy-csp-internetexplorer?WT.mc_id=Portal-fx" TargetMode="External"/><Relationship Id="rId527" Type="http://schemas.openxmlformats.org/officeDocument/2006/relationships/hyperlink" Target="https://learn.microsoft.com/en-us/windows/client-management/mdm/firewall-csp?WT.mc_id=Portal-fx" TargetMode="External"/><Relationship Id="rId569" Type="http://schemas.openxmlformats.org/officeDocument/2006/relationships/hyperlink" Target="https://learn.microsoft.com/en-us/windows/client-management/mdm/policy-csp-lanmanserver" TargetMode="External"/><Relationship Id="rId70" Type="http://schemas.openxmlformats.org/officeDocument/2006/relationships/hyperlink" Target="https://learn.microsoft.com/en-us/windows/client-management/mdm/policy-csp-power?WT.mc_id=Portal-fx" TargetMode="External"/><Relationship Id="rId166" Type="http://schemas.openxmlformats.org/officeDocument/2006/relationships/hyperlink" Target="https://learn.microsoft.com/en-us/windows/client-management/mdm/policy-csp-internetexplorer?WT.mc_id=Portal-fx" TargetMode="External"/><Relationship Id="rId331" Type="http://schemas.openxmlformats.org/officeDocument/2006/relationships/hyperlink" Target="https://learn.microsoft.com/en-us/intune/device-security/security-baselines/ref-windows-mdm-settings?pivots=mdm-24h2" TargetMode="External"/><Relationship Id="rId373" Type="http://schemas.openxmlformats.org/officeDocument/2006/relationships/hyperlink" Target="https://learn.microsoft.com/en-us/intune/device-security/security-baselines/ref-windows-mdm-settings?pivots=mdm-24h2" TargetMode="External"/><Relationship Id="rId429" Type="http://schemas.openxmlformats.org/officeDocument/2006/relationships/hyperlink" Target="https://learn.microsoft.com/en-us/intune/device-security/security-baselines/ref-windows-mdm-settings?pivots=mdm-24h2" TargetMode="External"/><Relationship Id="rId580" Type="http://schemas.openxmlformats.org/officeDocument/2006/relationships/hyperlink" Target="https://learn.microsoft.com/en-us/intune/device-security/security-baselines/ref-windows-mdm-settings?pivots=mdm-24h2" TargetMode="External"/><Relationship Id="rId636" Type="http://schemas.openxmlformats.org/officeDocument/2006/relationships/hyperlink" Target="https://learn.microsoft.com/en-us/intune/device-security/security-baselines/ref-windows-mdm-settings?pivots=mdm-24h2" TargetMode="External"/><Relationship Id="rId1" Type="http://schemas.openxmlformats.org/officeDocument/2006/relationships/hyperlink" Target="https://learn.microsoft.com/en-us/intune/device-security/security-baselines/ref-windows-mdm-settings?pivots=mdm-24h2" TargetMode="External"/><Relationship Id="rId233" Type="http://schemas.openxmlformats.org/officeDocument/2006/relationships/hyperlink" Target="https://learn.microsoft.com/en-us/intune/device-security/security-baselines/ref-windows-mdm-settings?pivots=mdm-24h2" TargetMode="External"/><Relationship Id="rId440" Type="http://schemas.openxmlformats.org/officeDocument/2006/relationships/hyperlink" Target="https://learn.microsoft.com/en-us/windows/client-management/mdm/policy-csp-defender?WT.mc_id=Portal-fx" TargetMode="External"/><Relationship Id="rId678" Type="http://schemas.openxmlformats.org/officeDocument/2006/relationships/hyperlink" Target="https://learn.microsoft.com/en-us/intune/device-security/security-baselines/ref-windows-mdm-settings?pivots=mdm-24h2" TargetMode="External"/><Relationship Id="rId28" Type="http://schemas.openxmlformats.org/officeDocument/2006/relationships/hyperlink" Target="https://learn.microsoft.com/en-us/windows/client-management/mdm/policy-csp-connectivity?WT.mc_id=Portal-fx" TargetMode="External"/><Relationship Id="rId275" Type="http://schemas.openxmlformats.org/officeDocument/2006/relationships/hyperlink" Target="https://learn.microsoft.com/en-us/intune/device-security/security-baselines/ref-windows-mdm-settings?pivots=mdm-24h2" TargetMode="External"/><Relationship Id="rId300" Type="http://schemas.openxmlformats.org/officeDocument/2006/relationships/hyperlink" Target="https://learn.microsoft.com/en-us/windows/client-management/mdm/policy-csp-internetexplorer?WT.mc_id=Portal-fx" TargetMode="External"/><Relationship Id="rId482" Type="http://schemas.openxmlformats.org/officeDocument/2006/relationships/hyperlink" Target="https://learn.microsoft.com/en-us/windows/client-management/mdm/Defender-csp?WT.mc_id=Portal-fx" TargetMode="External"/><Relationship Id="rId538" Type="http://schemas.openxmlformats.org/officeDocument/2006/relationships/hyperlink" Target="https://learn.microsoft.com/en-us/intune/device-security/security-baselines/ref-windows-mdm-settings?pivots=mdm-24h2" TargetMode="External"/><Relationship Id="rId703" Type="http://schemas.openxmlformats.org/officeDocument/2006/relationships/hyperlink" Target="https://learn.microsoft.com/en-us/windows/client-management/mdm/policy-csp-wifi?WT.mc_id=Portal-fx" TargetMode="External"/><Relationship Id="rId81" Type="http://schemas.openxmlformats.org/officeDocument/2006/relationships/hyperlink" Target="https://learn.microsoft.com/en-us/intune/device-security/security-baselines/ref-windows-mdm-settings?pivots=mdm-24h2" TargetMode="External"/><Relationship Id="rId135" Type="http://schemas.openxmlformats.org/officeDocument/2006/relationships/hyperlink" Target="https://learn.microsoft.com/en-us/intune/device-security/security-baselines/ref-windows-mdm-settings?pivots=mdm-24h2" TargetMode="External"/><Relationship Id="rId177" Type="http://schemas.openxmlformats.org/officeDocument/2006/relationships/hyperlink" Target="https://learn.microsoft.com/en-us/intune/device-security/security-baselines/ref-windows-mdm-settings?pivots=mdm-24h2" TargetMode="External"/><Relationship Id="rId342" Type="http://schemas.openxmlformats.org/officeDocument/2006/relationships/hyperlink" Target="https://learn.microsoft.com/en-us/windows/client-management/mdm/policy-csp-admx-microsoftdefenderantivirus?WT.mc_id=Portal-fx" TargetMode="External"/><Relationship Id="rId384" Type="http://schemas.openxmlformats.org/officeDocument/2006/relationships/hyperlink" Target="https://learn.microsoft.com/en-us/windows/client-management/mdm/policy-csp-Audit?WT.mc_id=Portal-fx" TargetMode="External"/><Relationship Id="rId591" Type="http://schemas.openxmlformats.org/officeDocument/2006/relationships/hyperlink" Target="https://learn.microsoft.com/en-us/windows/client-management/mdm/policy-csp-LanmanWorkstation" TargetMode="External"/><Relationship Id="rId605" Type="http://schemas.openxmlformats.org/officeDocument/2006/relationships/hyperlink" Target="https://learn.microsoft.com/en-us/windows/client-management/mdm/policy-csp-LocalPoliciesSecurityOptions?WT.mc_id=Portal-fx" TargetMode="External"/><Relationship Id="rId202" Type="http://schemas.openxmlformats.org/officeDocument/2006/relationships/hyperlink" Target="https://learn.microsoft.com/en-us/windows/client-management/mdm/policy-csp-internetexplorer?WT.mc_id=Portal-fx" TargetMode="External"/><Relationship Id="rId244" Type="http://schemas.openxmlformats.org/officeDocument/2006/relationships/hyperlink" Target="https://learn.microsoft.com/en-us/windows/client-management/mdm/policy-csp-internetexplorer?WT.mc_id=Portal-fx" TargetMode="External"/><Relationship Id="rId647" Type="http://schemas.openxmlformats.org/officeDocument/2006/relationships/hyperlink" Target="https://learn.microsoft.com/en-us/windows/client-management/mdm/policy-csp-Search?WT.mc_id=Portal-fx" TargetMode="External"/><Relationship Id="rId689" Type="http://schemas.openxmlformats.org/officeDocument/2006/relationships/hyperlink" Target="https://learn.microsoft.com/en-us/windows/client-management/mdm/policy-csp-UserRights?WT.mc_id=Portal-fx" TargetMode="External"/><Relationship Id="rId39" Type="http://schemas.openxmlformats.org/officeDocument/2006/relationships/hyperlink" Target="https://learn.microsoft.com/en-us/intune/device-security/security-baselines/ref-windows-mdm-settings?pivots=mdm-24h2" TargetMode="External"/><Relationship Id="rId286" Type="http://schemas.openxmlformats.org/officeDocument/2006/relationships/hyperlink" Target="https://learn.microsoft.com/en-us/windows/client-management/mdm/policy-csp-internetexplorer?WT.mc_id=Portal-fx" TargetMode="External"/><Relationship Id="rId451" Type="http://schemas.openxmlformats.org/officeDocument/2006/relationships/hyperlink" Target="https://learn.microsoft.com/en-us/intune/device-security/security-baselines/ref-windows-mdm-settings?pivots=mdm-24h2" TargetMode="External"/><Relationship Id="rId493" Type="http://schemas.openxmlformats.org/officeDocument/2006/relationships/hyperlink" Target="https://learn.microsoft.com/en-us/windows/client-management/mdm/Defender-csp?WT.mc_id=Portal-fx" TargetMode="External"/><Relationship Id="rId507" Type="http://schemas.openxmlformats.org/officeDocument/2006/relationships/hyperlink" Target="https://learn.microsoft.com/en-us/windows/client-management/mdm/policy-csp-deviceguard?WT.mc_id=Portal-fx" TargetMode="External"/><Relationship Id="rId549" Type="http://schemas.openxmlformats.org/officeDocument/2006/relationships/hyperlink" Target="https://learn.microsoft.com/en-us/windows/client-management/mdm/firewall-csp?WT.mc_id=Portal-fx" TargetMode="External"/><Relationship Id="rId714" Type="http://schemas.openxmlformats.org/officeDocument/2006/relationships/hyperlink" Target="https://learn.microsoft.com/en-us/intune/device-security/security-baselines/ref-windows-mdm-settings?pivots=mdm-24h2" TargetMode="External"/><Relationship Id="rId50" Type="http://schemas.openxmlformats.org/officeDocument/2006/relationships/hyperlink" Target="https://learn.microsoft.com/en-us/windows/client-management/mdm/policy-csp-admx-credssp?WT.mc_id=Portal-fx" TargetMode="External"/><Relationship Id="rId104" Type="http://schemas.openxmlformats.org/officeDocument/2006/relationships/hyperlink" Target="https://learn.microsoft.com/en-us/windows/client-management/mdm/policy-csp-fileexplorer?WT.mc_id=Portal-fx" TargetMode="External"/><Relationship Id="rId146" Type="http://schemas.openxmlformats.org/officeDocument/2006/relationships/hyperlink" Target="https://learn.microsoft.com/en-us/windows/client-management/mdm/policy-csp-internetexplorer?WT.mc_id=Portal-fx" TargetMode="External"/><Relationship Id="rId188" Type="http://schemas.openxmlformats.org/officeDocument/2006/relationships/hyperlink" Target="https://learn.microsoft.com/en-us/windows/client-management/mdm/policy-csp-internetexplorer?WT.mc_id=Portal-fx" TargetMode="External"/><Relationship Id="rId311" Type="http://schemas.openxmlformats.org/officeDocument/2006/relationships/hyperlink" Target="https://learn.microsoft.com/en-us/intune/device-security/security-baselines/ref-windows-mdm-settings?pivots=mdm-24h2" TargetMode="External"/><Relationship Id="rId353" Type="http://schemas.openxmlformats.org/officeDocument/2006/relationships/hyperlink" Target="https://learn.microsoft.com/en-us/intune/device-security/security-baselines/ref-windows-mdm-settings?pivots=mdm-24h2" TargetMode="External"/><Relationship Id="rId395" Type="http://schemas.openxmlformats.org/officeDocument/2006/relationships/hyperlink" Target="https://learn.microsoft.com/en-us/intune/device-security/security-baselines/ref-windows-mdm-settings?pivots=mdm-24h2" TargetMode="External"/><Relationship Id="rId409" Type="http://schemas.openxmlformats.org/officeDocument/2006/relationships/hyperlink" Target="https://learn.microsoft.com/en-us/intune/device-security/security-baselines/ref-windows-mdm-settings?pivots=mdm-24h2" TargetMode="External"/><Relationship Id="rId560" Type="http://schemas.openxmlformats.org/officeDocument/2006/relationships/hyperlink" Target="https://learn.microsoft.com/en-us/intune/device-security/security-baselines/ref-windows-mdm-settings?pivots=mdm-24h2" TargetMode="External"/><Relationship Id="rId92" Type="http://schemas.openxmlformats.org/officeDocument/2006/relationships/hyperlink" Target="https://learn.microsoft.com/en-us/windows/client-management/mdm/bitlocker-csp?WT.mc_id=Portal-fx" TargetMode="External"/><Relationship Id="rId213" Type="http://schemas.openxmlformats.org/officeDocument/2006/relationships/hyperlink" Target="https://learn.microsoft.com/en-us/intune/device-security/security-baselines/ref-windows-mdm-settings?pivots=mdm-24h2" TargetMode="External"/><Relationship Id="rId420" Type="http://schemas.openxmlformats.org/officeDocument/2006/relationships/hyperlink" Target="https://learn.microsoft.com/en-us/windows/client-management/mdm/policy-csp-Audit?WT.mc_id=Portal-fx" TargetMode="External"/><Relationship Id="rId616" Type="http://schemas.openxmlformats.org/officeDocument/2006/relationships/hyperlink" Target="https://learn.microsoft.com/en-us/intune/device-security/security-baselines/ref-windows-mdm-settings?pivots=mdm-24h2" TargetMode="External"/><Relationship Id="rId658" Type="http://schemas.openxmlformats.org/officeDocument/2006/relationships/hyperlink" Target="https://learn.microsoft.com/en-us/intune/device-security/security-baselines/ref-windows-mdm-settings?pivots=mdm-24h2" TargetMode="External"/><Relationship Id="rId255" Type="http://schemas.openxmlformats.org/officeDocument/2006/relationships/hyperlink" Target="https://learn.microsoft.com/en-us/intune/device-security/security-baselines/ref-windows-mdm-settings?pivots=mdm-24h2" TargetMode="External"/><Relationship Id="rId297" Type="http://schemas.openxmlformats.org/officeDocument/2006/relationships/hyperlink" Target="https://learn.microsoft.com/en-us/intune/device-security/security-baselines/ref-windows-mdm-settings?pivots=mdm-24h2" TargetMode="External"/><Relationship Id="rId462" Type="http://schemas.openxmlformats.org/officeDocument/2006/relationships/hyperlink" Target="https://learn.microsoft.com/en-us/windows/security/threat-protection/microsoft-defender-atp/attack-surface-reduction?WT.mc_id=Portal-fx" TargetMode="External"/><Relationship Id="rId518" Type="http://schemas.openxmlformats.org/officeDocument/2006/relationships/hyperlink" Target="https://learn.microsoft.com/en-us/intune/device-security/security-baselines/ref-windows-mdm-settings?pivots=mdm-24h2" TargetMode="External"/><Relationship Id="rId115" Type="http://schemas.openxmlformats.org/officeDocument/2006/relationships/hyperlink" Target="https://learn.microsoft.com/en-us/intune/device-security/security-baselines/ref-windows-mdm-settings?pivots=mdm-24h2" TargetMode="External"/><Relationship Id="rId157" Type="http://schemas.openxmlformats.org/officeDocument/2006/relationships/hyperlink" Target="https://learn.microsoft.com/en-us/intune/device-security/security-baselines/ref-windows-mdm-settings?pivots=mdm-24h2" TargetMode="External"/><Relationship Id="rId322" Type="http://schemas.openxmlformats.org/officeDocument/2006/relationships/hyperlink" Target="https://learn.microsoft.com/en-us/windows/client-management/mdm/policy-csp-internetexplorer?WT.mc_id=Portal-fx" TargetMode="External"/><Relationship Id="rId364" Type="http://schemas.openxmlformats.org/officeDocument/2006/relationships/hyperlink" Target="https://learn.microsoft.com/en-us/windows/client-management/mdm/policy-csp-windowslogon?WT.mc_id=Portal-fx" TargetMode="External"/><Relationship Id="rId61" Type="http://schemas.openxmlformats.org/officeDocument/2006/relationships/hyperlink" Target="https://learn.microsoft.com/en-us/intune/device-security/security-baselines/ref-windows-mdm-settings?pivots=mdm-24h2" TargetMode="External"/><Relationship Id="rId199" Type="http://schemas.openxmlformats.org/officeDocument/2006/relationships/hyperlink" Target="https://learn.microsoft.com/en-us/intune/device-security/security-baselines/ref-windows-mdm-settings?pivots=mdm-24h2" TargetMode="External"/><Relationship Id="rId571" Type="http://schemas.openxmlformats.org/officeDocument/2006/relationships/hyperlink" Target="https://learn.microsoft.com/en-us/windows/client-management/mdm/policy-csp-lanmanserver" TargetMode="External"/><Relationship Id="rId627" Type="http://schemas.openxmlformats.org/officeDocument/2006/relationships/hyperlink" Target="https://learn.microsoft.com/en-us/windows/client-management/mdm/policy-csp-LocalPoliciesSecurityOptions?WT.mc_id=Portal-fx" TargetMode="External"/><Relationship Id="rId669" Type="http://schemas.openxmlformats.org/officeDocument/2006/relationships/hyperlink" Target="https://learn.microsoft.com/en-us/windows/client-management/mdm/policy-csp-UserRights?WT.mc_id=Portal-fx" TargetMode="External"/><Relationship Id="rId19" Type="http://schemas.openxmlformats.org/officeDocument/2006/relationships/hyperlink" Target="https://learn.microsoft.com/en-us/intune/device-security/security-baselines/ref-windows-mdm-settings?pivots=mdm-24h2" TargetMode="External"/><Relationship Id="rId224" Type="http://schemas.openxmlformats.org/officeDocument/2006/relationships/hyperlink" Target="https://learn.microsoft.com/en-us/windows/client-management/mdm/policy-csp-internetexplorer?WT.mc_id=Portal-fx" TargetMode="External"/><Relationship Id="rId266" Type="http://schemas.openxmlformats.org/officeDocument/2006/relationships/hyperlink" Target="https://learn.microsoft.com/en-us/windows/client-management/mdm/policy-csp-internetexplorer?WT.mc_id=Portal-fx" TargetMode="External"/><Relationship Id="rId431" Type="http://schemas.openxmlformats.org/officeDocument/2006/relationships/hyperlink" Target="https://learn.microsoft.com/en-us/intune/device-security/security-baselines/ref-windows-mdm-settings?pivots=mdm-24h2" TargetMode="External"/><Relationship Id="rId473" Type="http://schemas.openxmlformats.org/officeDocument/2006/relationships/hyperlink" Target="https://learn.microsoft.com/en-us/intune/device-security/security-baselines/ref-windows-mdm-settings?pivots=mdm-24h2" TargetMode="External"/><Relationship Id="rId529" Type="http://schemas.openxmlformats.org/officeDocument/2006/relationships/hyperlink" Target="https://learn.microsoft.com/en-us/windows/client-management/mdm/Firewall-csp?WT.mc_id=Portal-fx" TargetMode="External"/><Relationship Id="rId680" Type="http://schemas.openxmlformats.org/officeDocument/2006/relationships/hyperlink" Target="https://learn.microsoft.com/en-us/intune/device-security/security-baselines/ref-windows-mdm-settings?pivots=mdm-24h2" TargetMode="External"/><Relationship Id="rId30" Type="http://schemas.openxmlformats.org/officeDocument/2006/relationships/hyperlink" Target="https://learn.microsoft.com/en-us/windows/client-management/mdm/policy-csp-windowsconnectionmanager?WT.mc_id=Portal-fx" TargetMode="External"/><Relationship Id="rId126" Type="http://schemas.openxmlformats.org/officeDocument/2006/relationships/hyperlink" Target="https://learn.microsoft.com/en-us/windows/client-management/mdm/policy-csp-internetexplorer?WT.mc_id=Portal-fx" TargetMode="External"/><Relationship Id="rId168" Type="http://schemas.openxmlformats.org/officeDocument/2006/relationships/hyperlink" Target="https://learn.microsoft.com/en-us/windows/client-management/mdm/policy-csp-internetexplorer?WT.mc_id=Portal-fx" TargetMode="External"/><Relationship Id="rId333" Type="http://schemas.openxmlformats.org/officeDocument/2006/relationships/hyperlink" Target="https://learn.microsoft.com/en-us/intune/device-security/security-baselines/ref-windows-mdm-settings?pivots=mdm-24h2" TargetMode="External"/><Relationship Id="rId540" Type="http://schemas.openxmlformats.org/officeDocument/2006/relationships/hyperlink" Target="https://learn.microsoft.com/en-us/intune/device-security/security-baselines/ref-windows-mdm-settings?pivots=mdm-24h2" TargetMode="External"/><Relationship Id="rId72" Type="http://schemas.openxmlformats.org/officeDocument/2006/relationships/hyperlink" Target="https://learn.microsoft.com/en-us/windows/client-management/mdm/policy-csp-power?WT.mc_id=Portal-fx" TargetMode="External"/><Relationship Id="rId375" Type="http://schemas.openxmlformats.org/officeDocument/2006/relationships/hyperlink" Target="https://learn.microsoft.com/en-us/intune/device-security/security-baselines/ref-windows-mdm-settings?pivots=mdm-24h2" TargetMode="External"/><Relationship Id="rId582" Type="http://schemas.openxmlformats.org/officeDocument/2006/relationships/hyperlink" Target="https://learn.microsoft.com/en-us/intune/device-security/security-baselines/ref-windows-mdm-settings?pivots=mdm-24h2" TargetMode="External"/><Relationship Id="rId638" Type="http://schemas.openxmlformats.org/officeDocument/2006/relationships/hyperlink" Target="https://learn.microsoft.com/en-us/intune/device-security/security-baselines/ref-windows-mdm-settings?pivots=mdm-24h2" TargetMode="External"/><Relationship Id="rId3" Type="http://schemas.openxmlformats.org/officeDocument/2006/relationships/hyperlink" Target="https://learn.microsoft.com/en-us/intune/device-security/security-baselines/ref-windows-mdm-settings?pivots=mdm-24h2" TargetMode="External"/><Relationship Id="rId235" Type="http://schemas.openxmlformats.org/officeDocument/2006/relationships/hyperlink" Target="https://learn.microsoft.com/en-us/intune/device-security/security-baselines/ref-windows-mdm-settings?pivots=mdm-24h2" TargetMode="External"/><Relationship Id="rId277" Type="http://schemas.openxmlformats.org/officeDocument/2006/relationships/hyperlink" Target="https://learn.microsoft.com/en-us/intune/device-security/security-baselines/ref-windows-mdm-settings?pivots=mdm-24h2" TargetMode="External"/><Relationship Id="rId400" Type="http://schemas.openxmlformats.org/officeDocument/2006/relationships/hyperlink" Target="https://learn.microsoft.com/en-us/windows/client-management/mdm/policy-csp-Audit?WT.mc_id=Portal-fx" TargetMode="External"/><Relationship Id="rId442" Type="http://schemas.openxmlformats.org/officeDocument/2006/relationships/hyperlink" Target="https://learn.microsoft.com/en-us/windows/client-management/mdm/policy-csp-defender?WT.mc_id=Portal-fx" TargetMode="External"/><Relationship Id="rId484" Type="http://schemas.openxmlformats.org/officeDocument/2006/relationships/hyperlink" Target="https://learn.microsoft.com/en-us/windows/client-management/mdm/policy-csp-defender?WT.mc_id=Portal-fx" TargetMode="External"/><Relationship Id="rId705" Type="http://schemas.openxmlformats.org/officeDocument/2006/relationships/hyperlink" Target="https://learn.microsoft.com/en-us/windows/client-management/mdm/policy-csp-wifi?WT.mc_id=Portal-fx" TargetMode="External"/><Relationship Id="rId137" Type="http://schemas.openxmlformats.org/officeDocument/2006/relationships/hyperlink" Target="https://learn.microsoft.com/en-us/intune/device-security/security-baselines/ref-windows-mdm-settings?pivots=mdm-24h2" TargetMode="External"/><Relationship Id="rId302" Type="http://schemas.openxmlformats.org/officeDocument/2006/relationships/hyperlink" Target="https://learn.microsoft.com/en-us/windows/client-management/mdm/policy-csp-internetexplorer?WT.mc_id=Portal-fx" TargetMode="External"/><Relationship Id="rId344" Type="http://schemas.openxmlformats.org/officeDocument/2006/relationships/hyperlink" Target="https://learn.microsoft.com/en-us/windows/client-management/mdm/policy-csp-admx-microsoftdefenderantivirus?WT.mc_id=Portal-fx" TargetMode="External"/><Relationship Id="rId691" Type="http://schemas.openxmlformats.org/officeDocument/2006/relationships/hyperlink" Target="https://learn.microsoft.com/en-us/windows/client-management/mdm/policy-csp-UserRights?WT.mc_id=Portal-fx" TargetMode="External"/><Relationship Id="rId41" Type="http://schemas.openxmlformats.org/officeDocument/2006/relationships/hyperlink" Target="https://learn.microsoft.com/en-us/intune/device-security/security-baselines/ref-windows-mdm-settings?pivots=mdm-24h2" TargetMode="External"/><Relationship Id="rId83" Type="http://schemas.openxmlformats.org/officeDocument/2006/relationships/hyperlink" Target="https://learn.microsoft.com/en-us/intune/device-security/security-baselines/ref-windows-mdm-settings?pivots=mdm-24h2" TargetMode="External"/><Relationship Id="rId179" Type="http://schemas.openxmlformats.org/officeDocument/2006/relationships/hyperlink" Target="https://learn.microsoft.com/en-us/intune/device-security/security-baselines/ref-windows-mdm-settings?pivots=mdm-24h2" TargetMode="External"/><Relationship Id="rId386" Type="http://schemas.openxmlformats.org/officeDocument/2006/relationships/hyperlink" Target="https://learn.microsoft.com/en-us/windows/client-management/mdm/policy-csp-Audit?WT.mc_id=Portal-fx" TargetMode="External"/><Relationship Id="rId551" Type="http://schemas.openxmlformats.org/officeDocument/2006/relationships/hyperlink" Target="https://learn.microsoft.com/en-us/windows/client-management/mdm/firewall-csp?WT.mc_id=Portal-fx" TargetMode="External"/><Relationship Id="rId593" Type="http://schemas.openxmlformats.org/officeDocument/2006/relationships/hyperlink" Target="https://learn.microsoft.com/en-us/windows/client-management/mdm/policy-csp-LocalPoliciesSecurityOptions?WT.mc_id=Portal-fx" TargetMode="External"/><Relationship Id="rId607" Type="http://schemas.openxmlformats.org/officeDocument/2006/relationships/hyperlink" Target="https://learn.microsoft.com/en-us/windows/client-management/mdm/policy-csp-LocalPoliciesSecurityOptions?WT.mc_id=Portal-fx" TargetMode="External"/><Relationship Id="rId649" Type="http://schemas.openxmlformats.org/officeDocument/2006/relationships/hyperlink" Target="https://learn.microsoft.com/en-us/windows/client-management/mdm/policy-csp-smartscreen?WT.mc_id=Portal-fx" TargetMode="External"/><Relationship Id="rId190" Type="http://schemas.openxmlformats.org/officeDocument/2006/relationships/hyperlink" Target="https://learn.microsoft.com/en-us/windows/client-management/mdm/policy-csp-internetexplorer?WT.mc_id=Portal-fx" TargetMode="External"/><Relationship Id="rId204" Type="http://schemas.openxmlformats.org/officeDocument/2006/relationships/hyperlink" Target="https://learn.microsoft.com/en-us/windows/client-management/mdm/policy-csp-internetexplorer?WT.mc_id=Portal-fx" TargetMode="External"/><Relationship Id="rId246" Type="http://schemas.openxmlformats.org/officeDocument/2006/relationships/hyperlink" Target="https://learn.microsoft.com/en-us/windows/client-management/mdm/policy-csp-internetexplorer?WT.mc_id=Portal-fx" TargetMode="External"/><Relationship Id="rId288" Type="http://schemas.openxmlformats.org/officeDocument/2006/relationships/hyperlink" Target="https://learn.microsoft.com/en-us/windows/client-management/mdm/policy-csp-internetexplorer?WT.mc_id=Portal-fx" TargetMode="External"/><Relationship Id="rId411" Type="http://schemas.openxmlformats.org/officeDocument/2006/relationships/hyperlink" Target="https://learn.microsoft.com/en-us/intune/device-security/security-baselines/ref-windows-mdm-settings?pivots=mdm-24h2" TargetMode="External"/><Relationship Id="rId453" Type="http://schemas.openxmlformats.org/officeDocument/2006/relationships/hyperlink" Target="https://learn.microsoft.com/en-us/intune/device-security/security-baselines/ref-windows-mdm-settings?pivots=mdm-24h2" TargetMode="External"/><Relationship Id="rId509" Type="http://schemas.openxmlformats.org/officeDocument/2006/relationships/hyperlink" Target="https://learn.microsoft.com/en-us/windows/client-management/mdm/policy-csp-DeviceGuard?WT.mc_id=Portal-fx" TargetMode="External"/><Relationship Id="rId660" Type="http://schemas.openxmlformats.org/officeDocument/2006/relationships/hyperlink" Target="https://learn.microsoft.com/en-us/intune/device-security/security-baselines/ref-windows-mdm-settings?pivots=mdm-24h2" TargetMode="External"/><Relationship Id="rId106" Type="http://schemas.openxmlformats.org/officeDocument/2006/relationships/hyperlink" Target="https://learn.microsoft.com/en-us/windows/client-management/mdm/policy-csp-fileexplorer?WT.mc_id=Portal-fx" TargetMode="External"/><Relationship Id="rId313" Type="http://schemas.openxmlformats.org/officeDocument/2006/relationships/hyperlink" Target="https://learn.microsoft.com/en-us/intune/device-security/security-baselines/ref-windows-mdm-settings?pivots=mdm-24h2" TargetMode="External"/><Relationship Id="rId495" Type="http://schemas.openxmlformats.org/officeDocument/2006/relationships/hyperlink" Target="https://learn.microsoft.com/en-us/windows/client-management/mdm/defender-csp?WT.mc_id=Portal-fx" TargetMode="External"/><Relationship Id="rId716" Type="http://schemas.openxmlformats.org/officeDocument/2006/relationships/hyperlink" Target="https://learn.microsoft.com/en-us/intune/device-security/security-baselines/ref-windows-mdm-settings?pivots=mdm-24h2" TargetMode="External"/><Relationship Id="rId10" Type="http://schemas.openxmlformats.org/officeDocument/2006/relationships/hyperlink" Target="https://learn.microsoft.com/en-us/windows/client-management/mdm/policy-csp-mssecurityguide?WT.mc_id=Portal-fx" TargetMode="External"/><Relationship Id="rId52" Type="http://schemas.openxmlformats.org/officeDocument/2006/relationships/hyperlink" Target="https://learn.microsoft.com/en-us/windows/client-management/mdm/policy-csp-credentialsdelegation?WT.mc_id=Portal-fx" TargetMode="External"/><Relationship Id="rId94" Type="http://schemas.openxmlformats.org/officeDocument/2006/relationships/hyperlink" Target="https://learn.microsoft.com/en-us/windows/client-management/mdm/policy-csp-credentialsui?WT.mc_id=Portal-fx" TargetMode="External"/><Relationship Id="rId148" Type="http://schemas.openxmlformats.org/officeDocument/2006/relationships/hyperlink" Target="https://learn.microsoft.com/en-us/windows/client-management/mdm/policy-csp-internetexplorer?WT.mc_id=Portal-fx" TargetMode="External"/><Relationship Id="rId355" Type="http://schemas.openxmlformats.org/officeDocument/2006/relationships/hyperlink" Target="https://learn.microsoft.com/en-us/intune/device-security/security-baselines/ref-windows-mdm-settings?pivots=mdm-24h2" TargetMode="External"/><Relationship Id="rId397" Type="http://schemas.openxmlformats.org/officeDocument/2006/relationships/hyperlink" Target="https://learn.microsoft.com/en-us/intune/device-security/security-baselines/ref-windows-mdm-settings?pivots=mdm-24h2" TargetMode="External"/><Relationship Id="rId520" Type="http://schemas.openxmlformats.org/officeDocument/2006/relationships/hyperlink" Target="https://learn.microsoft.com/en-us/intune/device-security/security-baselines/ref-windows-mdm-settings?pivots=mdm-24h2" TargetMode="External"/><Relationship Id="rId562" Type="http://schemas.openxmlformats.org/officeDocument/2006/relationships/hyperlink" Target="https://learn.microsoft.com/en-us/intune/device-security/security-baselines/ref-windows-mdm-settings?pivots=mdm-24h2" TargetMode="External"/><Relationship Id="rId618" Type="http://schemas.openxmlformats.org/officeDocument/2006/relationships/hyperlink" Target="https://learn.microsoft.com/en-us/intune/device-security/security-baselines/ref-windows-mdm-settings?pivots=mdm-24h2" TargetMode="External"/><Relationship Id="rId215" Type="http://schemas.openxmlformats.org/officeDocument/2006/relationships/hyperlink" Target="https://learn.microsoft.com/en-us/intune/device-security/security-baselines/ref-windows-mdm-settings?pivots=mdm-24h2" TargetMode="External"/><Relationship Id="rId257" Type="http://schemas.openxmlformats.org/officeDocument/2006/relationships/hyperlink" Target="https://learn.microsoft.com/en-us/intune/device-security/security-baselines/ref-windows-mdm-settings?pivots=mdm-24h2" TargetMode="External"/><Relationship Id="rId422" Type="http://schemas.openxmlformats.org/officeDocument/2006/relationships/hyperlink" Target="https://learn.microsoft.com/en-us/windows/client-management/mdm/policy-csp-Audit?WT.mc_id=Portal-fx" TargetMode="External"/><Relationship Id="rId464" Type="http://schemas.openxmlformats.org/officeDocument/2006/relationships/hyperlink" Target="https://learn.microsoft.com/en-us/windows/security/threat-protection/microsoft-defender-atp/attack-surface-reduction?WT.mc_id=Portal-fx" TargetMode="External"/><Relationship Id="rId299" Type="http://schemas.openxmlformats.org/officeDocument/2006/relationships/hyperlink" Target="https://learn.microsoft.com/en-us/intune/device-security/security-baselines/ref-windows-mdm-settings?pivots=mdm-24h2" TargetMode="External"/><Relationship Id="rId63" Type="http://schemas.openxmlformats.org/officeDocument/2006/relationships/hyperlink" Target="https://learn.microsoft.com/en-us/intune/device-security/security-baselines/ref-windows-mdm-settings?pivots=mdm-24h2" TargetMode="External"/><Relationship Id="rId159" Type="http://schemas.openxmlformats.org/officeDocument/2006/relationships/hyperlink" Target="https://learn.microsoft.com/en-us/intune/device-security/security-baselines/ref-windows-mdm-settings?pivots=mdm-24h2" TargetMode="External"/><Relationship Id="rId366" Type="http://schemas.openxmlformats.org/officeDocument/2006/relationships/hyperlink" Target="https://learn.microsoft.com/en-us/windows/client-management/mdm/policy-csp-windowspowershell?WT.mc_id=Portal-fx" TargetMode="External"/><Relationship Id="rId573" Type="http://schemas.openxmlformats.org/officeDocument/2006/relationships/hyperlink" Target="https://learn.microsoft.com/en-us/windows/client-management/mdm/policy-csp-lanmanserver" TargetMode="External"/><Relationship Id="rId226" Type="http://schemas.openxmlformats.org/officeDocument/2006/relationships/hyperlink" Target="https://learn.microsoft.com/en-us/windows/client-management/mdm/policy-csp-internetexplorer?WT.mc_id=Portal-fx" TargetMode="External"/><Relationship Id="rId433" Type="http://schemas.openxmlformats.org/officeDocument/2006/relationships/hyperlink" Target="https://learn.microsoft.com/en-us/intune/device-security/security-baselines/ref-windows-mdm-settings?pivots=mdm-24h2" TargetMode="External"/><Relationship Id="rId640" Type="http://schemas.openxmlformats.org/officeDocument/2006/relationships/hyperlink" Target="https://learn.microsoft.com/en-us/intune/device-security/security-baselines/ref-windows-mdm-settings?pivots=mdm-24h2" TargetMode="External"/><Relationship Id="rId74" Type="http://schemas.openxmlformats.org/officeDocument/2006/relationships/hyperlink" Target="https://learn.microsoft.com/en-us/windows/client-management/mdm/policy-csp-power?WT.mc_id=Portal-fx" TargetMode="External"/><Relationship Id="rId377" Type="http://schemas.openxmlformats.org/officeDocument/2006/relationships/hyperlink" Target="https://learn.microsoft.com/en-us/intune/device-security/security-baselines/ref-windows-mdm-settings?pivots=mdm-24h2" TargetMode="External"/><Relationship Id="rId500" Type="http://schemas.openxmlformats.org/officeDocument/2006/relationships/hyperlink" Target="https://learn.microsoft.com/en-us/intune/device-security/security-baselines/ref-windows-mdm-settings?pivots=mdm-24h2" TargetMode="External"/><Relationship Id="rId584" Type="http://schemas.openxmlformats.org/officeDocument/2006/relationships/hyperlink" Target="https://learn.microsoft.com/en-us/intune/device-security/security-baselines/ref-windows-mdm-settings?pivots=mdm-24h2" TargetMode="External"/><Relationship Id="rId5" Type="http://schemas.openxmlformats.org/officeDocument/2006/relationships/hyperlink" Target="https://learn.microsoft.com/en-us/intune/device-security/security-baselines/ref-windows-mdm-settings?pivots=mdm-24h2" TargetMode="External"/><Relationship Id="rId237" Type="http://schemas.openxmlformats.org/officeDocument/2006/relationships/hyperlink" Target="https://learn.microsoft.com/en-us/intune/device-security/security-baselines/ref-windows-mdm-settings?pivots=mdm-24h2" TargetMode="External"/><Relationship Id="rId444" Type="http://schemas.openxmlformats.org/officeDocument/2006/relationships/hyperlink" Target="https://learn.microsoft.com/en-us/windows/client-management/mdm/policy-csp-defender?WT.mc_id=Portal-fx" TargetMode="External"/><Relationship Id="rId651" Type="http://schemas.openxmlformats.org/officeDocument/2006/relationships/hyperlink" Target="https://learn.microsoft.com/en-us/intune/device-security/security-baselines/ref-windows-mdm-settings?pivots=mdm-24h2" TargetMode="External"/><Relationship Id="rId290" Type="http://schemas.openxmlformats.org/officeDocument/2006/relationships/hyperlink" Target="https://learn.microsoft.com/en-us/windows/client-management/mdm/policy-csp-internetexplorer?WT.mc_id=Portal-fx" TargetMode="External"/><Relationship Id="rId304" Type="http://schemas.openxmlformats.org/officeDocument/2006/relationships/hyperlink" Target="https://learn.microsoft.com/en-us/windows/client-management/mdm/policy-csp-internetexplorer?WT.mc_id=Portal-fx" TargetMode="External"/><Relationship Id="rId388" Type="http://schemas.openxmlformats.org/officeDocument/2006/relationships/hyperlink" Target="https://learn.microsoft.com/en-us/windows/client-management/mdm/policy-csp-Audit?WT.mc_id=Portal-fx" TargetMode="External"/><Relationship Id="rId511" Type="http://schemas.openxmlformats.org/officeDocument/2006/relationships/hyperlink" Target="https://learn.microsoft.com/en-us/windows/client-management/mdm/policy-csp-devicelock?WT.mc_id=Portal-fx" TargetMode="External"/><Relationship Id="rId609" Type="http://schemas.openxmlformats.org/officeDocument/2006/relationships/hyperlink" Target="https://learn.microsoft.com/en-us/windows/client-management/mdm/policy-csp-LocalPoliciesSecurityOptions?WT.mc_id=Portal-fx" TargetMode="External"/><Relationship Id="rId85" Type="http://schemas.openxmlformats.org/officeDocument/2006/relationships/hyperlink" Target="https://learn.microsoft.com/en-us/intune/device-security/security-baselines/ref-windows-mdm-settings?pivots=mdm-24h2" TargetMode="External"/><Relationship Id="rId150" Type="http://schemas.openxmlformats.org/officeDocument/2006/relationships/hyperlink" Target="https://learn.microsoft.com/en-us/windows/client-management/mdm/policy-csp-internetexplorer?WT.mc_id=Portal-fx" TargetMode="External"/><Relationship Id="rId595" Type="http://schemas.openxmlformats.org/officeDocument/2006/relationships/hyperlink" Target="https://learn.microsoft.com/en-us/windows/client-management/mdm/policy-csp-LocalPoliciesSecurityOptions?WT.mc_id=Portal-fx" TargetMode="External"/><Relationship Id="rId248" Type="http://schemas.openxmlformats.org/officeDocument/2006/relationships/hyperlink" Target="https://learn.microsoft.com/en-us/windows/client-management/mdm/policy-csp-internetexplorer?WT.mc_id=Portal-fx" TargetMode="External"/><Relationship Id="rId455" Type="http://schemas.openxmlformats.org/officeDocument/2006/relationships/hyperlink" Target="https://learn.microsoft.com/en-us/intune/device-security/security-baselines/ref-windows-mdm-settings?pivots=mdm-24h2" TargetMode="External"/><Relationship Id="rId662" Type="http://schemas.openxmlformats.org/officeDocument/2006/relationships/hyperlink" Target="https://learn.microsoft.com/en-us/intune/device-security/security-baselines/ref-windows-mdm-settings?pivots=mdm-24h2" TargetMode="External"/><Relationship Id="rId12" Type="http://schemas.openxmlformats.org/officeDocument/2006/relationships/hyperlink" Target="https://learn.microsoft.com/en-us/windows/client-management/mdm/policy-csp-mssecurityguide?WT.mc_id=Portal-fx" TargetMode="External"/><Relationship Id="rId108" Type="http://schemas.openxmlformats.org/officeDocument/2006/relationships/hyperlink" Target="https://learn.microsoft.com/en-us/windows/client-management/mdm/policy-csp-internetexplorer?WT.mc_id=Portal-fx" TargetMode="External"/><Relationship Id="rId315" Type="http://schemas.openxmlformats.org/officeDocument/2006/relationships/hyperlink" Target="https://learn.microsoft.com/en-us/intune/device-security/security-baselines/ref-windows-mdm-settings?pivots=mdm-24h2" TargetMode="External"/><Relationship Id="rId522" Type="http://schemas.openxmlformats.org/officeDocument/2006/relationships/hyperlink" Target="https://learn.microsoft.com/en-us/intune/device-security/security-baselines/ref-windows-mdm-settings?pivots=mdm-24h2" TargetMode="External"/><Relationship Id="rId96" Type="http://schemas.openxmlformats.org/officeDocument/2006/relationships/hyperlink" Target="https://learn.microsoft.com/en-us/windows/client-management/mdm/policy-csp-eventlogservice?WT.mc_id=Portal-fx" TargetMode="External"/><Relationship Id="rId161" Type="http://schemas.openxmlformats.org/officeDocument/2006/relationships/hyperlink" Target="https://learn.microsoft.com/en-us/intune/device-security/security-baselines/ref-windows-mdm-settings?pivots=mdm-24h2" TargetMode="External"/><Relationship Id="rId399" Type="http://schemas.openxmlformats.org/officeDocument/2006/relationships/hyperlink" Target="https://learn.microsoft.com/en-us/intune/device-security/security-baselines/ref-windows-mdm-settings?pivots=mdm-24h2" TargetMode="External"/><Relationship Id="rId259" Type="http://schemas.openxmlformats.org/officeDocument/2006/relationships/hyperlink" Target="https://learn.microsoft.com/en-us/intune/device-security/security-baselines/ref-windows-mdm-settings?pivots=mdm-24h2" TargetMode="External"/><Relationship Id="rId466" Type="http://schemas.openxmlformats.org/officeDocument/2006/relationships/hyperlink" Target="https://learn.microsoft.com/en-us/windows/security/threat-protection/microsoft-defender-atp/attack-surface-reduction?WT.mc_id=Portal-fx" TargetMode="External"/><Relationship Id="rId673" Type="http://schemas.openxmlformats.org/officeDocument/2006/relationships/hyperlink" Target="https://learn.microsoft.com/en-us/windows/client-management/mdm/policy-csp-UserRights?WT.mc_id=Portal-fx" TargetMode="External"/><Relationship Id="rId23" Type="http://schemas.openxmlformats.org/officeDocument/2006/relationships/hyperlink" Target="https://learn.microsoft.com/en-us/intune/device-security/security-baselines/ref-windows-mdm-settings?pivots=mdm-24h2" TargetMode="External"/><Relationship Id="rId119" Type="http://schemas.openxmlformats.org/officeDocument/2006/relationships/hyperlink" Target="https://learn.microsoft.com/en-us/intune/device-security/security-baselines/ref-windows-mdm-settings?pivots=mdm-24h2" TargetMode="External"/><Relationship Id="rId326" Type="http://schemas.openxmlformats.org/officeDocument/2006/relationships/hyperlink" Target="https://learn.microsoft.com/en-us/windows/client-management/mdm/policy-csp-internetexplorer?WT.mc_id=Portal-fx" TargetMode="External"/><Relationship Id="rId533" Type="http://schemas.openxmlformats.org/officeDocument/2006/relationships/hyperlink" Target="https://learn.microsoft.com/en-us/windows/client-management/mdm/firewall-csp?WT.mc_id=Portal-fx" TargetMode="External"/><Relationship Id="rId172" Type="http://schemas.openxmlformats.org/officeDocument/2006/relationships/hyperlink" Target="https://learn.microsoft.com/en-us/windows/client-management/mdm/policy-csp-internetexplorer?WT.mc_id=Portal-fx" TargetMode="External"/><Relationship Id="rId477" Type="http://schemas.openxmlformats.org/officeDocument/2006/relationships/hyperlink" Target="https://learn.microsoft.com/en-us/intune/device-security/security-baselines/ref-windows-mdm-settings?pivots=mdm-24h2" TargetMode="External"/><Relationship Id="rId600" Type="http://schemas.openxmlformats.org/officeDocument/2006/relationships/hyperlink" Target="https://learn.microsoft.com/en-us/intune/device-security/security-baselines/ref-windows-mdm-settings?pivots=mdm-24h2" TargetMode="External"/><Relationship Id="rId684" Type="http://schemas.openxmlformats.org/officeDocument/2006/relationships/hyperlink" Target="https://learn.microsoft.com/en-us/intune/device-security/security-baselines/ref-windows-mdm-settings?pivots=mdm-24h2" TargetMode="External"/><Relationship Id="rId337" Type="http://schemas.openxmlformats.org/officeDocument/2006/relationships/hyperlink" Target="https://learn.microsoft.com/en-us/intune/device-security/security-baselines/ref-windows-mdm-settings?pivots=mdm-24h2" TargetMode="External"/><Relationship Id="rId34" Type="http://schemas.openxmlformats.org/officeDocument/2006/relationships/hyperlink" Target="https://learn.microsoft.com/en-us/windows/client-management/mdm/policy-csp-printers?WT.mc_id=Portal-fx" TargetMode="External"/><Relationship Id="rId544" Type="http://schemas.openxmlformats.org/officeDocument/2006/relationships/hyperlink" Target="https://learn.microsoft.com/en-us/intune/device-security/security-baselines/ref-windows-mdm-settings?pivots=mdm-24h2" TargetMode="External"/><Relationship Id="rId183" Type="http://schemas.openxmlformats.org/officeDocument/2006/relationships/hyperlink" Target="https://learn.microsoft.com/en-us/intune/device-security/security-baselines/ref-windows-mdm-settings?pivots=mdm-24h2" TargetMode="External"/><Relationship Id="rId390" Type="http://schemas.openxmlformats.org/officeDocument/2006/relationships/hyperlink" Target="https://learn.microsoft.com/en-us/windows/client-management/mdm/policy-csp-Audit?WT.mc_id=Portal-fx" TargetMode="External"/><Relationship Id="rId404" Type="http://schemas.openxmlformats.org/officeDocument/2006/relationships/hyperlink" Target="https://learn.microsoft.com/en-us/windows/client-management/mdm/policy-csp-Audit?WT.mc_id=Portal-fx" TargetMode="External"/><Relationship Id="rId611" Type="http://schemas.openxmlformats.org/officeDocument/2006/relationships/hyperlink" Target="https://learn.microsoft.com/en-us/windows/client-management/mdm/policy-csp-LocalPoliciesSecurityOptions?WT.mc_id=Portal-fx" TargetMode="External"/><Relationship Id="rId250" Type="http://schemas.openxmlformats.org/officeDocument/2006/relationships/hyperlink" Target="https://learn.microsoft.com/en-us/windows/client-management/mdm/policy-csp-internetexplorer?WT.mc_id=Portal-fx" TargetMode="External"/><Relationship Id="rId488" Type="http://schemas.openxmlformats.org/officeDocument/2006/relationships/hyperlink" Target="https://learn.microsoft.com/en-us/windows/client-management/mdm/policy-csp-defender?WT.mc_id=Portal-fx" TargetMode="External"/><Relationship Id="rId695" Type="http://schemas.openxmlformats.org/officeDocument/2006/relationships/hyperlink" Target="https://learn.microsoft.com/en-us/windows/client-management/mdm/policy-csp-UserRights?WT.mc_id=Portal-fx" TargetMode="External"/><Relationship Id="rId709" Type="http://schemas.openxmlformats.org/officeDocument/2006/relationships/hyperlink" Target="https://learn.microsoft.com/en-us/windows/client-management/mdm/policy-csp-WindowsInkWorkspace?WT.mc_id=Portal-fx" TargetMode="External"/><Relationship Id="rId45" Type="http://schemas.openxmlformats.org/officeDocument/2006/relationships/hyperlink" Target="https://learn.microsoft.com/en-us/intune/device-security/security-baselines/ref-windows-mdm-settings?pivots=mdm-24h2" TargetMode="External"/><Relationship Id="rId110" Type="http://schemas.openxmlformats.org/officeDocument/2006/relationships/hyperlink" Target="https://learn.microsoft.com/en-us/windows/client-management/mdm/policy-csp-internetexplorer?WT.mc_id=Portal-fx" TargetMode="External"/><Relationship Id="rId348" Type="http://schemas.openxmlformats.org/officeDocument/2006/relationships/hyperlink" Target="https://learn.microsoft.com/en-us/windows/client-management/mdm/policy-csp-admx-microsoftdefenderantivirus?WT.mc_id=Portal-fx" TargetMode="External"/><Relationship Id="rId555" Type="http://schemas.openxmlformats.org/officeDocument/2006/relationships/hyperlink" Target="https://learn.microsoft.com/en-us/windows/client-management/mdm/firewall-csp?WT.mc_id=Portal-fx" TargetMode="External"/><Relationship Id="rId194" Type="http://schemas.openxmlformats.org/officeDocument/2006/relationships/hyperlink" Target="https://learn.microsoft.com/en-us/windows/client-management/mdm/policy-csp-internetexplorer?WT.mc_id=Portal-fx" TargetMode="External"/><Relationship Id="rId208" Type="http://schemas.openxmlformats.org/officeDocument/2006/relationships/hyperlink" Target="https://learn.microsoft.com/en-us/windows/client-management/mdm/policy-csp-internetexplorer?WT.mc_id=Portal-fx" TargetMode="External"/><Relationship Id="rId415" Type="http://schemas.openxmlformats.org/officeDocument/2006/relationships/hyperlink" Target="https://learn.microsoft.com/en-us/intune/device-security/security-baselines/ref-windows-mdm-settings?pivots=mdm-24h2" TargetMode="External"/><Relationship Id="rId622" Type="http://schemas.openxmlformats.org/officeDocument/2006/relationships/hyperlink" Target="https://learn.microsoft.com/en-us/intune/device-security/security-baselines/ref-windows-mdm-settings?pivots=mdm-24h2" TargetMode="External"/><Relationship Id="rId261" Type="http://schemas.openxmlformats.org/officeDocument/2006/relationships/hyperlink" Target="https://learn.microsoft.com/en-us/intune/device-security/security-baselines/ref-windows-mdm-settings?pivots=mdm-24h2" TargetMode="External"/><Relationship Id="rId499" Type="http://schemas.openxmlformats.org/officeDocument/2006/relationships/hyperlink" Target="https://learn.microsoft.com/en-us/windows/client-management/mdm/Defender-csp?WT.mc_id=Portal-fx" TargetMode="External"/><Relationship Id="rId56" Type="http://schemas.openxmlformats.org/officeDocument/2006/relationships/hyperlink" Target="https://learn.microsoft.com/en-us/windows/client-management/mdm/policy-csp-deviceinstallation?WT.mc_id=Portal-fx" TargetMode="External"/><Relationship Id="rId359" Type="http://schemas.openxmlformats.org/officeDocument/2006/relationships/hyperlink" Target="https://learn.microsoft.com/en-us/intune/device-security/security-baselines/ref-windows-mdm-settings?pivots=mdm-24h2" TargetMode="External"/><Relationship Id="rId566" Type="http://schemas.openxmlformats.org/officeDocument/2006/relationships/hyperlink" Target="https://learn.microsoft.com/en-us/intune/device-security/security-baselines/ref-windows-mdm-settings?pivots=mdm-24h2" TargetMode="External"/><Relationship Id="rId121" Type="http://schemas.openxmlformats.org/officeDocument/2006/relationships/hyperlink" Target="https://learn.microsoft.com/en-us/intune/device-security/security-baselines/ref-windows-mdm-settings?pivots=mdm-24h2" TargetMode="External"/><Relationship Id="rId219" Type="http://schemas.openxmlformats.org/officeDocument/2006/relationships/hyperlink" Target="https://learn.microsoft.com/en-us/intune/device-security/security-baselines/ref-windows-mdm-settings?pivots=mdm-24h2" TargetMode="External"/><Relationship Id="rId426" Type="http://schemas.openxmlformats.org/officeDocument/2006/relationships/hyperlink" Target="https://learn.microsoft.com/en-us/windows/client-management/mdm/policy-csp-Browser?WT.mc_id=Portal-fx" TargetMode="External"/><Relationship Id="rId633" Type="http://schemas.openxmlformats.org/officeDocument/2006/relationships/hyperlink" Target="https://learn.microsoft.com/en-us/windows/client-management/mdm/policy-csp-LocalPoliciesSecurityOptions?WT.mc_id=Portal-fx" TargetMode="External"/><Relationship Id="rId67" Type="http://schemas.openxmlformats.org/officeDocument/2006/relationships/hyperlink" Target="https://learn.microsoft.com/en-us/intune/device-security/security-baselines/ref-windows-mdm-settings?pivots=mdm-24h2" TargetMode="External"/><Relationship Id="rId272" Type="http://schemas.openxmlformats.org/officeDocument/2006/relationships/hyperlink" Target="https://learn.microsoft.com/en-us/windows/client-management/mdm/policy-csp-internetexplorer?WT.mc_id=Portal-fx" TargetMode="External"/><Relationship Id="rId577" Type="http://schemas.openxmlformats.org/officeDocument/2006/relationships/hyperlink" Target="https://learn.microsoft.com/en-us/windows/client-management/mdm/policy-csp-LanmanWorkstation?WT.mc_id=Portal-fx" TargetMode="External"/><Relationship Id="rId700" Type="http://schemas.openxmlformats.org/officeDocument/2006/relationships/hyperlink" Target="https://learn.microsoft.com/en-us/intune/device-security/security-baselines/ref-windows-mdm-settings?pivots=mdm-24h2" TargetMode="External"/><Relationship Id="rId132" Type="http://schemas.openxmlformats.org/officeDocument/2006/relationships/hyperlink" Target="https://learn.microsoft.com/en-us/windows/client-management/mdm/policy-csp-internetexplorer?WT.mc_id=Portal-fx" TargetMode="External"/><Relationship Id="rId437" Type="http://schemas.openxmlformats.org/officeDocument/2006/relationships/hyperlink" Target="https://learn.microsoft.com/en-us/intune/device-security/security-baselines/ref-windows-mdm-settings?pivots=mdm-24h2" TargetMode="External"/><Relationship Id="rId644" Type="http://schemas.openxmlformats.org/officeDocument/2006/relationships/hyperlink" Target="https://learn.microsoft.com/en-us/intune/device-security/security-baselines/ref-windows-mdm-settings?pivots=mdm-24h2" TargetMode="External"/><Relationship Id="rId283" Type="http://schemas.openxmlformats.org/officeDocument/2006/relationships/hyperlink" Target="https://learn.microsoft.com/en-us/intune/device-security/security-baselines/ref-windows-mdm-settings?pivots=mdm-24h2" TargetMode="External"/><Relationship Id="rId490" Type="http://schemas.openxmlformats.org/officeDocument/2006/relationships/hyperlink" Target="https://learn.microsoft.com/en-us/intune/device-security/security-baselines/ref-windows-mdm-settings?pivots=mdm-24h2" TargetMode="External"/><Relationship Id="rId504" Type="http://schemas.openxmlformats.org/officeDocument/2006/relationships/hyperlink" Target="https://learn.microsoft.com/en-us/intune/device-security/security-baselines/ref-windows-mdm-settings?pivots=mdm-24h2" TargetMode="External"/><Relationship Id="rId711" Type="http://schemas.openxmlformats.org/officeDocument/2006/relationships/hyperlink" Target="https://learn.microsoft.com/en-us/windows/client-management/mdm/LAPS-csp?WT.mc_id=Portal-fx" TargetMode="External"/><Relationship Id="rId78" Type="http://schemas.openxmlformats.org/officeDocument/2006/relationships/hyperlink" Target="https://learn.microsoft.com/en-us/windows/client-management/mdm/policy-csp-remoteassistance?WT.mc_id=Portal-fx" TargetMode="External"/><Relationship Id="rId143" Type="http://schemas.openxmlformats.org/officeDocument/2006/relationships/hyperlink" Target="https://learn.microsoft.com/en-us/intune/device-security/security-baselines/ref-windows-mdm-settings?pivots=mdm-24h2" TargetMode="External"/><Relationship Id="rId350" Type="http://schemas.openxmlformats.org/officeDocument/2006/relationships/hyperlink" Target="https://learn.microsoft.com/en-us/windows/client-management/mdm/policy-csp-remotedesktopservices?WT.mc_id=Portal-fx" TargetMode="External"/><Relationship Id="rId588" Type="http://schemas.openxmlformats.org/officeDocument/2006/relationships/hyperlink" Target="https://learn.microsoft.com/en-us/intune/device-security/security-baselines/ref-windows-mdm-settings?pivots=mdm-24h2" TargetMode="External"/><Relationship Id="rId9" Type="http://schemas.openxmlformats.org/officeDocument/2006/relationships/hyperlink" Target="https://learn.microsoft.com/en-us/intune/device-security/security-baselines/ref-windows-mdm-settings?pivots=mdm-24h2" TargetMode="External"/><Relationship Id="rId210" Type="http://schemas.openxmlformats.org/officeDocument/2006/relationships/hyperlink" Target="https://learn.microsoft.com/en-us/windows/client-management/mdm/policy-csp-internetexplorer?WT.mc_id=Portal-fx" TargetMode="External"/><Relationship Id="rId448" Type="http://schemas.openxmlformats.org/officeDocument/2006/relationships/hyperlink" Target="https://learn.microsoft.com/en-us/windows/client-management/mdm/policy-csp-defender?WT.mc_id=Portal-fx" TargetMode="External"/><Relationship Id="rId655" Type="http://schemas.openxmlformats.org/officeDocument/2006/relationships/hyperlink" Target="https://learn.microsoft.com/en-us/windows/client-management/mdm/policy-csp-smartscreen?WT.mc_id=Portal-fx" TargetMode="External"/><Relationship Id="rId294" Type="http://schemas.openxmlformats.org/officeDocument/2006/relationships/hyperlink" Target="https://learn.microsoft.com/en-us/windows/client-management/mdm/policy-csp-internetexplorer?WT.mc_id=Portal-fx" TargetMode="External"/><Relationship Id="rId308" Type="http://schemas.openxmlformats.org/officeDocument/2006/relationships/hyperlink" Target="https://learn.microsoft.com/en-us/windows/client-management/mdm/policy-csp-internetexplorer?WT.mc_id=Portal-fx" TargetMode="External"/><Relationship Id="rId515" Type="http://schemas.openxmlformats.org/officeDocument/2006/relationships/hyperlink" Target="https://learn.microsoft.com/en-us/windows/client-management/mdm/policy-csp-dmaguard?WT.mc_id=Portal-fx" TargetMode="External"/><Relationship Id="rId722" Type="http://schemas.openxmlformats.org/officeDocument/2006/relationships/hyperlink" Target="https://creativecommons.org/licenses/by-sa/4.0/" TargetMode="External"/><Relationship Id="rId89" Type="http://schemas.openxmlformats.org/officeDocument/2006/relationships/hyperlink" Target="https://learn.microsoft.com/en-us/intune/device-security/security-baselines/ref-windows-mdm-settings?pivots=mdm-24h2" TargetMode="External"/><Relationship Id="rId154" Type="http://schemas.openxmlformats.org/officeDocument/2006/relationships/hyperlink" Target="https://learn.microsoft.com/en-us/windows/client-management/mdm/policy-csp-internetexplorer?WT.mc_id=Portal-fx" TargetMode="External"/><Relationship Id="rId361" Type="http://schemas.openxmlformats.org/officeDocument/2006/relationships/hyperlink" Target="https://learn.microsoft.com/en-us/intune/device-security/security-baselines/ref-windows-mdm-settings?pivots=mdm-24h2" TargetMode="External"/><Relationship Id="rId599" Type="http://schemas.openxmlformats.org/officeDocument/2006/relationships/hyperlink" Target="https://learn.microsoft.com/en-us/windows/client-management/mdm/policy-csp-LocalPoliciesSecurityOptions?WT.mc_id=Portal-fx" TargetMode="External"/><Relationship Id="rId459" Type="http://schemas.openxmlformats.org/officeDocument/2006/relationships/hyperlink" Target="https://learn.microsoft.com/en-us/intune/device-security/security-baselines/ref-windows-mdm-settings?pivots=mdm-24h2" TargetMode="External"/><Relationship Id="rId666" Type="http://schemas.openxmlformats.org/officeDocument/2006/relationships/hyperlink" Target="https://learn.microsoft.com/en-us/intune/device-security/security-baselines/ref-windows-mdm-settings?pivots=mdm-24h2" TargetMode="External"/><Relationship Id="rId16" Type="http://schemas.openxmlformats.org/officeDocument/2006/relationships/hyperlink" Target="https://learn.microsoft.com/en-us/windows/client-management/mdm/policy-csp-msslegacy?WT.mc_id=Portal-fx" TargetMode="External"/><Relationship Id="rId221" Type="http://schemas.openxmlformats.org/officeDocument/2006/relationships/hyperlink" Target="https://learn.microsoft.com/en-us/intune/device-security/security-baselines/ref-windows-mdm-settings?pivots=mdm-24h2" TargetMode="External"/><Relationship Id="rId319" Type="http://schemas.openxmlformats.org/officeDocument/2006/relationships/hyperlink" Target="https://learn.microsoft.com/en-us/intune/device-security/security-baselines/ref-windows-mdm-settings?pivots=mdm-24h2" TargetMode="External"/><Relationship Id="rId526" Type="http://schemas.openxmlformats.org/officeDocument/2006/relationships/hyperlink" Target="https://learn.microsoft.com/en-us/intune/device-security/security-baselines/ref-windows-mdm-settings?pivots=mdm-24h2" TargetMode="External"/><Relationship Id="rId165" Type="http://schemas.openxmlformats.org/officeDocument/2006/relationships/hyperlink" Target="https://learn.microsoft.com/en-us/intune/device-security/security-baselines/ref-windows-mdm-settings?pivots=mdm-24h2" TargetMode="External"/><Relationship Id="rId372" Type="http://schemas.openxmlformats.org/officeDocument/2006/relationships/hyperlink" Target="https://learn.microsoft.com/en-us/windows/client-management/mdm/policy-csp-remotemanagement?WT.mc_id=Portal-fx" TargetMode="External"/><Relationship Id="rId677" Type="http://schemas.openxmlformats.org/officeDocument/2006/relationships/hyperlink" Target="https://learn.microsoft.com/en-us/windows/client-management/mdm/policy-csp-UserRights?WT.mc_id=Portal-fx" TargetMode="External"/><Relationship Id="rId232" Type="http://schemas.openxmlformats.org/officeDocument/2006/relationships/hyperlink" Target="https://learn.microsoft.com/en-us/windows/client-management/mdm/policy-csp-internetexplorer?WT.mc_id=Portal-fx" TargetMode="External"/><Relationship Id="rId27" Type="http://schemas.openxmlformats.org/officeDocument/2006/relationships/hyperlink" Target="https://learn.microsoft.com/en-us/intune/device-security/security-baselines/ref-windows-mdm-settings?pivots=mdm-24h2" TargetMode="External"/><Relationship Id="rId537" Type="http://schemas.openxmlformats.org/officeDocument/2006/relationships/hyperlink" Target="https://learn.microsoft.com/en-us/windows/client-management/mdm/firewall-csp?WT.mc_id=Portal-fx" TargetMode="External"/><Relationship Id="rId80" Type="http://schemas.openxmlformats.org/officeDocument/2006/relationships/hyperlink" Target="https://learn.microsoft.com/en-us/windows/client-management/mdm/policy-csp-remoteprocedurecall?WT.mc_id=Portal-fx" TargetMode="External"/><Relationship Id="rId176" Type="http://schemas.openxmlformats.org/officeDocument/2006/relationships/hyperlink" Target="https://learn.microsoft.com/en-us/windows/client-management/mdm/policy-csp-internetexplorer?WT.mc_id=Portal-fx" TargetMode="External"/><Relationship Id="rId383" Type="http://schemas.openxmlformats.org/officeDocument/2006/relationships/hyperlink" Target="https://learn.microsoft.com/en-us/intune/device-security/security-baselines/ref-windows-mdm-settings?pivots=mdm-24h2" TargetMode="External"/><Relationship Id="rId590" Type="http://schemas.openxmlformats.org/officeDocument/2006/relationships/hyperlink" Target="https://learn.microsoft.com/en-us/intune/device-security/security-baselines/ref-windows-mdm-settings?pivots=mdm-24h2" TargetMode="External"/><Relationship Id="rId604" Type="http://schemas.openxmlformats.org/officeDocument/2006/relationships/hyperlink" Target="https://learn.microsoft.com/en-us/intune/device-security/security-baselines/ref-windows-mdm-settings?pivots=mdm-24h2" TargetMode="External"/><Relationship Id="rId243" Type="http://schemas.openxmlformats.org/officeDocument/2006/relationships/hyperlink" Target="https://learn.microsoft.com/en-us/intune/device-security/security-baselines/ref-windows-mdm-settings?pivots=mdm-24h2" TargetMode="External"/><Relationship Id="rId450" Type="http://schemas.openxmlformats.org/officeDocument/2006/relationships/hyperlink" Target="https://learn.microsoft.com/en-us/windows/client-management/mdm/policy-csp-defender?WT.mc_id=Portal-fx" TargetMode="External"/><Relationship Id="rId688" Type="http://schemas.openxmlformats.org/officeDocument/2006/relationships/hyperlink" Target="https://learn.microsoft.com/en-us/intune/device-security/security-baselines/ref-windows-mdm-settings?pivots=mdm-24h2" TargetMode="External"/><Relationship Id="rId38" Type="http://schemas.openxmlformats.org/officeDocument/2006/relationships/hyperlink" Target="https://learn.microsoft.com/en-us/windows/client-management/mdm/policy-csp-printers?WT.mc_id=Portal-fx" TargetMode="External"/><Relationship Id="rId103" Type="http://schemas.openxmlformats.org/officeDocument/2006/relationships/hyperlink" Target="https://learn.microsoft.com/en-us/intune/device-security/security-baselines/ref-windows-mdm-settings?pivots=mdm-24h2" TargetMode="External"/><Relationship Id="rId310" Type="http://schemas.openxmlformats.org/officeDocument/2006/relationships/hyperlink" Target="https://learn.microsoft.com/en-us/windows/client-management/mdm/policy-csp-internetexplorer?WT.mc_id=Portal-fx" TargetMode="External"/><Relationship Id="rId548" Type="http://schemas.openxmlformats.org/officeDocument/2006/relationships/hyperlink" Target="https://learn.microsoft.com/en-us/intune/device-security/security-baselines/ref-windows-mdm-settings?pivots=mdm-24h2" TargetMode="External"/><Relationship Id="rId91" Type="http://schemas.openxmlformats.org/officeDocument/2006/relationships/hyperlink" Target="https://learn.microsoft.com/en-us/intune/device-security/security-baselines/ref-windows-mdm-settings?pivots=mdm-24h2" TargetMode="External"/><Relationship Id="rId187" Type="http://schemas.openxmlformats.org/officeDocument/2006/relationships/hyperlink" Target="https://learn.microsoft.com/en-us/intune/device-security/security-baselines/ref-windows-mdm-settings?pivots=mdm-24h2" TargetMode="External"/><Relationship Id="rId394" Type="http://schemas.openxmlformats.org/officeDocument/2006/relationships/hyperlink" Target="https://learn.microsoft.com/en-us/windows/client-management/mdm/policy-csp-Audit?WT.mc_id=Portal-fx" TargetMode="External"/><Relationship Id="rId408" Type="http://schemas.openxmlformats.org/officeDocument/2006/relationships/hyperlink" Target="https://learn.microsoft.com/en-us/windows/client-management/mdm/policy-csp-Audit?WT.mc_id=Portal-fx" TargetMode="External"/><Relationship Id="rId615" Type="http://schemas.openxmlformats.org/officeDocument/2006/relationships/hyperlink" Target="https://learn.microsoft.com/en-us/windows/client-management/mdm/policy-csp-LocalPoliciesSecurityOptions?WT.mc_id=Portal-fx" TargetMode="External"/><Relationship Id="rId254" Type="http://schemas.openxmlformats.org/officeDocument/2006/relationships/hyperlink" Target="https://learn.microsoft.com/en-us/windows/client-management/mdm/policy-csp-internetexplorer?WT.mc_id=Portal-fx" TargetMode="External"/><Relationship Id="rId699" Type="http://schemas.openxmlformats.org/officeDocument/2006/relationships/hyperlink" Target="https://learn.microsoft.com/en-us/windows/client-management/mdm/policy-csp-UserRights?WT.mc_id=Portal-fx" TargetMode="External"/><Relationship Id="rId49" Type="http://schemas.openxmlformats.org/officeDocument/2006/relationships/hyperlink" Target="https://learn.microsoft.com/en-us/intune/device-security/security-baselines/ref-windows-mdm-settings?pivots=mdm-24h2" TargetMode="External"/><Relationship Id="rId114" Type="http://schemas.openxmlformats.org/officeDocument/2006/relationships/hyperlink" Target="https://learn.microsoft.com/en-us/windows/client-management/mdm/policy-csp-internetexplorer?WT.mc_id=Portal-fx" TargetMode="External"/><Relationship Id="rId461" Type="http://schemas.openxmlformats.org/officeDocument/2006/relationships/hyperlink" Target="https://learn.microsoft.com/en-us/intune/device-security/security-baselines/ref-windows-mdm-settings?pivots=mdm-24h2" TargetMode="External"/><Relationship Id="rId559" Type="http://schemas.openxmlformats.org/officeDocument/2006/relationships/hyperlink" Target="https://learn.microsoft.com/en-us/windows/client-management/mdm/firewall-csp?WT.mc_id=Portal-fx" TargetMode="External"/><Relationship Id="rId198" Type="http://schemas.openxmlformats.org/officeDocument/2006/relationships/hyperlink" Target="https://learn.microsoft.com/en-us/windows/client-management/mdm/policy-csp-internetexplorer?WT.mc_id=Portal-fx" TargetMode="External"/><Relationship Id="rId321" Type="http://schemas.openxmlformats.org/officeDocument/2006/relationships/hyperlink" Target="https://learn.microsoft.com/en-us/intune/device-security/security-baselines/ref-windows-mdm-settings?pivots=mdm-24h2" TargetMode="External"/><Relationship Id="rId419" Type="http://schemas.openxmlformats.org/officeDocument/2006/relationships/hyperlink" Target="https://learn.microsoft.com/en-us/intune/device-security/security-baselines/ref-windows-mdm-settings?pivots=mdm-24h2" TargetMode="External"/><Relationship Id="rId626" Type="http://schemas.openxmlformats.org/officeDocument/2006/relationships/hyperlink" Target="https://learn.microsoft.com/en-us/intune/device-security/security-baselines/ref-windows-mdm-settings?pivots=mdm-24h2" TargetMode="External"/><Relationship Id="rId265" Type="http://schemas.openxmlformats.org/officeDocument/2006/relationships/hyperlink" Target="https://learn.microsoft.com/en-us/intune/device-security/security-baselines/ref-windows-mdm-settings?pivots=mdm-24h2" TargetMode="External"/><Relationship Id="rId472" Type="http://schemas.openxmlformats.org/officeDocument/2006/relationships/hyperlink" Target="https://learn.microsoft.com/en-us/windows/security/threat-protection/microsoft-defender-atp/attack-surface-reduction?WT.mc_id=Portal-fx" TargetMode="External"/><Relationship Id="rId125" Type="http://schemas.openxmlformats.org/officeDocument/2006/relationships/hyperlink" Target="https://learn.microsoft.com/en-us/intune/device-security/security-baselines/ref-windows-mdm-settings?pivots=mdm-24h2" TargetMode="External"/><Relationship Id="rId332" Type="http://schemas.openxmlformats.org/officeDocument/2006/relationships/hyperlink" Target="https://learn.microsoft.com/en-us/windows/client-management/mdm/policy-csp-internetexplorer?WT.mc_id=Portal-fx" TargetMode="External"/><Relationship Id="rId637" Type="http://schemas.openxmlformats.org/officeDocument/2006/relationships/hyperlink" Target="https://learn.microsoft.com/en-us/windows/client-management/mdm/policy-csp-ApplicationManagement?WT.mc_id=Portal-fx" TargetMode="External"/><Relationship Id="rId276" Type="http://schemas.openxmlformats.org/officeDocument/2006/relationships/hyperlink" Target="https://learn.microsoft.com/en-us/windows/client-management/mdm/policy-csp-internetexplorer?WT.mc_id=Portal-fx" TargetMode="External"/><Relationship Id="rId483" Type="http://schemas.openxmlformats.org/officeDocument/2006/relationships/hyperlink" Target="https://learn.microsoft.com/en-us/intune/device-security/security-baselines/ref-windows-mdm-settings?pivots=mdm-24h2" TargetMode="External"/><Relationship Id="rId690" Type="http://schemas.openxmlformats.org/officeDocument/2006/relationships/hyperlink" Target="https://learn.microsoft.com/en-us/intune/device-security/security-baselines/ref-windows-mdm-settings?pivots=mdm-24h2" TargetMode="External"/><Relationship Id="rId704" Type="http://schemas.openxmlformats.org/officeDocument/2006/relationships/hyperlink" Target="https://learn.microsoft.com/en-us/intune/device-security/security-baselines/ref-windows-mdm-settings?pivots=mdm-24h2" TargetMode="External"/><Relationship Id="rId40" Type="http://schemas.openxmlformats.org/officeDocument/2006/relationships/hyperlink" Target="https://learn.microsoft.com/en-us/windows/client-management/mdm/policy-csp-printers?WT.mc_id=Portal-fx" TargetMode="External"/><Relationship Id="rId136" Type="http://schemas.openxmlformats.org/officeDocument/2006/relationships/hyperlink" Target="https://learn.microsoft.com/en-us/windows/client-management/mdm/policy-csp-internetexplorer?WT.mc_id=Portal-fx" TargetMode="External"/><Relationship Id="rId343" Type="http://schemas.openxmlformats.org/officeDocument/2006/relationships/hyperlink" Target="https://learn.microsoft.com/en-us/intune/device-security/security-baselines/ref-windows-mdm-settings?pivots=mdm-24h2" TargetMode="External"/><Relationship Id="rId550" Type="http://schemas.openxmlformats.org/officeDocument/2006/relationships/hyperlink" Target="https://learn.microsoft.com/en-us/intune/device-security/security-baselines/ref-windows-mdm-settings?pivots=mdm-24h2"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20" customWidth="1"/>
    <col min="2" max="2" width="24" style="20" customWidth="1"/>
    <col min="3" max="3" width="90" style="20" customWidth="1"/>
    <col min="4" max="4" width="9.1796875" style="20" customWidth="1"/>
    <col min="5" max="16384" width="9.1796875" style="20"/>
  </cols>
  <sheetData>
    <row r="2" spans="2:3" ht="31" x14ac:dyDescent="0.7">
      <c r="B2" s="21" t="s">
        <v>2862</v>
      </c>
    </row>
    <row r="3" spans="2:3" ht="15" customHeight="1" x14ac:dyDescent="0.35"/>
    <row r="4" spans="2:3" ht="58" x14ac:dyDescent="0.35">
      <c r="B4" s="22" t="s">
        <v>2863</v>
      </c>
      <c r="C4" s="23" t="s">
        <v>2864</v>
      </c>
    </row>
    <row r="5" spans="2:3" x14ac:dyDescent="0.35">
      <c r="C5" s="23" t="s">
        <v>2865</v>
      </c>
    </row>
    <row r="6" spans="2:3" x14ac:dyDescent="0.35">
      <c r="C6" s="20" t="s">
        <v>2866</v>
      </c>
    </row>
    <row r="7" spans="2:3" ht="10" customHeight="1" x14ac:dyDescent="0.35"/>
    <row r="8" spans="2:3" ht="232" x14ac:dyDescent="0.35">
      <c r="B8" s="24" t="s">
        <v>2867</v>
      </c>
      <c r="C8" s="23" t="s">
        <v>2868</v>
      </c>
    </row>
    <row r="9" spans="2:3" ht="10" customHeight="1" x14ac:dyDescent="0.35"/>
    <row r="10" spans="2:3" ht="35" customHeight="1" x14ac:dyDescent="0.35">
      <c r="B10" s="24" t="s">
        <v>2869</v>
      </c>
      <c r="C10" s="23" t="s">
        <v>2870</v>
      </c>
    </row>
    <row r="11" spans="2:3" ht="75" customHeight="1" x14ac:dyDescent="0.35">
      <c r="B11" s="20" t="s">
        <v>28</v>
      </c>
      <c r="C11" s="23" t="s">
        <v>2871</v>
      </c>
    </row>
    <row r="12" spans="2:3" ht="47" customHeight="1" x14ac:dyDescent="0.35">
      <c r="B12" s="20" t="s">
        <v>28</v>
      </c>
      <c r="C12" s="23" t="s">
        <v>2872</v>
      </c>
    </row>
    <row r="13" spans="2:3" ht="35" customHeight="1" x14ac:dyDescent="0.35">
      <c r="B13" s="20" t="s">
        <v>28</v>
      </c>
      <c r="C13" s="23" t="s">
        <v>2873</v>
      </c>
    </row>
    <row r="14" spans="2:3" ht="32" customHeight="1" x14ac:dyDescent="0.35">
      <c r="B14" s="20" t="s">
        <v>28</v>
      </c>
      <c r="C14" s="23" t="s">
        <v>2874</v>
      </c>
    </row>
    <row r="15" spans="2:3" ht="30" customHeight="1" x14ac:dyDescent="0.35">
      <c r="B15" s="20" t="s">
        <v>28</v>
      </c>
      <c r="C15" s="23" t="s">
        <v>2875</v>
      </c>
    </row>
    <row r="16" spans="2:3" ht="10" customHeight="1" x14ac:dyDescent="0.35"/>
    <row r="17" spans="1:3" ht="145" customHeight="1" x14ac:dyDescent="0.35">
      <c r="B17" s="24" t="s">
        <v>2876</v>
      </c>
      <c r="C17" s="23" t="s">
        <v>2877</v>
      </c>
    </row>
    <row r="18" spans="1:3" ht="10" customHeight="1" x14ac:dyDescent="0.35"/>
    <row r="19" spans="1:3" ht="3" customHeight="1" x14ac:dyDescent="0.35">
      <c r="B19" s="25"/>
      <c r="C19" s="25"/>
    </row>
    <row r="20" spans="1:3" ht="12" customHeight="1" x14ac:dyDescent="0.35"/>
    <row r="21" spans="1:3" ht="35" customHeight="1" x14ac:dyDescent="0.35">
      <c r="A21" s="27"/>
      <c r="B21" s="28" t="s">
        <v>2878</v>
      </c>
      <c r="C21" s="29" t="s">
        <v>2879</v>
      </c>
    </row>
    <row r="22" spans="1:3" ht="18" customHeight="1" x14ac:dyDescent="0.35">
      <c r="A22" s="27"/>
      <c r="B22" s="27" t="s">
        <v>28</v>
      </c>
      <c r="C22" s="29" t="s">
        <v>2880</v>
      </c>
    </row>
    <row r="23" spans="1:3" ht="18" customHeight="1" x14ac:dyDescent="0.35">
      <c r="A23" s="27"/>
      <c r="B23" s="27" t="s">
        <v>28</v>
      </c>
      <c r="C23" s="29" t="s">
        <v>2881</v>
      </c>
    </row>
    <row r="24" spans="1:3" ht="18" customHeight="1" x14ac:dyDescent="0.35">
      <c r="A24" s="27"/>
      <c r="B24" s="27" t="s">
        <v>28</v>
      </c>
      <c r="C24" s="29" t="s">
        <v>2882</v>
      </c>
    </row>
    <row r="25" spans="1:3" ht="18" customHeight="1" x14ac:dyDescent="0.35">
      <c r="A25" s="27"/>
      <c r="B25" s="27" t="s">
        <v>28</v>
      </c>
      <c r="C25" s="29" t="s">
        <v>2883</v>
      </c>
    </row>
    <row r="26" spans="1:3" ht="18" customHeight="1" x14ac:dyDescent="0.35">
      <c r="A26" s="27"/>
      <c r="B26" s="27" t="s">
        <v>28</v>
      </c>
      <c r="C26" s="29" t="s">
        <v>2884</v>
      </c>
    </row>
    <row r="27" spans="1:3" ht="18" customHeight="1" x14ac:dyDescent="0.35">
      <c r="A27" s="27"/>
      <c r="B27" s="27" t="s">
        <v>28</v>
      </c>
      <c r="C27" s="29" t="s">
        <v>2885</v>
      </c>
    </row>
    <row r="28" spans="1:3" ht="18" customHeight="1" x14ac:dyDescent="0.35">
      <c r="A28" s="27"/>
      <c r="B28" s="27" t="s">
        <v>28</v>
      </c>
      <c r="C28" s="29" t="s">
        <v>2886</v>
      </c>
    </row>
    <row r="29" spans="1:3" ht="18" customHeight="1" x14ac:dyDescent="0.35">
      <c r="A29" s="27"/>
      <c r="B29" s="27" t="s">
        <v>28</v>
      </c>
      <c r="C29" s="29" t="s">
        <v>2887</v>
      </c>
    </row>
    <row r="30" spans="1:3" ht="44" customHeight="1" x14ac:dyDescent="0.35">
      <c r="A30" s="27"/>
      <c r="B30" s="27" t="s">
        <v>28</v>
      </c>
      <c r="C30" s="30" t="s">
        <v>2888</v>
      </c>
    </row>
    <row r="31" spans="1:3" ht="10" customHeight="1" x14ac:dyDescent="0.35"/>
    <row r="32" spans="1:3" ht="3" customHeight="1" x14ac:dyDescent="0.35">
      <c r="B32" s="25"/>
      <c r="C32" s="25"/>
    </row>
    <row r="33" spans="2:3" ht="12" customHeight="1" x14ac:dyDescent="0.35"/>
    <row r="34" spans="2:3" ht="24" customHeight="1" x14ac:dyDescent="0.35">
      <c r="B34" s="31" t="s">
        <v>2889</v>
      </c>
      <c r="C34" s="32" t="s">
        <v>2890</v>
      </c>
    </row>
    <row r="35" spans="2:3" ht="18.5" x14ac:dyDescent="0.35">
      <c r="B35" s="31" t="s">
        <v>2891</v>
      </c>
      <c r="C35" s="33" t="s">
        <v>2892</v>
      </c>
    </row>
    <row r="36" spans="2:3" ht="27" customHeight="1" x14ac:dyDescent="0.35">
      <c r="B36" s="34" t="s">
        <v>2893</v>
      </c>
      <c r="C36" s="26" t="s">
        <v>2894</v>
      </c>
    </row>
    <row r="37" spans="2:3" ht="29" x14ac:dyDescent="0.35">
      <c r="B37" s="31" t="s">
        <v>2895</v>
      </c>
      <c r="C37" s="35" t="s">
        <v>2896</v>
      </c>
    </row>
    <row r="38" spans="2:3" ht="10" customHeight="1" x14ac:dyDescent="0.35"/>
    <row r="39" spans="2:3" ht="72.5" x14ac:dyDescent="0.35">
      <c r="B39" s="31" t="s">
        <v>2897</v>
      </c>
      <c r="C39" s="36" t="s">
        <v>2898</v>
      </c>
    </row>
    <row r="41" spans="2:3" ht="10" customHeight="1" x14ac:dyDescent="0.35"/>
    <row r="42" spans="2:3" ht="3" customHeight="1" x14ac:dyDescent="0.35">
      <c r="B42" s="25"/>
      <c r="C42" s="25"/>
    </row>
    <row r="43" spans="2:3" ht="12" customHeight="1" x14ac:dyDescent="0.35"/>
    <row r="44" spans="2:3" ht="130.5" x14ac:dyDescent="0.35">
      <c r="B44" s="22" t="s">
        <v>2899</v>
      </c>
      <c r="C44" s="23" t="s">
        <v>2900</v>
      </c>
    </row>
    <row r="45" spans="2:3" ht="6" customHeight="1" x14ac:dyDescent="0.35"/>
    <row r="46" spans="2:3" ht="217.5" x14ac:dyDescent="0.35">
      <c r="C46" s="23" t="s">
        <v>2901</v>
      </c>
    </row>
    <row r="47" spans="2:3" ht="6" customHeight="1" x14ac:dyDescent="0.35"/>
    <row r="48" spans="2:3" ht="43.5" x14ac:dyDescent="0.35">
      <c r="C48" s="23" t="s">
        <v>2902</v>
      </c>
    </row>
    <row r="49" spans="2:3" ht="10" customHeight="1" x14ac:dyDescent="0.35"/>
    <row r="50" spans="2:3" ht="3" customHeight="1" x14ac:dyDescent="0.35">
      <c r="B50" s="25"/>
      <c r="C50" s="25"/>
    </row>
    <row r="51" spans="2:3" ht="12" customHeight="1" x14ac:dyDescent="0.35"/>
    <row r="52" spans="2:3" ht="145" x14ac:dyDescent="0.35">
      <c r="B52" s="22" t="s">
        <v>2903</v>
      </c>
      <c r="C52" s="23" t="s">
        <v>2904</v>
      </c>
    </row>
    <row r="53" spans="2:3" ht="6" customHeight="1" x14ac:dyDescent="0.35"/>
    <row r="54" spans="2:3" ht="203" x14ac:dyDescent="0.35">
      <c r="C54" s="23" t="s">
        <v>2905</v>
      </c>
    </row>
    <row r="55" spans="2:3" ht="6" customHeight="1" x14ac:dyDescent="0.35"/>
    <row r="56" spans="2:3" ht="43.5" x14ac:dyDescent="0.35">
      <c r="C56" s="23" t="s">
        <v>2906</v>
      </c>
    </row>
    <row r="57" spans="2:3" ht="10" customHeight="1" x14ac:dyDescent="0.35"/>
    <row r="58" spans="2:3" ht="3" customHeight="1" x14ac:dyDescent="0.35">
      <c r="B58" s="25"/>
      <c r="C58" s="25"/>
    </row>
    <row r="59" spans="2:3" ht="12" customHeight="1" x14ac:dyDescent="0.35"/>
    <row r="60" spans="2:3" ht="101.5" x14ac:dyDescent="0.35">
      <c r="B60" s="22" t="s">
        <v>2907</v>
      </c>
      <c r="C60" s="23" t="s">
        <v>2908</v>
      </c>
    </row>
    <row r="61" spans="2:3" ht="6" customHeight="1" x14ac:dyDescent="0.35"/>
    <row r="62" spans="2:3" ht="145" x14ac:dyDescent="0.35">
      <c r="C62" s="23" t="s">
        <v>2909</v>
      </c>
    </row>
    <row r="63" spans="2:3" ht="6" customHeight="1" x14ac:dyDescent="0.35"/>
    <row r="64" spans="2:3" ht="43.5" x14ac:dyDescent="0.35">
      <c r="C64" s="23" t="s">
        <v>2910</v>
      </c>
    </row>
    <row r="65" spans="2:3" ht="10" customHeight="1" x14ac:dyDescent="0.35"/>
    <row r="66" spans="2:3" ht="3" customHeight="1" x14ac:dyDescent="0.35">
      <c r="B66" s="25"/>
      <c r="C66" s="25"/>
    </row>
    <row r="67" spans="2:3" ht="12" customHeight="1" x14ac:dyDescent="0.35"/>
    <row r="68" spans="2:3" ht="26" customHeight="1" x14ac:dyDescent="0.35">
      <c r="B68" s="37" t="s">
        <v>2911</v>
      </c>
    </row>
    <row r="69" spans="2:3" ht="8" customHeight="1" x14ac:dyDescent="0.35"/>
    <row r="70" spans="2:3" ht="20" customHeight="1" x14ac:dyDescent="0.35">
      <c r="B70" s="31" t="s">
        <v>2912</v>
      </c>
      <c r="C70" s="38" t="s">
        <v>2913</v>
      </c>
    </row>
    <row r="71" spans="2:3" ht="116" x14ac:dyDescent="0.35">
      <c r="C71" s="23" t="s">
        <v>2914</v>
      </c>
    </row>
    <row r="72" spans="2:3" ht="10" customHeight="1" x14ac:dyDescent="0.35"/>
    <row r="73" spans="2:3" ht="20" customHeight="1" x14ac:dyDescent="0.35">
      <c r="B73" s="31" t="s">
        <v>2915</v>
      </c>
      <c r="C73" s="38" t="s">
        <v>2916</v>
      </c>
    </row>
    <row r="74" spans="2:3" ht="116" x14ac:dyDescent="0.35">
      <c r="C74" s="23" t="s">
        <v>2917</v>
      </c>
    </row>
    <row r="75" spans="2:3" ht="10" customHeight="1" x14ac:dyDescent="0.35"/>
    <row r="76" spans="2:3" ht="20" customHeight="1" x14ac:dyDescent="0.35">
      <c r="B76" s="31" t="s">
        <v>2918</v>
      </c>
      <c r="C76" s="38" t="s">
        <v>2919</v>
      </c>
    </row>
    <row r="77" spans="2:3" ht="130.5" x14ac:dyDescent="0.35">
      <c r="C77" s="23" t="s">
        <v>2920</v>
      </c>
    </row>
    <row r="78" spans="2:3" ht="10" customHeight="1" x14ac:dyDescent="0.35"/>
    <row r="79" spans="2:3" ht="20" customHeight="1" x14ac:dyDescent="0.35">
      <c r="B79" s="31" t="s">
        <v>2921</v>
      </c>
      <c r="C79" s="38" t="s">
        <v>2922</v>
      </c>
    </row>
    <row r="80" spans="2:3" ht="130.5" x14ac:dyDescent="0.35">
      <c r="C80" s="23" t="s">
        <v>2923</v>
      </c>
    </row>
    <row r="81" spans="2:3" ht="10" customHeight="1" x14ac:dyDescent="0.35"/>
    <row r="82" spans="2:3" ht="20" customHeight="1" x14ac:dyDescent="0.35">
      <c r="B82" s="31" t="s">
        <v>2924</v>
      </c>
      <c r="C82" s="38" t="s">
        <v>2925</v>
      </c>
    </row>
    <row r="83" spans="2:3" ht="116" x14ac:dyDescent="0.35">
      <c r="C83" s="23" t="s">
        <v>2926</v>
      </c>
    </row>
    <row r="84" spans="2:3" ht="10" customHeight="1" x14ac:dyDescent="0.35"/>
    <row r="85" spans="2:3" ht="20" customHeight="1" x14ac:dyDescent="0.35">
      <c r="B85" s="31" t="s">
        <v>2927</v>
      </c>
      <c r="C85" s="38" t="s">
        <v>2928</v>
      </c>
    </row>
    <row r="86" spans="2:3" ht="116" x14ac:dyDescent="0.35">
      <c r="C86" s="23" t="s">
        <v>2929</v>
      </c>
    </row>
    <row r="87" spans="2:3" ht="10" customHeight="1" x14ac:dyDescent="0.35"/>
    <row r="88" spans="2:3" ht="20" customHeight="1" x14ac:dyDescent="0.35">
      <c r="B88" s="31" t="s">
        <v>2930</v>
      </c>
      <c r="C88" s="38" t="s">
        <v>2931</v>
      </c>
    </row>
    <row r="89" spans="2:3" ht="203" x14ac:dyDescent="0.35">
      <c r="C89" s="23" t="s">
        <v>2932</v>
      </c>
    </row>
    <row r="90" spans="2:3" ht="10" customHeight="1" x14ac:dyDescent="0.35"/>
    <row r="93" spans="2:3" ht="32" customHeight="1" x14ac:dyDescent="0.35">
      <c r="B93" s="266" t="s">
        <v>2861</v>
      </c>
      <c r="C93" s="266"/>
    </row>
  </sheetData>
  <sheetProtection password="90EA" sheet="1"/>
  <mergeCells count="1">
    <mergeCell ref="B93:C93"/>
  </mergeCells>
  <hyperlinks>
    <hyperlink ref="C5" r:id="rId1" xr:uid="{00000000-0004-0000-0000-000000000000}"/>
    <hyperlink ref="C6" r:id="rId2" xr:uid="{00000000-0004-0000-0000-000001000000}"/>
    <hyperlink ref="C37" r:id="rId3" location="security-baseline-for-windows-version-24h2" xr:uid="{00000000-0004-0000-0000-000002000000}"/>
    <hyperlink ref="B9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0" t="s">
        <v>5558</v>
      </c>
      <c r="B1" s="231" t="s">
        <v>1</v>
      </c>
      <c r="C1" s="231" t="s">
        <v>3091</v>
      </c>
      <c r="D1" s="231" t="s">
        <v>3092</v>
      </c>
      <c r="E1" s="231" t="s">
        <v>3097</v>
      </c>
      <c r="F1" s="231" t="s">
        <v>3098</v>
      </c>
      <c r="G1" s="231" t="s">
        <v>3099</v>
      </c>
      <c r="H1" s="231" t="s">
        <v>3100</v>
      </c>
      <c r="I1" s="231" t="s">
        <v>3101</v>
      </c>
      <c r="J1" s="231" t="s">
        <v>3102</v>
      </c>
      <c r="K1" s="231" t="s">
        <v>3103</v>
      </c>
      <c r="L1" s="231" t="s">
        <v>3104</v>
      </c>
      <c r="M1" s="231" t="s">
        <v>3105</v>
      </c>
      <c r="N1" s="231" t="s">
        <v>3106</v>
      </c>
      <c r="O1" s="231" t="s">
        <v>3107</v>
      </c>
      <c r="P1" s="231" t="s">
        <v>3108</v>
      </c>
      <c r="Q1" s="231" t="s">
        <v>3109</v>
      </c>
      <c r="R1" s="231" t="s">
        <v>3110</v>
      </c>
      <c r="S1" s="231" t="s">
        <v>3111</v>
      </c>
      <c r="T1" s="231" t="s">
        <v>3112</v>
      </c>
      <c r="U1" s="231" t="s">
        <v>3113</v>
      </c>
      <c r="V1" s="231" t="s">
        <v>3114</v>
      </c>
      <c r="W1" s="231" t="s">
        <v>3115</v>
      </c>
      <c r="X1" s="231" t="s">
        <v>3116</v>
      </c>
      <c r="Y1" s="231" t="s">
        <v>3117</v>
      </c>
      <c r="Z1" s="231" t="s">
        <v>3118</v>
      </c>
      <c r="AA1" s="231" t="s">
        <v>3119</v>
      </c>
      <c r="AB1" s="231" t="s">
        <v>3120</v>
      </c>
      <c r="AC1" s="231" t="s">
        <v>3121</v>
      </c>
      <c r="AD1" s="231" t="s">
        <v>3122</v>
      </c>
      <c r="AE1" s="231" t="s">
        <v>3123</v>
      </c>
      <c r="AF1" s="231" t="s">
        <v>3124</v>
      </c>
      <c r="AG1" s="231" t="s">
        <v>3125</v>
      </c>
      <c r="AH1" s="231" t="s">
        <v>3126</v>
      </c>
      <c r="AI1" s="231" t="s">
        <v>3127</v>
      </c>
      <c r="AJ1" s="231" t="s">
        <v>3128</v>
      </c>
      <c r="AK1" s="231" t="s">
        <v>3129</v>
      </c>
      <c r="AL1" s="231" t="s">
        <v>3130</v>
      </c>
      <c r="AM1" s="231" t="s">
        <v>3131</v>
      </c>
      <c r="AN1" s="231" t="s">
        <v>3132</v>
      </c>
      <c r="AO1" s="231" t="s">
        <v>3133</v>
      </c>
      <c r="AP1" s="231" t="s">
        <v>3134</v>
      </c>
      <c r="AQ1" s="231" t="s">
        <v>3135</v>
      </c>
      <c r="AR1" s="231" t="s">
        <v>3136</v>
      </c>
      <c r="AS1" s="232" t="s">
        <v>3137</v>
      </c>
    </row>
    <row r="2" spans="1:45" ht="60" customHeight="1" outlineLevel="1" x14ac:dyDescent="0.35">
      <c r="A2" s="224" t="s">
        <v>5559</v>
      </c>
      <c r="B2" s="211" t="s">
        <v>5560</v>
      </c>
      <c r="C2" s="210"/>
      <c r="D2" s="214"/>
      <c r="E2" s="216" t="str">
        <f>IF(COUNTIF(F2:AS2,"&lt;&gt;")=0,"",SUMPRODUCT(((Recommendations[ImplStatus]="Implemented")+(Recommendations[ImplStatus]="Compensated"))*ISNUMBER(MATCH(Recommendations[Id],F2:AS2,0)))/COUNTIF(F2:AS2,"&lt;&gt;"))</f>
        <v/>
      </c>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27"/>
    </row>
    <row r="3" spans="1:45" ht="60" customHeight="1" x14ac:dyDescent="0.35">
      <c r="A3" s="225" t="s">
        <v>5559</v>
      </c>
      <c r="B3" s="212" t="s">
        <v>5561</v>
      </c>
      <c r="C3" s="213" t="s">
        <v>5562</v>
      </c>
      <c r="D3" s="215" t="s">
        <v>5563</v>
      </c>
      <c r="E3" s="217" t="str">
        <f>IF(COUNTIF(F3:AS3,"&lt;&gt;")=0,"",SUMPRODUCT(((Recommendations[ImplStatus]="Implemented")+(Recommendations[ImplStatus]="Compensated"))*ISNUMBER(MATCH(Recommendations[Id],F3:AS3,0)))/COUNTIF(F3:AS3,"&lt;&gt;"))</f>
        <v/>
      </c>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28"/>
    </row>
    <row r="4" spans="1:45" ht="60" customHeight="1" x14ac:dyDescent="0.35">
      <c r="A4" s="225" t="s">
        <v>5559</v>
      </c>
      <c r="B4" s="212" t="s">
        <v>5564</v>
      </c>
      <c r="C4" s="213" t="s">
        <v>5565</v>
      </c>
      <c r="D4" s="215" t="s">
        <v>5566</v>
      </c>
      <c r="E4" s="217" t="str">
        <f>IF(COUNTIF(F4:AS4,"&lt;&gt;")=0,"",SUMPRODUCT(((Recommendations[ImplStatus]="Implemented")+(Recommendations[ImplStatus]="Compensated"))*ISNUMBER(MATCH(Recommendations[Id],F4:AS4,0)))/COUNTIF(F4:AS4,"&lt;&gt;"))</f>
        <v/>
      </c>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28"/>
    </row>
    <row r="5" spans="1:45" ht="60" customHeight="1" x14ac:dyDescent="0.35">
      <c r="A5" s="225" t="s">
        <v>5559</v>
      </c>
      <c r="B5" s="212" t="s">
        <v>5567</v>
      </c>
      <c r="C5" s="213" t="s">
        <v>5568</v>
      </c>
      <c r="D5" s="215" t="s">
        <v>5569</v>
      </c>
      <c r="E5" s="217" t="str">
        <f>IF(COUNTIF(F5:AS5,"&lt;&gt;")=0,"",SUMPRODUCT(((Recommendations[ImplStatus]="Implemented")+(Recommendations[ImplStatus]="Compensated"))*ISNUMBER(MATCH(Recommendations[Id],F5:AS5,0)))/COUNTIF(F5:AS5,"&lt;&gt;"))</f>
        <v/>
      </c>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28"/>
    </row>
    <row r="6" spans="1:45" ht="60" customHeight="1" x14ac:dyDescent="0.35">
      <c r="A6" s="225" t="s">
        <v>5559</v>
      </c>
      <c r="B6" s="212" t="s">
        <v>5570</v>
      </c>
      <c r="C6" s="213" t="s">
        <v>5571</v>
      </c>
      <c r="D6" s="215" t="s">
        <v>5572</v>
      </c>
      <c r="E6" s="217" t="str">
        <f>IF(COUNTIF(F6:AS6,"&lt;&gt;")=0,"",SUMPRODUCT(((Recommendations[ImplStatus]="Implemented")+(Recommendations[ImplStatus]="Compensated"))*ISNUMBER(MATCH(Recommendations[Id],F6:AS6,0)))/COUNTIF(F6:AS6,"&lt;&gt;"))</f>
        <v/>
      </c>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28"/>
    </row>
    <row r="7" spans="1:45" ht="60" customHeight="1" x14ac:dyDescent="0.35">
      <c r="A7" s="225" t="s">
        <v>5559</v>
      </c>
      <c r="B7" s="212" t="s">
        <v>5573</v>
      </c>
      <c r="C7" s="213" t="s">
        <v>5574</v>
      </c>
      <c r="D7" s="215" t="s">
        <v>5575</v>
      </c>
      <c r="E7" s="217" t="str">
        <f>IF(COUNTIF(F7:AS7,"&lt;&gt;")=0,"",SUMPRODUCT(((Recommendations[ImplStatus]="Implemented")+(Recommendations[ImplStatus]="Compensated"))*ISNUMBER(MATCH(Recommendations[Id],F7:AS7,0)))/COUNTIF(F7:AS7,"&lt;&gt;"))</f>
        <v/>
      </c>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28"/>
    </row>
    <row r="8" spans="1:45" ht="60" customHeight="1" x14ac:dyDescent="0.35">
      <c r="A8" s="225" t="s">
        <v>5559</v>
      </c>
      <c r="B8" s="212" t="s">
        <v>5576</v>
      </c>
      <c r="C8" s="213" t="s">
        <v>5577</v>
      </c>
      <c r="D8" s="215" t="s">
        <v>5578</v>
      </c>
      <c r="E8" s="217" t="str">
        <f>IF(COUNTIF(F8:AS8,"&lt;&gt;")=0,"",SUMPRODUCT(((Recommendations[ImplStatus]="Implemented")+(Recommendations[ImplStatus]="Compensated"))*ISNUMBER(MATCH(Recommendations[Id],F8:AS8,0)))/COUNTIF(F8:AS8,"&lt;&gt;"))</f>
        <v/>
      </c>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28"/>
    </row>
    <row r="9" spans="1:45" ht="60" customHeight="1" x14ac:dyDescent="0.35">
      <c r="A9" s="225" t="s">
        <v>5559</v>
      </c>
      <c r="B9" s="212" t="s">
        <v>5579</v>
      </c>
      <c r="C9" s="213" t="s">
        <v>5580</v>
      </c>
      <c r="D9" s="215" t="s">
        <v>5581</v>
      </c>
      <c r="E9" s="217" t="str">
        <f>IF(COUNTIF(F9:AS9,"&lt;&gt;")=0,"",SUMPRODUCT(((Recommendations[ImplStatus]="Implemented")+(Recommendations[ImplStatus]="Compensated"))*ISNUMBER(MATCH(Recommendations[Id],F9:AS9,0)))/COUNTIF(F9:AS9,"&lt;&gt;"))</f>
        <v/>
      </c>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28"/>
    </row>
    <row r="10" spans="1:45" ht="60" customHeight="1" x14ac:dyDescent="0.35">
      <c r="A10" s="225" t="s">
        <v>5559</v>
      </c>
      <c r="B10" s="212" t="s">
        <v>5582</v>
      </c>
      <c r="C10" s="213" t="s">
        <v>5583</v>
      </c>
      <c r="D10" s="215" t="s">
        <v>5584</v>
      </c>
      <c r="E10" s="217" t="str">
        <f>IF(COUNTIF(F10:AS10,"&lt;&gt;")=0,"",SUMPRODUCT(((Recommendations[ImplStatus]="Implemented")+(Recommendations[ImplStatus]="Compensated"))*ISNUMBER(MATCH(Recommendations[Id],F10:AS10,0)))/COUNTIF(F10:AS10,"&lt;&gt;"))</f>
        <v/>
      </c>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28"/>
    </row>
    <row r="11" spans="1:45" ht="60" customHeight="1" x14ac:dyDescent="0.35">
      <c r="A11" s="225" t="s">
        <v>5559</v>
      </c>
      <c r="B11" s="212" t="s">
        <v>5585</v>
      </c>
      <c r="C11" s="213" t="s">
        <v>5586</v>
      </c>
      <c r="D11" s="215" t="s">
        <v>5587</v>
      </c>
      <c r="E11" s="217" t="str">
        <f>IF(COUNTIF(F11:AS11,"&lt;&gt;")=0,"",SUMPRODUCT(((Recommendations[ImplStatus]="Implemented")+(Recommendations[ImplStatus]="Compensated"))*ISNUMBER(MATCH(Recommendations[Id],F11:AS11,0)))/COUNTIF(F11:AS11,"&lt;&gt;"))</f>
        <v/>
      </c>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28"/>
    </row>
    <row r="12" spans="1:45" ht="60" customHeight="1" x14ac:dyDescent="0.35">
      <c r="A12" s="225" t="s">
        <v>5559</v>
      </c>
      <c r="B12" s="212" t="s">
        <v>5588</v>
      </c>
      <c r="C12" s="213" t="s">
        <v>5589</v>
      </c>
      <c r="D12" s="215" t="s">
        <v>5590</v>
      </c>
      <c r="E12" s="217" t="str">
        <f>IF(COUNTIF(F12:AS12,"&lt;&gt;")=0,"",SUMPRODUCT(((Recommendations[ImplStatus]="Implemented")+(Recommendations[ImplStatus]="Compensated"))*ISNUMBER(MATCH(Recommendations[Id],F12:AS12,0)))/COUNTIF(F12:AS12,"&lt;&gt;"))</f>
        <v/>
      </c>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28"/>
    </row>
    <row r="13" spans="1:45" ht="60" customHeight="1" x14ac:dyDescent="0.35">
      <c r="A13" s="225" t="s">
        <v>5559</v>
      </c>
      <c r="B13" s="212" t="s">
        <v>5591</v>
      </c>
      <c r="C13" s="213" t="s">
        <v>5592</v>
      </c>
      <c r="D13" s="215" t="s">
        <v>5593</v>
      </c>
      <c r="E13" s="217" t="str">
        <f>IF(COUNTIF(F13:AS13,"&lt;&gt;")=0,"",SUMPRODUCT(((Recommendations[ImplStatus]="Implemented")+(Recommendations[ImplStatus]="Compensated"))*ISNUMBER(MATCH(Recommendations[Id],F13:AS13,0)))/COUNTIF(F13:AS13,"&lt;&gt;"))</f>
        <v/>
      </c>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28"/>
    </row>
    <row r="14" spans="1:45" ht="60" customHeight="1" x14ac:dyDescent="0.35">
      <c r="A14" s="225" t="s">
        <v>5559</v>
      </c>
      <c r="B14" s="212" t="s">
        <v>5594</v>
      </c>
      <c r="C14" s="213" t="s">
        <v>5595</v>
      </c>
      <c r="D14" s="215" t="s">
        <v>5596</v>
      </c>
      <c r="E14" s="217" t="str">
        <f>IF(COUNTIF(F14:AS14,"&lt;&gt;")=0,"",SUMPRODUCT(((Recommendations[ImplStatus]="Implemented")+(Recommendations[ImplStatus]="Compensated"))*ISNUMBER(MATCH(Recommendations[Id],F14:AS14,0)))/COUNTIF(F14:AS14,"&lt;&gt;"))</f>
        <v/>
      </c>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28"/>
    </row>
    <row r="15" spans="1:45" ht="60" customHeight="1" x14ac:dyDescent="0.35">
      <c r="A15" s="225" t="s">
        <v>5559</v>
      </c>
      <c r="B15" s="212" t="s">
        <v>5597</v>
      </c>
      <c r="C15" s="213" t="s">
        <v>5598</v>
      </c>
      <c r="D15" s="215" t="s">
        <v>5599</v>
      </c>
      <c r="E15" s="217" t="str">
        <f>IF(COUNTIF(F15:AS15,"&lt;&gt;")=0,"",SUMPRODUCT(((Recommendations[ImplStatus]="Implemented")+(Recommendations[ImplStatus]="Compensated"))*ISNUMBER(MATCH(Recommendations[Id],F15:AS15,0)))/COUNTIF(F15:AS15,"&lt;&gt;"))</f>
        <v/>
      </c>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28"/>
    </row>
    <row r="16" spans="1:45" ht="60" customHeight="1" x14ac:dyDescent="0.35">
      <c r="A16" s="225" t="s">
        <v>5559</v>
      </c>
      <c r="B16" s="212" t="s">
        <v>5600</v>
      </c>
      <c r="C16" s="213" t="s">
        <v>5601</v>
      </c>
      <c r="D16" s="215" t="s">
        <v>5602</v>
      </c>
      <c r="E16" s="217" t="str">
        <f>IF(COUNTIF(F16:AS16,"&lt;&gt;")=0,"",SUMPRODUCT(((Recommendations[ImplStatus]="Implemented")+(Recommendations[ImplStatus]="Compensated"))*ISNUMBER(MATCH(Recommendations[Id],F16:AS16,0)))/COUNTIF(F16:AS16,"&lt;&gt;"))</f>
        <v/>
      </c>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28"/>
    </row>
    <row r="17" spans="1:45" ht="60" customHeight="1" x14ac:dyDescent="0.35">
      <c r="A17" s="225" t="s">
        <v>5559</v>
      </c>
      <c r="B17" s="212" t="s">
        <v>5603</v>
      </c>
      <c r="C17" s="213" t="s">
        <v>5604</v>
      </c>
      <c r="D17" s="215" t="s">
        <v>5605</v>
      </c>
      <c r="E17" s="217" t="str">
        <f>IF(COUNTIF(F17:AS17,"&lt;&gt;")=0,"",SUMPRODUCT(((Recommendations[ImplStatus]="Implemented")+(Recommendations[ImplStatus]="Compensated"))*ISNUMBER(MATCH(Recommendations[Id],F17:AS17,0)))/COUNTIF(F17:AS17,"&lt;&gt;"))</f>
        <v/>
      </c>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28"/>
    </row>
    <row r="18" spans="1:45" ht="60" customHeight="1" x14ac:dyDescent="0.35">
      <c r="A18" s="225" t="s">
        <v>5559</v>
      </c>
      <c r="B18" s="212" t="s">
        <v>5606</v>
      </c>
      <c r="C18" s="213" t="s">
        <v>5607</v>
      </c>
      <c r="D18" s="215" t="s">
        <v>5608</v>
      </c>
      <c r="E18" s="217" t="str">
        <f>IF(COUNTIF(F18:AS18,"&lt;&gt;")=0,"",SUMPRODUCT(((Recommendations[ImplStatus]="Implemented")+(Recommendations[ImplStatus]="Compensated"))*ISNUMBER(MATCH(Recommendations[Id],F18:AS18,0)))/COUNTIF(F18:AS18,"&lt;&gt;"))</f>
        <v/>
      </c>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28"/>
    </row>
    <row r="19" spans="1:45" ht="60" customHeight="1" x14ac:dyDescent="0.35">
      <c r="A19" s="225" t="s">
        <v>5559</v>
      </c>
      <c r="B19" s="212" t="s">
        <v>5609</v>
      </c>
      <c r="C19" s="213" t="s">
        <v>5610</v>
      </c>
      <c r="D19" s="215" t="s">
        <v>5611</v>
      </c>
      <c r="E19" s="217" t="str">
        <f>IF(COUNTIF(F19:AS19,"&lt;&gt;")=0,"",SUMPRODUCT(((Recommendations[ImplStatus]="Implemented")+(Recommendations[ImplStatus]="Compensated"))*ISNUMBER(MATCH(Recommendations[Id],F19:AS19,0)))/COUNTIF(F19:AS19,"&lt;&gt;"))</f>
        <v/>
      </c>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28"/>
    </row>
    <row r="20" spans="1:45" ht="60" customHeight="1" x14ac:dyDescent="0.35">
      <c r="A20" s="225" t="s">
        <v>5559</v>
      </c>
      <c r="B20" s="212" t="s">
        <v>5612</v>
      </c>
      <c r="C20" s="213" t="s">
        <v>5613</v>
      </c>
      <c r="D20" s="215" t="s">
        <v>5614</v>
      </c>
      <c r="E20" s="217" t="str">
        <f>IF(COUNTIF(F20:AS20,"&lt;&gt;")=0,"",SUMPRODUCT(((Recommendations[ImplStatus]="Implemented")+(Recommendations[ImplStatus]="Compensated"))*ISNUMBER(MATCH(Recommendations[Id],F20:AS20,0)))/COUNTIF(F20:AS20,"&lt;&gt;"))</f>
        <v/>
      </c>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28"/>
    </row>
    <row r="21" spans="1:45" ht="60" customHeight="1" x14ac:dyDescent="0.35">
      <c r="A21" s="225" t="s">
        <v>5559</v>
      </c>
      <c r="B21" s="212" t="s">
        <v>5615</v>
      </c>
      <c r="C21" s="213" t="s">
        <v>5616</v>
      </c>
      <c r="D21" s="215" t="s">
        <v>5617</v>
      </c>
      <c r="E21" s="217" t="str">
        <f>IF(COUNTIF(F21:AS21,"&lt;&gt;")=0,"",SUMPRODUCT(((Recommendations[ImplStatus]="Implemented")+(Recommendations[ImplStatus]="Compensated"))*ISNUMBER(MATCH(Recommendations[Id],F21:AS21,0)))/COUNTIF(F21:AS21,"&lt;&gt;"))</f>
        <v/>
      </c>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28"/>
    </row>
    <row r="22" spans="1:45" ht="60" customHeight="1" x14ac:dyDescent="0.35">
      <c r="A22" s="225" t="s">
        <v>5559</v>
      </c>
      <c r="B22" s="212" t="s">
        <v>5618</v>
      </c>
      <c r="C22" s="213" t="s">
        <v>5619</v>
      </c>
      <c r="D22" s="215" t="s">
        <v>5620</v>
      </c>
      <c r="E22" s="217" t="str">
        <f>IF(COUNTIF(F22:AS22,"&lt;&gt;")=0,"",SUMPRODUCT(((Recommendations[ImplStatus]="Implemented")+(Recommendations[ImplStatus]="Compensated"))*ISNUMBER(MATCH(Recommendations[Id],F22:AS22,0)))/COUNTIF(F22:AS22,"&lt;&gt;"))</f>
        <v/>
      </c>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28"/>
    </row>
    <row r="23" spans="1:45" ht="60" customHeight="1" x14ac:dyDescent="0.35">
      <c r="A23" s="225" t="s">
        <v>5559</v>
      </c>
      <c r="B23" s="212" t="s">
        <v>5621</v>
      </c>
      <c r="C23" s="213" t="s">
        <v>5622</v>
      </c>
      <c r="D23" s="215" t="s">
        <v>5623</v>
      </c>
      <c r="E23" s="217" t="str">
        <f>IF(COUNTIF(F23:AS23,"&lt;&gt;")=0,"",SUMPRODUCT(((Recommendations[ImplStatus]="Implemented")+(Recommendations[ImplStatus]="Compensated"))*ISNUMBER(MATCH(Recommendations[Id],F23:AS23,0)))/COUNTIF(F23:AS23,"&lt;&gt;"))</f>
        <v/>
      </c>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28"/>
    </row>
    <row r="24" spans="1:45" ht="60" customHeight="1" x14ac:dyDescent="0.35">
      <c r="A24" s="225" t="s">
        <v>5559</v>
      </c>
      <c r="B24" s="212" t="s">
        <v>5624</v>
      </c>
      <c r="C24" s="213" t="s">
        <v>5625</v>
      </c>
      <c r="D24" s="215" t="s">
        <v>5626</v>
      </c>
      <c r="E24" s="217" t="str">
        <f>IF(COUNTIF(F24:AS24,"&lt;&gt;")=0,"",SUMPRODUCT(((Recommendations[ImplStatus]="Implemented")+(Recommendations[ImplStatus]="Compensated"))*ISNUMBER(MATCH(Recommendations[Id],F24:AS24,0)))/COUNTIF(F24:AS24,"&lt;&gt;"))</f>
        <v/>
      </c>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28"/>
    </row>
    <row r="25" spans="1:45" ht="60" customHeight="1" x14ac:dyDescent="0.35">
      <c r="A25" s="225" t="s">
        <v>5559</v>
      </c>
      <c r="B25" s="212" t="s">
        <v>5627</v>
      </c>
      <c r="C25" s="213" t="s">
        <v>5628</v>
      </c>
      <c r="D25" s="215" t="s">
        <v>5629</v>
      </c>
      <c r="E25" s="217" t="str">
        <f>IF(COUNTIF(F25:AS25,"&lt;&gt;")=0,"",SUMPRODUCT(((Recommendations[ImplStatus]="Implemented")+(Recommendations[ImplStatus]="Compensated"))*ISNUMBER(MATCH(Recommendations[Id],F25:AS25,0)))/COUNTIF(F25:AS25,"&lt;&gt;"))</f>
        <v/>
      </c>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28"/>
    </row>
    <row r="26" spans="1:45" ht="60" customHeight="1" x14ac:dyDescent="0.35">
      <c r="A26" s="225" t="s">
        <v>5559</v>
      </c>
      <c r="B26" s="212" t="s">
        <v>5630</v>
      </c>
      <c r="C26" s="213" t="s">
        <v>5631</v>
      </c>
      <c r="D26" s="215" t="s">
        <v>5632</v>
      </c>
      <c r="E26" s="217" t="str">
        <f>IF(COUNTIF(F26:AS26,"&lt;&gt;")=0,"",SUMPRODUCT(((Recommendations[ImplStatus]="Implemented")+(Recommendations[ImplStatus]="Compensated"))*ISNUMBER(MATCH(Recommendations[Id],F26:AS26,0)))/COUNTIF(F26:AS26,"&lt;&gt;"))</f>
        <v/>
      </c>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28"/>
    </row>
    <row r="27" spans="1:45" ht="60" customHeight="1" x14ac:dyDescent="0.35">
      <c r="A27" s="225" t="s">
        <v>5559</v>
      </c>
      <c r="B27" s="212" t="s">
        <v>5633</v>
      </c>
      <c r="C27" s="213" t="s">
        <v>5634</v>
      </c>
      <c r="D27" s="215" t="s">
        <v>5635</v>
      </c>
      <c r="E27" s="217" t="str">
        <f>IF(COUNTIF(F27:AS27,"&lt;&gt;")=0,"",SUMPRODUCT(((Recommendations[ImplStatus]="Implemented")+(Recommendations[ImplStatus]="Compensated"))*ISNUMBER(MATCH(Recommendations[Id],F27:AS27,0)))/COUNTIF(F27:AS27,"&lt;&gt;"))</f>
        <v/>
      </c>
      <c r="F27" s="218"/>
      <c r="G27" s="218"/>
      <c r="H27" s="218"/>
      <c r="I27" s="218"/>
      <c r="J27" s="218"/>
      <c r="K27" s="218"/>
      <c r="L27" s="218"/>
      <c r="M27" s="218"/>
      <c r="N27" s="218"/>
      <c r="O27" s="218"/>
      <c r="P27" s="218"/>
      <c r="Q27" s="218"/>
      <c r="R27" s="218"/>
      <c r="S27" s="218"/>
      <c r="T27" s="218"/>
      <c r="U27" s="218"/>
      <c r="V27" s="218"/>
      <c r="W27" s="218"/>
      <c r="X27" s="218"/>
      <c r="Y27" s="218"/>
      <c r="Z27" s="218"/>
      <c r="AA27" s="218"/>
      <c r="AB27" s="218"/>
      <c r="AC27" s="218"/>
      <c r="AD27" s="218"/>
      <c r="AE27" s="218"/>
      <c r="AF27" s="218"/>
      <c r="AG27" s="218"/>
      <c r="AH27" s="218"/>
      <c r="AI27" s="218"/>
      <c r="AJ27" s="218"/>
      <c r="AK27" s="218"/>
      <c r="AL27" s="218"/>
      <c r="AM27" s="218"/>
      <c r="AN27" s="218"/>
      <c r="AO27" s="218"/>
      <c r="AP27" s="218"/>
      <c r="AQ27" s="218"/>
      <c r="AR27" s="218"/>
      <c r="AS27" s="228"/>
    </row>
    <row r="28" spans="1:45" ht="60" customHeight="1" x14ac:dyDescent="0.35">
      <c r="A28" s="225" t="s">
        <v>5559</v>
      </c>
      <c r="B28" s="212" t="s">
        <v>5636</v>
      </c>
      <c r="C28" s="213" t="s">
        <v>5637</v>
      </c>
      <c r="D28" s="215" t="s">
        <v>5638</v>
      </c>
      <c r="E28" s="217" t="str">
        <f>IF(COUNTIF(F28:AS28,"&lt;&gt;")=0,"",SUMPRODUCT(((Recommendations[ImplStatus]="Implemented")+(Recommendations[ImplStatus]="Compensated"))*ISNUMBER(MATCH(Recommendations[Id],F28:AS28,0)))/COUNTIF(F28:AS28,"&lt;&gt;"))</f>
        <v/>
      </c>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28"/>
    </row>
    <row r="29" spans="1:45" ht="60" customHeight="1" x14ac:dyDescent="0.35">
      <c r="A29" s="225" t="s">
        <v>5559</v>
      </c>
      <c r="B29" s="212" t="s">
        <v>5639</v>
      </c>
      <c r="C29" s="213" t="s">
        <v>5640</v>
      </c>
      <c r="D29" s="215" t="s">
        <v>5641</v>
      </c>
      <c r="E29" s="217" t="str">
        <f>IF(COUNTIF(F29:AS29,"&lt;&gt;")=0,"",SUMPRODUCT(((Recommendations[ImplStatus]="Implemented")+(Recommendations[ImplStatus]="Compensated"))*ISNUMBER(MATCH(Recommendations[Id],F29:AS29,0)))/COUNTIF(F29:AS29,"&lt;&gt;"))</f>
        <v/>
      </c>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28"/>
    </row>
    <row r="30" spans="1:45" ht="60" customHeight="1" x14ac:dyDescent="0.35">
      <c r="A30" s="225" t="s">
        <v>5559</v>
      </c>
      <c r="B30" s="212" t="s">
        <v>5642</v>
      </c>
      <c r="C30" s="213" t="s">
        <v>5643</v>
      </c>
      <c r="D30" s="215" t="s">
        <v>5644</v>
      </c>
      <c r="E30" s="217" t="str">
        <f>IF(COUNTIF(F30:AS30,"&lt;&gt;")=0,"",SUMPRODUCT(((Recommendations[ImplStatus]="Implemented")+(Recommendations[ImplStatus]="Compensated"))*ISNUMBER(MATCH(Recommendations[Id],F30:AS30,0)))/COUNTIF(F30:AS30,"&lt;&gt;"))</f>
        <v/>
      </c>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28"/>
    </row>
    <row r="31" spans="1:45" ht="60" customHeight="1" x14ac:dyDescent="0.35">
      <c r="A31" s="225" t="s">
        <v>5559</v>
      </c>
      <c r="B31" s="212" t="s">
        <v>5645</v>
      </c>
      <c r="C31" s="213" t="s">
        <v>5646</v>
      </c>
      <c r="D31" s="215" t="s">
        <v>5647</v>
      </c>
      <c r="E31" s="217" t="str">
        <f>IF(COUNTIF(F31:AS31,"&lt;&gt;")=0,"",SUMPRODUCT(((Recommendations[ImplStatus]="Implemented")+(Recommendations[ImplStatus]="Compensated"))*ISNUMBER(MATCH(Recommendations[Id],F31:AS31,0)))/COUNTIF(F31:AS31,"&lt;&gt;"))</f>
        <v/>
      </c>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28"/>
    </row>
    <row r="32" spans="1:45" ht="60" customHeight="1" x14ac:dyDescent="0.35">
      <c r="A32" s="225" t="s">
        <v>5559</v>
      </c>
      <c r="B32" s="212" t="s">
        <v>5648</v>
      </c>
      <c r="C32" s="213" t="s">
        <v>5649</v>
      </c>
      <c r="D32" s="215" t="s">
        <v>5650</v>
      </c>
      <c r="E32" s="217" t="str">
        <f>IF(COUNTIF(F32:AS32,"&lt;&gt;")=0,"",SUMPRODUCT(((Recommendations[ImplStatus]="Implemented")+(Recommendations[ImplStatus]="Compensated"))*ISNUMBER(MATCH(Recommendations[Id],F32:AS32,0)))/COUNTIF(F32:AS32,"&lt;&gt;"))</f>
        <v/>
      </c>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28"/>
    </row>
    <row r="33" spans="1:45" ht="60" customHeight="1" x14ac:dyDescent="0.35">
      <c r="A33" s="225" t="s">
        <v>5559</v>
      </c>
      <c r="B33" s="212" t="s">
        <v>5651</v>
      </c>
      <c r="C33" s="213" t="s">
        <v>5652</v>
      </c>
      <c r="D33" s="215" t="s">
        <v>5653</v>
      </c>
      <c r="E33" s="217" t="str">
        <f>IF(COUNTIF(F33:AS33,"&lt;&gt;")=0,"",SUMPRODUCT(((Recommendations[ImplStatus]="Implemented")+(Recommendations[ImplStatus]="Compensated"))*ISNUMBER(MATCH(Recommendations[Id],F33:AS33,0)))/COUNTIF(F33:AS33,"&lt;&gt;"))</f>
        <v/>
      </c>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28"/>
    </row>
    <row r="34" spans="1:45" ht="60" customHeight="1" x14ac:dyDescent="0.35">
      <c r="A34" s="225" t="s">
        <v>5559</v>
      </c>
      <c r="B34" s="212" t="s">
        <v>5654</v>
      </c>
      <c r="C34" s="213" t="s">
        <v>5655</v>
      </c>
      <c r="D34" s="215" t="s">
        <v>5656</v>
      </c>
      <c r="E34" s="217" t="str">
        <f>IF(COUNTIF(F34:AS34,"&lt;&gt;")=0,"",SUMPRODUCT(((Recommendations[ImplStatus]="Implemented")+(Recommendations[ImplStatus]="Compensated"))*ISNUMBER(MATCH(Recommendations[Id],F34:AS34,0)))/COUNTIF(F34:AS34,"&lt;&gt;"))</f>
        <v/>
      </c>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28"/>
    </row>
    <row r="35" spans="1:45" ht="60" customHeight="1" x14ac:dyDescent="0.35">
      <c r="A35" s="225" t="s">
        <v>5559</v>
      </c>
      <c r="B35" s="212" t="s">
        <v>5657</v>
      </c>
      <c r="C35" s="213" t="s">
        <v>5658</v>
      </c>
      <c r="D35" s="215" t="s">
        <v>5659</v>
      </c>
      <c r="E35" s="217" t="str">
        <f>IF(COUNTIF(F35:AS35,"&lt;&gt;")=0,"",SUMPRODUCT(((Recommendations[ImplStatus]="Implemented")+(Recommendations[ImplStatus]="Compensated"))*ISNUMBER(MATCH(Recommendations[Id],F35:AS35,0)))/COUNTIF(F35:AS35,"&lt;&gt;"))</f>
        <v/>
      </c>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28"/>
    </row>
    <row r="36" spans="1:45" ht="60" customHeight="1" x14ac:dyDescent="0.35">
      <c r="A36" s="225" t="s">
        <v>5559</v>
      </c>
      <c r="B36" s="212" t="s">
        <v>5660</v>
      </c>
      <c r="C36" s="213" t="s">
        <v>5661</v>
      </c>
      <c r="D36" s="215" t="s">
        <v>5662</v>
      </c>
      <c r="E36" s="217" t="str">
        <f>IF(COUNTIF(F36:AS36,"&lt;&gt;")=0,"",SUMPRODUCT(((Recommendations[ImplStatus]="Implemented")+(Recommendations[ImplStatus]="Compensated"))*ISNUMBER(MATCH(Recommendations[Id],F36:AS36,0)))/COUNTIF(F36:AS36,"&lt;&gt;"))</f>
        <v/>
      </c>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28"/>
    </row>
    <row r="37" spans="1:45" ht="60" customHeight="1" x14ac:dyDescent="0.35">
      <c r="A37" s="225" t="s">
        <v>5559</v>
      </c>
      <c r="B37" s="212" t="s">
        <v>5663</v>
      </c>
      <c r="C37" s="213" t="s">
        <v>5664</v>
      </c>
      <c r="D37" s="215" t="s">
        <v>5665</v>
      </c>
      <c r="E37" s="217" t="str">
        <f>IF(COUNTIF(F37:AS37,"&lt;&gt;")=0,"",SUMPRODUCT(((Recommendations[ImplStatus]="Implemented")+(Recommendations[ImplStatus]="Compensated"))*ISNUMBER(MATCH(Recommendations[Id],F37:AS37,0)))/COUNTIF(F37:AS37,"&lt;&gt;"))</f>
        <v/>
      </c>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c r="AS37" s="228"/>
    </row>
    <row r="38" spans="1:45" ht="60" customHeight="1" x14ac:dyDescent="0.35">
      <c r="A38" s="225" t="s">
        <v>5559</v>
      </c>
      <c r="B38" s="212" t="s">
        <v>5666</v>
      </c>
      <c r="C38" s="213" t="s">
        <v>5667</v>
      </c>
      <c r="D38" s="215" t="s">
        <v>5668</v>
      </c>
      <c r="E38" s="217" t="str">
        <f>IF(COUNTIF(F38:AS38,"&lt;&gt;")=0,"",SUMPRODUCT(((Recommendations[ImplStatus]="Implemented")+(Recommendations[ImplStatus]="Compensated"))*ISNUMBER(MATCH(Recommendations[Id],F38:AS38,0)))/COUNTIF(F38:AS38,"&lt;&gt;"))</f>
        <v/>
      </c>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28"/>
    </row>
    <row r="39" spans="1:45" ht="60" customHeight="1" x14ac:dyDescent="0.35">
      <c r="A39" s="225" t="s">
        <v>5559</v>
      </c>
      <c r="B39" s="212" t="s">
        <v>5669</v>
      </c>
      <c r="C39" s="213" t="s">
        <v>5670</v>
      </c>
      <c r="D39" s="215" t="s">
        <v>5671</v>
      </c>
      <c r="E39" s="217" t="str">
        <f>IF(COUNTIF(F39:AS39,"&lt;&gt;")=0,"",SUMPRODUCT(((Recommendations[ImplStatus]="Implemented")+(Recommendations[ImplStatus]="Compensated"))*ISNUMBER(MATCH(Recommendations[Id],F39:AS39,0)))/COUNTIF(F39:AS39,"&lt;&gt;"))</f>
        <v/>
      </c>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28"/>
    </row>
    <row r="40" spans="1:45" ht="60" customHeight="1" outlineLevel="1" x14ac:dyDescent="0.35">
      <c r="A40" s="224" t="s">
        <v>5672</v>
      </c>
      <c r="B40" s="211" t="s">
        <v>5673</v>
      </c>
      <c r="C40" s="210"/>
      <c r="D40" s="214"/>
      <c r="E40" s="216" t="str">
        <f>IF(COUNTIF(F40:AS40,"&lt;&gt;")=0,"",SUMPRODUCT(((Recommendations[ImplStatus]="Implemented")+(Recommendations[ImplStatus]="Compensated"))*ISNUMBER(MATCH(Recommendations[Id],F40:AS40,0)))/COUNTIF(F40:AS40,"&lt;&gt;"))</f>
        <v/>
      </c>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27"/>
    </row>
    <row r="41" spans="1:45" ht="60" customHeight="1" x14ac:dyDescent="0.35">
      <c r="A41" s="225" t="s">
        <v>5672</v>
      </c>
      <c r="B41" s="212" t="s">
        <v>5674</v>
      </c>
      <c r="C41" s="213" t="s">
        <v>5675</v>
      </c>
      <c r="D41" s="215" t="s">
        <v>5676</v>
      </c>
      <c r="E41" s="217" t="str">
        <f>IF(COUNTIF(F41:AS41,"&lt;&gt;")=0,"",SUMPRODUCT(((Recommendations[ImplStatus]="Implemented")+(Recommendations[ImplStatus]="Compensated"))*ISNUMBER(MATCH(Recommendations[Id],F41:AS41,0)))/COUNTIF(F41:AS41,"&lt;&gt;"))</f>
        <v/>
      </c>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28"/>
    </row>
    <row r="42" spans="1:45" ht="60" customHeight="1" x14ac:dyDescent="0.35">
      <c r="A42" s="225" t="s">
        <v>5672</v>
      </c>
      <c r="B42" s="212" t="s">
        <v>5677</v>
      </c>
      <c r="C42" s="213" t="s">
        <v>5678</v>
      </c>
      <c r="D42" s="215" t="s">
        <v>5679</v>
      </c>
      <c r="E42" s="217" t="str">
        <f>IF(COUNTIF(F42:AS42,"&lt;&gt;")=0,"",SUMPRODUCT(((Recommendations[ImplStatus]="Implemented")+(Recommendations[ImplStatus]="Compensated"))*ISNUMBER(MATCH(Recommendations[Id],F42:AS42,0)))/COUNTIF(F42:AS42,"&lt;&gt;"))</f>
        <v/>
      </c>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28"/>
    </row>
    <row r="43" spans="1:45" ht="60" customHeight="1" x14ac:dyDescent="0.35">
      <c r="A43" s="225" t="s">
        <v>5672</v>
      </c>
      <c r="B43" s="212" t="s">
        <v>5680</v>
      </c>
      <c r="C43" s="213" t="s">
        <v>5681</v>
      </c>
      <c r="D43" s="215" t="s">
        <v>5682</v>
      </c>
      <c r="E43" s="217" t="str">
        <f>IF(COUNTIF(F43:AS43,"&lt;&gt;")=0,"",SUMPRODUCT(((Recommendations[ImplStatus]="Implemented")+(Recommendations[ImplStatus]="Compensated"))*ISNUMBER(MATCH(Recommendations[Id],F43:AS43,0)))/COUNTIF(F43:AS43,"&lt;&gt;"))</f>
        <v/>
      </c>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28"/>
    </row>
    <row r="44" spans="1:45" ht="60" customHeight="1" x14ac:dyDescent="0.35">
      <c r="A44" s="225" t="s">
        <v>5672</v>
      </c>
      <c r="B44" s="212" t="s">
        <v>5683</v>
      </c>
      <c r="C44" s="213" t="s">
        <v>5684</v>
      </c>
      <c r="D44" s="215" t="s">
        <v>5685</v>
      </c>
      <c r="E44" s="217" t="str">
        <f>IF(COUNTIF(F44:AS44,"&lt;&gt;")=0,"",SUMPRODUCT(((Recommendations[ImplStatus]="Implemented")+(Recommendations[ImplStatus]="Compensated"))*ISNUMBER(MATCH(Recommendations[Id],F44:AS44,0)))/COUNTIF(F44:AS44,"&lt;&gt;"))</f>
        <v/>
      </c>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28"/>
    </row>
    <row r="45" spans="1:45" ht="60" customHeight="1" x14ac:dyDescent="0.35">
      <c r="A45" s="225" t="s">
        <v>5672</v>
      </c>
      <c r="B45" s="212" t="s">
        <v>5686</v>
      </c>
      <c r="C45" s="213" t="s">
        <v>5687</v>
      </c>
      <c r="D45" s="215" t="s">
        <v>5688</v>
      </c>
      <c r="E45" s="217" t="str">
        <f>IF(COUNTIF(F45:AS45,"&lt;&gt;")=0,"",SUMPRODUCT(((Recommendations[ImplStatus]="Implemented")+(Recommendations[ImplStatus]="Compensated"))*ISNUMBER(MATCH(Recommendations[Id],F45:AS45,0)))/COUNTIF(F45:AS45,"&lt;&gt;"))</f>
        <v/>
      </c>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c r="AS45" s="228"/>
    </row>
    <row r="46" spans="1:45" ht="60" customHeight="1" x14ac:dyDescent="0.35">
      <c r="A46" s="225" t="s">
        <v>5672</v>
      </c>
      <c r="B46" s="212" t="s">
        <v>5689</v>
      </c>
      <c r="C46" s="213" t="s">
        <v>5690</v>
      </c>
      <c r="D46" s="215" t="s">
        <v>5691</v>
      </c>
      <c r="E46" s="217" t="str">
        <f>IF(COUNTIF(F46:AS46,"&lt;&gt;")=0,"",SUMPRODUCT(((Recommendations[ImplStatus]="Implemented")+(Recommendations[ImplStatus]="Compensated"))*ISNUMBER(MATCH(Recommendations[Id],F46:AS46,0)))/COUNTIF(F46:AS46,"&lt;&gt;"))</f>
        <v/>
      </c>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28"/>
    </row>
    <row r="47" spans="1:45" ht="60" customHeight="1" x14ac:dyDescent="0.35">
      <c r="A47" s="225" t="s">
        <v>5672</v>
      </c>
      <c r="B47" s="212" t="s">
        <v>5692</v>
      </c>
      <c r="C47" s="213" t="s">
        <v>5693</v>
      </c>
      <c r="D47" s="215" t="s">
        <v>5694</v>
      </c>
      <c r="E47" s="217" t="str">
        <f>IF(COUNTIF(F47:AS47,"&lt;&gt;")=0,"",SUMPRODUCT(((Recommendations[ImplStatus]="Implemented")+(Recommendations[ImplStatus]="Compensated"))*ISNUMBER(MATCH(Recommendations[Id],F47:AS47,0)))/COUNTIF(F47:AS47,"&lt;&gt;"))</f>
        <v/>
      </c>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28"/>
    </row>
    <row r="48" spans="1:45" ht="60" customHeight="1" x14ac:dyDescent="0.35">
      <c r="A48" s="225" t="s">
        <v>5672</v>
      </c>
      <c r="B48" s="212" t="s">
        <v>5695</v>
      </c>
      <c r="C48" s="213" t="s">
        <v>5696</v>
      </c>
      <c r="D48" s="215" t="s">
        <v>5697</v>
      </c>
      <c r="E48" s="217" t="str">
        <f>IF(COUNTIF(F48:AS48,"&lt;&gt;")=0,"",SUMPRODUCT(((Recommendations[ImplStatus]="Implemented")+(Recommendations[ImplStatus]="Compensated"))*ISNUMBER(MATCH(Recommendations[Id],F48:AS48,0)))/COUNTIF(F48:AS48,"&lt;&gt;"))</f>
        <v/>
      </c>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28"/>
    </row>
    <row r="49" spans="1:45" ht="60" customHeight="1" outlineLevel="1" x14ac:dyDescent="0.35">
      <c r="A49" s="224" t="s">
        <v>5698</v>
      </c>
      <c r="B49" s="211" t="s">
        <v>5699</v>
      </c>
      <c r="C49" s="210"/>
      <c r="D49" s="214"/>
      <c r="E49" s="216" t="str">
        <f>IF(COUNTIF(F49:AS49,"&lt;&gt;")=0,"",SUMPRODUCT(((Recommendations[ImplStatus]="Implemented")+(Recommendations[ImplStatus]="Compensated"))*ISNUMBER(MATCH(Recommendations[Id],F49:AS49,0)))/COUNTIF(F49:AS49,"&lt;&gt;"))</f>
        <v/>
      </c>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27"/>
    </row>
    <row r="50" spans="1:45" ht="60" customHeight="1" x14ac:dyDescent="0.35">
      <c r="A50" s="225" t="s">
        <v>5698</v>
      </c>
      <c r="B50" s="212" t="s">
        <v>5700</v>
      </c>
      <c r="C50" s="213" t="s">
        <v>5701</v>
      </c>
      <c r="D50" s="215" t="s">
        <v>5702</v>
      </c>
      <c r="E50" s="217" t="str">
        <f>IF(COUNTIF(F50:AS50,"&lt;&gt;")=0,"",SUMPRODUCT(((Recommendations[ImplStatus]="Implemented")+(Recommendations[ImplStatus]="Compensated"))*ISNUMBER(MATCH(Recommendations[Id],F50:AS50,0)))/COUNTIF(F50:AS50,"&lt;&gt;"))</f>
        <v/>
      </c>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28"/>
    </row>
    <row r="51" spans="1:45" ht="60" customHeight="1" x14ac:dyDescent="0.35">
      <c r="A51" s="225" t="s">
        <v>5698</v>
      </c>
      <c r="B51" s="212" t="s">
        <v>5703</v>
      </c>
      <c r="C51" s="213" t="s">
        <v>5704</v>
      </c>
      <c r="D51" s="215" t="s">
        <v>5705</v>
      </c>
      <c r="E51" s="217" t="str">
        <f>IF(COUNTIF(F51:AS51,"&lt;&gt;")=0,"",SUMPRODUCT(((Recommendations[ImplStatus]="Implemented")+(Recommendations[ImplStatus]="Compensated"))*ISNUMBER(MATCH(Recommendations[Id],F51:AS51,0)))/COUNTIF(F51:AS51,"&lt;&gt;"))</f>
        <v/>
      </c>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28"/>
    </row>
    <row r="52" spans="1:45" ht="60" customHeight="1" x14ac:dyDescent="0.35">
      <c r="A52" s="225" t="s">
        <v>5698</v>
      </c>
      <c r="B52" s="212" t="s">
        <v>5706</v>
      </c>
      <c r="C52" s="213" t="s">
        <v>5707</v>
      </c>
      <c r="D52" s="215" t="s">
        <v>5708</v>
      </c>
      <c r="E52" s="217" t="str">
        <f>IF(COUNTIF(F52:AS52,"&lt;&gt;")=0,"",SUMPRODUCT(((Recommendations[ImplStatus]="Implemented")+(Recommendations[ImplStatus]="Compensated"))*ISNUMBER(MATCH(Recommendations[Id],F52:AS52,0)))/COUNTIF(F52:AS52,"&lt;&gt;"))</f>
        <v/>
      </c>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28"/>
    </row>
    <row r="53" spans="1:45" ht="60" customHeight="1" x14ac:dyDescent="0.35">
      <c r="A53" s="225" t="s">
        <v>5698</v>
      </c>
      <c r="B53" s="212" t="s">
        <v>5709</v>
      </c>
      <c r="C53" s="213" t="s">
        <v>5710</v>
      </c>
      <c r="D53" s="215" t="s">
        <v>5711</v>
      </c>
      <c r="E53" s="217" t="str">
        <f>IF(COUNTIF(F53:AS53,"&lt;&gt;")=0,"",SUMPRODUCT(((Recommendations[ImplStatus]="Implemented")+(Recommendations[ImplStatus]="Compensated"))*ISNUMBER(MATCH(Recommendations[Id],F53:AS53,0)))/COUNTIF(F53:AS53,"&lt;&gt;"))</f>
        <v/>
      </c>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28"/>
    </row>
    <row r="54" spans="1:45" ht="60" customHeight="1" x14ac:dyDescent="0.35">
      <c r="A54" s="225" t="s">
        <v>5698</v>
      </c>
      <c r="B54" s="212" t="s">
        <v>5712</v>
      </c>
      <c r="C54" s="213" t="s">
        <v>5713</v>
      </c>
      <c r="D54" s="215" t="s">
        <v>5714</v>
      </c>
      <c r="E54" s="217" t="str">
        <f>IF(COUNTIF(F54:AS54,"&lt;&gt;")=0,"",SUMPRODUCT(((Recommendations[ImplStatus]="Implemented")+(Recommendations[ImplStatus]="Compensated"))*ISNUMBER(MATCH(Recommendations[Id],F54:AS54,0)))/COUNTIF(F54:AS54,"&lt;&gt;"))</f>
        <v/>
      </c>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28"/>
    </row>
    <row r="55" spans="1:45" ht="60" customHeight="1" x14ac:dyDescent="0.35">
      <c r="A55" s="225" t="s">
        <v>5698</v>
      </c>
      <c r="B55" s="212" t="s">
        <v>5715</v>
      </c>
      <c r="C55" s="213" t="s">
        <v>5716</v>
      </c>
      <c r="D55" s="215" t="s">
        <v>5717</v>
      </c>
      <c r="E55" s="217" t="str">
        <f>IF(COUNTIF(F55:AS55,"&lt;&gt;")=0,"",SUMPRODUCT(((Recommendations[ImplStatus]="Implemented")+(Recommendations[ImplStatus]="Compensated"))*ISNUMBER(MATCH(Recommendations[Id],F55:AS55,0)))/COUNTIF(F55:AS55,"&lt;&gt;"))</f>
        <v/>
      </c>
      <c r="F55" s="218"/>
      <c r="G55" s="218"/>
      <c r="H55" s="218"/>
      <c r="I55" s="218"/>
      <c r="J55" s="218"/>
      <c r="K55" s="218"/>
      <c r="L55" s="218"/>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28"/>
    </row>
    <row r="56" spans="1:45" ht="60" customHeight="1" x14ac:dyDescent="0.35">
      <c r="A56" s="225" t="s">
        <v>5698</v>
      </c>
      <c r="B56" s="212" t="s">
        <v>5718</v>
      </c>
      <c r="C56" s="213" t="s">
        <v>5719</v>
      </c>
      <c r="D56" s="215" t="s">
        <v>5720</v>
      </c>
      <c r="E56" s="217" t="str">
        <f>IF(COUNTIF(F56:AS56,"&lt;&gt;")=0,"",SUMPRODUCT(((Recommendations[ImplStatus]="Implemented")+(Recommendations[ImplStatus]="Compensated"))*ISNUMBER(MATCH(Recommendations[Id],F56:AS56,0)))/COUNTIF(F56:AS56,"&lt;&gt;"))</f>
        <v/>
      </c>
      <c r="F56" s="218"/>
      <c r="G56" s="218"/>
      <c r="H56" s="218"/>
      <c r="I56" s="218"/>
      <c r="J56" s="218"/>
      <c r="K56" s="218"/>
      <c r="L56" s="218"/>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28"/>
    </row>
    <row r="57" spans="1:45" ht="60" customHeight="1" x14ac:dyDescent="0.35">
      <c r="A57" s="225" t="s">
        <v>5698</v>
      </c>
      <c r="B57" s="212" t="s">
        <v>5721</v>
      </c>
      <c r="C57" s="213" t="s">
        <v>5722</v>
      </c>
      <c r="D57" s="215" t="s">
        <v>5723</v>
      </c>
      <c r="E57" s="217" t="str">
        <f>IF(COUNTIF(F57:AS57,"&lt;&gt;")=0,"",SUMPRODUCT(((Recommendations[ImplStatus]="Implemented")+(Recommendations[ImplStatus]="Compensated"))*ISNUMBER(MATCH(Recommendations[Id],F57:AS57,0)))/COUNTIF(F57:AS57,"&lt;&gt;"))</f>
        <v/>
      </c>
      <c r="F57" s="218"/>
      <c r="G57" s="218"/>
      <c r="H57" s="218"/>
      <c r="I57" s="218"/>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28"/>
    </row>
    <row r="58" spans="1:45" ht="60" customHeight="1" x14ac:dyDescent="0.35">
      <c r="A58" s="225" t="s">
        <v>5698</v>
      </c>
      <c r="B58" s="212" t="s">
        <v>5724</v>
      </c>
      <c r="C58" s="213" t="s">
        <v>5725</v>
      </c>
      <c r="D58" s="215" t="s">
        <v>5726</v>
      </c>
      <c r="E58" s="217" t="str">
        <f>IF(COUNTIF(F58:AS58,"&lt;&gt;")=0,"",SUMPRODUCT(((Recommendations[ImplStatus]="Implemented")+(Recommendations[ImplStatus]="Compensated"))*ISNUMBER(MATCH(Recommendations[Id],F58:AS58,0)))/COUNTIF(F58:AS58,"&lt;&gt;"))</f>
        <v/>
      </c>
      <c r="F58" s="218"/>
      <c r="G58" s="218"/>
      <c r="H58" s="218"/>
      <c r="I58" s="218"/>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28"/>
    </row>
    <row r="59" spans="1:45" ht="60" customHeight="1" x14ac:dyDescent="0.35">
      <c r="A59" s="225" t="s">
        <v>5698</v>
      </c>
      <c r="B59" s="212" t="s">
        <v>5727</v>
      </c>
      <c r="C59" s="213" t="s">
        <v>5728</v>
      </c>
      <c r="D59" s="215" t="s">
        <v>5729</v>
      </c>
      <c r="E59" s="217" t="str">
        <f>IF(COUNTIF(F59:AS59,"&lt;&gt;")=0,"",SUMPRODUCT(((Recommendations[ImplStatus]="Implemented")+(Recommendations[ImplStatus]="Compensated"))*ISNUMBER(MATCH(Recommendations[Id],F59:AS59,0)))/COUNTIF(F59:AS59,"&lt;&gt;"))</f>
        <v/>
      </c>
      <c r="F59" s="218"/>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28"/>
    </row>
    <row r="60" spans="1:45" ht="60" customHeight="1" x14ac:dyDescent="0.35">
      <c r="A60" s="225" t="s">
        <v>5698</v>
      </c>
      <c r="B60" s="212" t="s">
        <v>5730</v>
      </c>
      <c r="C60" s="213" t="s">
        <v>5731</v>
      </c>
      <c r="D60" s="215" t="s">
        <v>5732</v>
      </c>
      <c r="E60" s="217" t="str">
        <f>IF(COUNTIF(F60:AS60,"&lt;&gt;")=0,"",SUMPRODUCT(((Recommendations[ImplStatus]="Implemented")+(Recommendations[ImplStatus]="Compensated"))*ISNUMBER(MATCH(Recommendations[Id],F60:AS60,0)))/COUNTIF(F60:AS60,"&lt;&gt;"))</f>
        <v/>
      </c>
      <c r="F60" s="218"/>
      <c r="G60" s="218"/>
      <c r="H60" s="218"/>
      <c r="I60" s="218"/>
      <c r="J60" s="218"/>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28"/>
    </row>
    <row r="61" spans="1:45" ht="60" customHeight="1" x14ac:dyDescent="0.35">
      <c r="A61" s="225" t="s">
        <v>5698</v>
      </c>
      <c r="B61" s="212" t="s">
        <v>5733</v>
      </c>
      <c r="C61" s="213" t="s">
        <v>5734</v>
      </c>
      <c r="D61" s="215" t="s">
        <v>5735</v>
      </c>
      <c r="E61" s="217" t="str">
        <f>IF(COUNTIF(F61:AS61,"&lt;&gt;")=0,"",SUMPRODUCT(((Recommendations[ImplStatus]="Implemented")+(Recommendations[ImplStatus]="Compensated"))*ISNUMBER(MATCH(Recommendations[Id],F61:AS61,0)))/COUNTIF(F61:AS61,"&lt;&gt;"))</f>
        <v/>
      </c>
      <c r="F61" s="218"/>
      <c r="G61" s="218"/>
      <c r="H61" s="218"/>
      <c r="I61" s="218"/>
      <c r="J61" s="218"/>
      <c r="K61" s="218"/>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c r="AP61" s="218"/>
      <c r="AQ61" s="218"/>
      <c r="AR61" s="218"/>
      <c r="AS61" s="228"/>
    </row>
    <row r="62" spans="1:45" ht="60" customHeight="1" x14ac:dyDescent="0.35">
      <c r="A62" s="225" t="s">
        <v>5698</v>
      </c>
      <c r="B62" s="212" t="s">
        <v>5736</v>
      </c>
      <c r="C62" s="213" t="s">
        <v>5737</v>
      </c>
      <c r="D62" s="215" t="s">
        <v>5738</v>
      </c>
      <c r="E62" s="217" t="str">
        <f>IF(COUNTIF(F62:AS62,"&lt;&gt;")=0,"",SUMPRODUCT(((Recommendations[ImplStatus]="Implemented")+(Recommendations[ImplStatus]="Compensated"))*ISNUMBER(MATCH(Recommendations[Id],F62:AS62,0)))/COUNTIF(F62:AS62,"&lt;&gt;"))</f>
        <v/>
      </c>
      <c r="F62" s="218"/>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28"/>
    </row>
    <row r="63" spans="1:45" ht="60" customHeight="1" x14ac:dyDescent="0.35">
      <c r="A63" s="225" t="s">
        <v>5698</v>
      </c>
      <c r="B63" s="212" t="s">
        <v>5739</v>
      </c>
      <c r="C63" s="213" t="s">
        <v>5740</v>
      </c>
      <c r="D63" s="215" t="s">
        <v>5741</v>
      </c>
      <c r="E63" s="217" t="str">
        <f>IF(COUNTIF(F63:AS63,"&lt;&gt;")=0,"",SUMPRODUCT(((Recommendations[ImplStatus]="Implemented")+(Recommendations[ImplStatus]="Compensated"))*ISNUMBER(MATCH(Recommendations[Id],F63:AS63,0)))/COUNTIF(F63:AS63,"&lt;&gt;"))</f>
        <v/>
      </c>
      <c r="F63" s="218"/>
      <c r="G63" s="218"/>
      <c r="H63" s="218"/>
      <c r="I63" s="218"/>
      <c r="J63" s="218"/>
      <c r="K63" s="218"/>
      <c r="L63" s="218"/>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28"/>
    </row>
    <row r="64" spans="1:45" ht="60" customHeight="1" outlineLevel="1" x14ac:dyDescent="0.35">
      <c r="A64" s="224" t="s">
        <v>5742</v>
      </c>
      <c r="B64" s="211" t="s">
        <v>5743</v>
      </c>
      <c r="C64" s="210"/>
      <c r="D64" s="214"/>
      <c r="E64" s="216" t="str">
        <f>IF(COUNTIF(F64:AS64,"&lt;&gt;")=0,"",SUMPRODUCT(((Recommendations[ImplStatus]="Implemented")+(Recommendations[ImplStatus]="Compensated"))*ISNUMBER(MATCH(Recommendations[Id],F64:AS64,0)))/COUNTIF(F64:AS64,"&lt;&gt;"))</f>
        <v/>
      </c>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27"/>
    </row>
    <row r="65" spans="1:45" ht="60" customHeight="1" x14ac:dyDescent="0.35">
      <c r="A65" s="225" t="s">
        <v>5742</v>
      </c>
      <c r="B65" s="212" t="s">
        <v>5744</v>
      </c>
      <c r="C65" s="213" t="s">
        <v>5745</v>
      </c>
      <c r="D65" s="215" t="s">
        <v>5746</v>
      </c>
      <c r="E65" s="217" t="str">
        <f>IF(COUNTIF(F65:AS65,"&lt;&gt;")=0,"",SUMPRODUCT(((Recommendations[ImplStatus]="Implemented")+(Recommendations[ImplStatus]="Compensated"))*ISNUMBER(MATCH(Recommendations[Id],F65:AS65,0)))/COUNTIF(F65:AS65,"&lt;&gt;"))</f>
        <v/>
      </c>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28"/>
    </row>
    <row r="66" spans="1:45" ht="60" customHeight="1" x14ac:dyDescent="0.35">
      <c r="A66" s="225" t="s">
        <v>5742</v>
      </c>
      <c r="B66" s="212" t="s">
        <v>5747</v>
      </c>
      <c r="C66" s="213" t="s">
        <v>5748</v>
      </c>
      <c r="D66" s="215" t="s">
        <v>5749</v>
      </c>
      <c r="E66" s="217" t="str">
        <f>IF(COUNTIF(F66:AS66,"&lt;&gt;")=0,"",SUMPRODUCT(((Recommendations[ImplStatus]="Implemented")+(Recommendations[ImplStatus]="Compensated"))*ISNUMBER(MATCH(Recommendations[Id],F66:AS66,0)))/COUNTIF(F66:AS66,"&lt;&gt;"))</f>
        <v/>
      </c>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28"/>
    </row>
    <row r="67" spans="1:45" ht="60" customHeight="1" x14ac:dyDescent="0.35">
      <c r="A67" s="225" t="s">
        <v>5742</v>
      </c>
      <c r="B67" s="212" t="s">
        <v>5750</v>
      </c>
      <c r="C67" s="213" t="s">
        <v>5751</v>
      </c>
      <c r="D67" s="215" t="s">
        <v>5752</v>
      </c>
      <c r="E67" s="217" t="str">
        <f>IF(COUNTIF(F67:AS67,"&lt;&gt;")=0,"",SUMPRODUCT(((Recommendations[ImplStatus]="Implemented")+(Recommendations[ImplStatus]="Compensated"))*ISNUMBER(MATCH(Recommendations[Id],F67:AS67,0)))/COUNTIF(F67:AS67,"&lt;&gt;"))</f>
        <v/>
      </c>
      <c r="F67" s="218"/>
      <c r="G67" s="218"/>
      <c r="H67" s="218"/>
      <c r="I67" s="218"/>
      <c r="J67" s="218"/>
      <c r="K67" s="218"/>
      <c r="L67" s="218"/>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228"/>
    </row>
    <row r="68" spans="1:45" ht="60" customHeight="1" x14ac:dyDescent="0.35">
      <c r="A68" s="225" t="s">
        <v>5742</v>
      </c>
      <c r="B68" s="212" t="s">
        <v>5753</v>
      </c>
      <c r="C68" s="213" t="s">
        <v>5754</v>
      </c>
      <c r="D68" s="215" t="s">
        <v>5755</v>
      </c>
      <c r="E68" s="217" t="str">
        <f>IF(COUNTIF(F68:AS68,"&lt;&gt;")=0,"",SUMPRODUCT(((Recommendations[ImplStatus]="Implemented")+(Recommendations[ImplStatus]="Compensated"))*ISNUMBER(MATCH(Recommendations[Id],F68:AS68,0)))/COUNTIF(F68:AS68,"&lt;&gt;"))</f>
        <v/>
      </c>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28"/>
    </row>
    <row r="69" spans="1:45" ht="60" customHeight="1" x14ac:dyDescent="0.35">
      <c r="A69" s="225" t="s">
        <v>5742</v>
      </c>
      <c r="B69" s="212" t="s">
        <v>5756</v>
      </c>
      <c r="C69" s="213" t="s">
        <v>5757</v>
      </c>
      <c r="D69" s="215" t="s">
        <v>5758</v>
      </c>
      <c r="E69" s="217" t="str">
        <f>IF(COUNTIF(F69:AS69,"&lt;&gt;")=0,"",SUMPRODUCT(((Recommendations[ImplStatus]="Implemented")+(Recommendations[ImplStatus]="Compensated"))*ISNUMBER(MATCH(Recommendations[Id],F69:AS69,0)))/COUNTIF(F69:AS69,"&lt;&gt;"))</f>
        <v/>
      </c>
      <c r="F69" s="218"/>
      <c r="G69" s="218"/>
      <c r="H69" s="218"/>
      <c r="I69" s="218"/>
      <c r="J69" s="218"/>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28"/>
    </row>
    <row r="70" spans="1:45" ht="60" customHeight="1" x14ac:dyDescent="0.35">
      <c r="A70" s="225" t="s">
        <v>5742</v>
      </c>
      <c r="B70" s="212" t="s">
        <v>5759</v>
      </c>
      <c r="C70" s="213" t="s">
        <v>5760</v>
      </c>
      <c r="D70" s="215" t="s">
        <v>5761</v>
      </c>
      <c r="E70" s="217" t="str">
        <f>IF(COUNTIF(F70:AS70,"&lt;&gt;")=0,"",SUMPRODUCT(((Recommendations[ImplStatus]="Implemented")+(Recommendations[ImplStatus]="Compensated"))*ISNUMBER(MATCH(Recommendations[Id],F70:AS70,0)))/COUNTIF(F70:AS70,"&lt;&gt;"))</f>
        <v/>
      </c>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28"/>
    </row>
    <row r="71" spans="1:45" ht="60" customHeight="1" x14ac:dyDescent="0.35">
      <c r="A71" s="225" t="s">
        <v>5742</v>
      </c>
      <c r="B71" s="212" t="s">
        <v>5762</v>
      </c>
      <c r="C71" s="213" t="s">
        <v>5763</v>
      </c>
      <c r="D71" s="215" t="s">
        <v>5764</v>
      </c>
      <c r="E71" s="217" t="str">
        <f>IF(COUNTIF(F71:AS71,"&lt;&gt;")=0,"",SUMPRODUCT(((Recommendations[ImplStatus]="Implemented")+(Recommendations[ImplStatus]="Compensated"))*ISNUMBER(MATCH(Recommendations[Id],F71:AS71,0)))/COUNTIF(F71:AS71,"&lt;&gt;"))</f>
        <v/>
      </c>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28"/>
    </row>
    <row r="72" spans="1:45" ht="60" customHeight="1" x14ac:dyDescent="0.35">
      <c r="A72" s="225" t="s">
        <v>5742</v>
      </c>
      <c r="B72" s="212" t="s">
        <v>5765</v>
      </c>
      <c r="C72" s="213" t="s">
        <v>5766</v>
      </c>
      <c r="D72" s="215" t="s">
        <v>5767</v>
      </c>
      <c r="E72" s="217" t="str">
        <f>IF(COUNTIF(F72:AS72,"&lt;&gt;")=0,"",SUMPRODUCT(((Recommendations[ImplStatus]="Implemented")+(Recommendations[ImplStatus]="Compensated"))*ISNUMBER(MATCH(Recommendations[Id],F72:AS72,0)))/COUNTIF(F72:AS72,"&lt;&gt;"))</f>
        <v/>
      </c>
      <c r="F72" s="218"/>
      <c r="G72" s="218"/>
      <c r="H72" s="218"/>
      <c r="I72" s="218"/>
      <c r="J72" s="218"/>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28"/>
    </row>
    <row r="73" spans="1:45" ht="60" customHeight="1" x14ac:dyDescent="0.35">
      <c r="A73" s="225" t="s">
        <v>5742</v>
      </c>
      <c r="B73" s="212" t="s">
        <v>5768</v>
      </c>
      <c r="C73" s="213" t="s">
        <v>5769</v>
      </c>
      <c r="D73" s="215" t="s">
        <v>5770</v>
      </c>
      <c r="E73" s="217" t="str">
        <f>IF(COUNTIF(F73:AS73,"&lt;&gt;")=0,"",SUMPRODUCT(((Recommendations[ImplStatus]="Implemented")+(Recommendations[ImplStatus]="Compensated"))*ISNUMBER(MATCH(Recommendations[Id],F73:AS73,0)))/COUNTIF(F73:AS73,"&lt;&gt;"))</f>
        <v/>
      </c>
      <c r="F73" s="218"/>
      <c r="G73" s="218"/>
      <c r="H73" s="218"/>
      <c r="I73" s="218"/>
      <c r="J73" s="218"/>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28"/>
    </row>
    <row r="74" spans="1:45" ht="60" customHeight="1" x14ac:dyDescent="0.35">
      <c r="A74" s="225" t="s">
        <v>5742</v>
      </c>
      <c r="B74" s="212" t="s">
        <v>5771</v>
      </c>
      <c r="C74" s="213" t="s">
        <v>5772</v>
      </c>
      <c r="D74" s="215" t="s">
        <v>5773</v>
      </c>
      <c r="E74" s="217" t="str">
        <f>IF(COUNTIF(F74:AS74,"&lt;&gt;")=0,"",SUMPRODUCT(((Recommendations[ImplStatus]="Implemented")+(Recommendations[ImplStatus]="Compensated"))*ISNUMBER(MATCH(Recommendations[Id],F74:AS74,0)))/COUNTIF(F74:AS74,"&lt;&gt;"))</f>
        <v/>
      </c>
      <c r="F74" s="218"/>
      <c r="G74" s="218"/>
      <c r="H74" s="218"/>
      <c r="I74" s="218"/>
      <c r="J74" s="218"/>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28"/>
    </row>
    <row r="75" spans="1:45" ht="60" customHeight="1" x14ac:dyDescent="0.35">
      <c r="A75" s="225" t="s">
        <v>5742</v>
      </c>
      <c r="B75" s="212" t="s">
        <v>5774</v>
      </c>
      <c r="C75" s="213" t="s">
        <v>5775</v>
      </c>
      <c r="D75" s="215" t="s">
        <v>5776</v>
      </c>
      <c r="E75" s="217" t="str">
        <f>IF(COUNTIF(F75:AS75,"&lt;&gt;")=0,"",SUMPRODUCT(((Recommendations[ImplStatus]="Implemented")+(Recommendations[ImplStatus]="Compensated"))*ISNUMBER(MATCH(Recommendations[Id],F75:AS75,0)))/COUNTIF(F75:AS75,"&lt;&gt;"))</f>
        <v/>
      </c>
      <c r="F75" s="218"/>
      <c r="G75" s="218"/>
      <c r="H75" s="218"/>
      <c r="I75" s="218"/>
      <c r="J75" s="218"/>
      <c r="K75" s="218"/>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28"/>
    </row>
    <row r="76" spans="1:45" ht="60" customHeight="1" x14ac:dyDescent="0.35">
      <c r="A76" s="225" t="s">
        <v>5742</v>
      </c>
      <c r="B76" s="212" t="s">
        <v>5777</v>
      </c>
      <c r="C76" s="213" t="s">
        <v>5778</v>
      </c>
      <c r="D76" s="215" t="s">
        <v>5779</v>
      </c>
      <c r="E76" s="217" t="str">
        <f>IF(COUNTIF(F76:AS76,"&lt;&gt;")=0,"",SUMPRODUCT(((Recommendations[ImplStatus]="Implemented")+(Recommendations[ImplStatus]="Compensated"))*ISNUMBER(MATCH(Recommendations[Id],F76:AS76,0)))/COUNTIF(F76:AS76,"&lt;&gt;"))</f>
        <v/>
      </c>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28"/>
    </row>
    <row r="77" spans="1:45" ht="60" customHeight="1" x14ac:dyDescent="0.35">
      <c r="A77" s="225" t="s">
        <v>5742</v>
      </c>
      <c r="B77" s="212" t="s">
        <v>5780</v>
      </c>
      <c r="C77" s="213" t="s">
        <v>5781</v>
      </c>
      <c r="D77" s="215" t="s">
        <v>5782</v>
      </c>
      <c r="E77" s="217" t="str">
        <f>IF(COUNTIF(F77:AS77,"&lt;&gt;")=0,"",SUMPRODUCT(((Recommendations[ImplStatus]="Implemented")+(Recommendations[ImplStatus]="Compensated"))*ISNUMBER(MATCH(Recommendations[Id],F77:AS77,0)))/COUNTIF(F77:AS77,"&lt;&gt;"))</f>
        <v/>
      </c>
      <c r="F77" s="218"/>
      <c r="G77" s="218"/>
      <c r="H77" s="218"/>
      <c r="I77" s="218"/>
      <c r="J77" s="218"/>
      <c r="K77" s="218"/>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28"/>
    </row>
    <row r="78" spans="1:45" ht="60" customHeight="1" x14ac:dyDescent="0.35">
      <c r="A78" s="225" t="s">
        <v>5742</v>
      </c>
      <c r="B78" s="212" t="s">
        <v>5783</v>
      </c>
      <c r="C78" s="213" t="s">
        <v>5784</v>
      </c>
      <c r="D78" s="215" t="s">
        <v>5785</v>
      </c>
      <c r="E78" s="217" t="str">
        <f>IF(COUNTIF(F78:AS78,"&lt;&gt;")=0,"",SUMPRODUCT(((Recommendations[ImplStatus]="Implemented")+(Recommendations[ImplStatus]="Compensated"))*ISNUMBER(MATCH(Recommendations[Id],F78:AS78,0)))/COUNTIF(F78:AS78,"&lt;&gt;"))</f>
        <v/>
      </c>
      <c r="F78" s="218"/>
      <c r="G78" s="218"/>
      <c r="H78" s="218"/>
      <c r="I78" s="218"/>
      <c r="J78" s="218"/>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28"/>
    </row>
    <row r="79" spans="1:45" ht="60" customHeight="1" x14ac:dyDescent="0.35">
      <c r="A79" s="225" t="s">
        <v>5742</v>
      </c>
      <c r="B79" s="212" t="s">
        <v>5786</v>
      </c>
      <c r="C79" s="213" t="s">
        <v>5787</v>
      </c>
      <c r="D79" s="215" t="s">
        <v>5788</v>
      </c>
      <c r="E79" s="217" t="str">
        <f>IF(COUNTIF(F79:AS79,"&lt;&gt;")=0,"",SUMPRODUCT(((Recommendations[ImplStatus]="Implemented")+(Recommendations[ImplStatus]="Compensated"))*ISNUMBER(MATCH(Recommendations[Id],F79:AS79,0)))/COUNTIF(F79:AS79,"&lt;&gt;"))</f>
        <v/>
      </c>
      <c r="F79" s="218"/>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28"/>
    </row>
    <row r="80" spans="1:45" ht="60" customHeight="1" x14ac:dyDescent="0.35">
      <c r="A80" s="225" t="s">
        <v>5742</v>
      </c>
      <c r="B80" s="212" t="s">
        <v>5789</v>
      </c>
      <c r="C80" s="213" t="s">
        <v>5790</v>
      </c>
      <c r="D80" s="215" t="s">
        <v>5791</v>
      </c>
      <c r="E80" s="217" t="str">
        <f>IF(COUNTIF(F80:AS80,"&lt;&gt;")=0,"",SUMPRODUCT(((Recommendations[ImplStatus]="Implemented")+(Recommendations[ImplStatus]="Compensated"))*ISNUMBER(MATCH(Recommendations[Id],F80:AS80,0)))/COUNTIF(F80:AS80,"&lt;&gt;"))</f>
        <v/>
      </c>
      <c r="F80" s="218"/>
      <c r="G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28"/>
    </row>
    <row r="81" spans="1:45" ht="60" customHeight="1" x14ac:dyDescent="0.35">
      <c r="A81" s="225" t="s">
        <v>5742</v>
      </c>
      <c r="B81" s="212" t="s">
        <v>5792</v>
      </c>
      <c r="C81" s="213" t="s">
        <v>5793</v>
      </c>
      <c r="D81" s="215" t="s">
        <v>5794</v>
      </c>
      <c r="E81" s="217" t="str">
        <f>IF(COUNTIF(F81:AS81,"&lt;&gt;")=0,"",SUMPRODUCT(((Recommendations[ImplStatus]="Implemented")+(Recommendations[ImplStatus]="Compensated"))*ISNUMBER(MATCH(Recommendations[Id],F81:AS81,0)))/COUNTIF(F81:AS81,"&lt;&gt;"))</f>
        <v/>
      </c>
      <c r="F81" s="218"/>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18"/>
      <c r="AS81" s="228"/>
    </row>
    <row r="82" spans="1:45" ht="60" customHeight="1" x14ac:dyDescent="0.35">
      <c r="A82" s="225" t="s">
        <v>5742</v>
      </c>
      <c r="B82" s="212" t="s">
        <v>5795</v>
      </c>
      <c r="C82" s="213" t="s">
        <v>5796</v>
      </c>
      <c r="D82" s="215" t="s">
        <v>5797</v>
      </c>
      <c r="E82" s="217" t="str">
        <f>IF(COUNTIF(F82:AS82,"&lt;&gt;")=0,"",SUMPRODUCT(((Recommendations[ImplStatus]="Implemented")+(Recommendations[ImplStatus]="Compensated"))*ISNUMBER(MATCH(Recommendations[Id],F82:AS82,0)))/COUNTIF(F82:AS82,"&lt;&gt;"))</f>
        <v/>
      </c>
      <c r="F82" s="218"/>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28"/>
    </row>
    <row r="83" spans="1:45" ht="60" customHeight="1" x14ac:dyDescent="0.35">
      <c r="A83" s="225" t="s">
        <v>5742</v>
      </c>
      <c r="B83" s="212" t="s">
        <v>5798</v>
      </c>
      <c r="C83" s="213" t="s">
        <v>5799</v>
      </c>
      <c r="D83" s="215" t="s">
        <v>5800</v>
      </c>
      <c r="E83" s="217" t="str">
        <f>IF(COUNTIF(F83:AS83,"&lt;&gt;")=0,"",SUMPRODUCT(((Recommendations[ImplStatus]="Implemented")+(Recommendations[ImplStatus]="Compensated"))*ISNUMBER(MATCH(Recommendations[Id],F83:AS83,0)))/COUNTIF(F83:AS83,"&lt;&gt;"))</f>
        <v/>
      </c>
      <c r="F83" s="218"/>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28"/>
    </row>
    <row r="84" spans="1:45" ht="60" customHeight="1" x14ac:dyDescent="0.35">
      <c r="A84" s="225" t="s">
        <v>5742</v>
      </c>
      <c r="B84" s="212" t="s">
        <v>5801</v>
      </c>
      <c r="C84" s="213" t="s">
        <v>5802</v>
      </c>
      <c r="D84" s="215" t="s">
        <v>5803</v>
      </c>
      <c r="E84" s="217" t="str">
        <f>IF(COUNTIF(F84:AS84,"&lt;&gt;")=0,"",SUMPRODUCT(((Recommendations[ImplStatus]="Implemented")+(Recommendations[ImplStatus]="Compensated"))*ISNUMBER(MATCH(Recommendations[Id],F84:AS84,0)))/COUNTIF(F84:AS84,"&lt;&gt;"))</f>
        <v/>
      </c>
      <c r="F84" s="218"/>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28"/>
    </row>
    <row r="85" spans="1:45" ht="60" customHeight="1" x14ac:dyDescent="0.35">
      <c r="A85" s="225" t="s">
        <v>5742</v>
      </c>
      <c r="B85" s="212" t="s">
        <v>5804</v>
      </c>
      <c r="C85" s="213" t="s">
        <v>5805</v>
      </c>
      <c r="D85" s="215" t="s">
        <v>5806</v>
      </c>
      <c r="E85" s="217" t="str">
        <f>IF(COUNTIF(F85:AS85,"&lt;&gt;")=0,"",SUMPRODUCT(((Recommendations[ImplStatus]="Implemented")+(Recommendations[ImplStatus]="Compensated"))*ISNUMBER(MATCH(Recommendations[Id],F85:AS85,0)))/COUNTIF(F85:AS85,"&lt;&gt;"))</f>
        <v/>
      </c>
      <c r="F85" s="218"/>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28"/>
    </row>
    <row r="86" spans="1:45" ht="60" customHeight="1" x14ac:dyDescent="0.35">
      <c r="A86" s="225" t="s">
        <v>5742</v>
      </c>
      <c r="B86" s="212" t="s">
        <v>5807</v>
      </c>
      <c r="C86" s="213" t="s">
        <v>5808</v>
      </c>
      <c r="D86" s="215" t="s">
        <v>5809</v>
      </c>
      <c r="E86" s="217" t="str">
        <f>IF(COUNTIF(F86:AS86,"&lt;&gt;")=0,"",SUMPRODUCT(((Recommendations[ImplStatus]="Implemented")+(Recommendations[ImplStatus]="Compensated"))*ISNUMBER(MATCH(Recommendations[Id],F86:AS86,0)))/COUNTIF(F86:AS86,"&lt;&gt;"))</f>
        <v/>
      </c>
      <c r="F86" s="218"/>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c r="AS86" s="228"/>
    </row>
    <row r="87" spans="1:45" ht="60" customHeight="1" x14ac:dyDescent="0.35">
      <c r="A87" s="225" t="s">
        <v>5742</v>
      </c>
      <c r="B87" s="212" t="s">
        <v>5810</v>
      </c>
      <c r="C87" s="213" t="s">
        <v>5811</v>
      </c>
      <c r="D87" s="215" t="s">
        <v>5812</v>
      </c>
      <c r="E87" s="217" t="str">
        <f>IF(COUNTIF(F87:AS87,"&lt;&gt;")=0,"",SUMPRODUCT(((Recommendations[ImplStatus]="Implemented")+(Recommendations[ImplStatus]="Compensated"))*ISNUMBER(MATCH(Recommendations[Id],F87:AS87,0)))/COUNTIF(F87:AS87,"&lt;&gt;"))</f>
        <v/>
      </c>
      <c r="F87" s="218"/>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28"/>
    </row>
    <row r="88" spans="1:45" ht="60" customHeight="1" x14ac:dyDescent="0.35">
      <c r="A88" s="225" t="s">
        <v>5742</v>
      </c>
      <c r="B88" s="212" t="s">
        <v>5813</v>
      </c>
      <c r="C88" s="213" t="s">
        <v>5814</v>
      </c>
      <c r="D88" s="215" t="s">
        <v>5815</v>
      </c>
      <c r="E88" s="217" t="str">
        <f>IF(COUNTIF(F88:AS88,"&lt;&gt;")=0,"",SUMPRODUCT(((Recommendations[ImplStatus]="Implemented")+(Recommendations[ImplStatus]="Compensated"))*ISNUMBER(MATCH(Recommendations[Id],F88:AS88,0)))/COUNTIF(F88:AS88,"&lt;&gt;"))</f>
        <v/>
      </c>
      <c r="F88" s="218"/>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18"/>
      <c r="AS88" s="228"/>
    </row>
    <row r="89" spans="1:45" ht="60" customHeight="1" x14ac:dyDescent="0.35">
      <c r="A89" s="225" t="s">
        <v>5742</v>
      </c>
      <c r="B89" s="212" t="s">
        <v>5816</v>
      </c>
      <c r="C89" s="213" t="s">
        <v>5817</v>
      </c>
      <c r="D89" s="215" t="s">
        <v>5818</v>
      </c>
      <c r="E89" s="217" t="str">
        <f>IF(COUNTIF(F89:AS89,"&lt;&gt;")=0,"",SUMPRODUCT(((Recommendations[ImplStatus]="Implemented")+(Recommendations[ImplStatus]="Compensated"))*ISNUMBER(MATCH(Recommendations[Id],F89:AS89,0)))/COUNTIF(F89:AS89,"&lt;&gt;"))</f>
        <v/>
      </c>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28"/>
    </row>
    <row r="90" spans="1:45" ht="60" customHeight="1" x14ac:dyDescent="0.35">
      <c r="A90" s="225" t="s">
        <v>5742</v>
      </c>
      <c r="B90" s="212" t="s">
        <v>5819</v>
      </c>
      <c r="C90" s="213" t="s">
        <v>5820</v>
      </c>
      <c r="D90" s="215" t="s">
        <v>5821</v>
      </c>
      <c r="E90" s="217" t="str">
        <f>IF(COUNTIF(F90:AS90,"&lt;&gt;")=0,"",SUMPRODUCT(((Recommendations[ImplStatus]="Implemented")+(Recommendations[ImplStatus]="Compensated"))*ISNUMBER(MATCH(Recommendations[Id],F90:AS90,0)))/COUNTIF(F90:AS90,"&lt;&gt;"))</f>
        <v/>
      </c>
      <c r="F90" s="218"/>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H90" s="218"/>
      <c r="AI90" s="218"/>
      <c r="AJ90" s="218"/>
      <c r="AK90" s="218"/>
      <c r="AL90" s="218"/>
      <c r="AM90" s="218"/>
      <c r="AN90" s="218"/>
      <c r="AO90" s="218"/>
      <c r="AP90" s="218"/>
      <c r="AQ90" s="218"/>
      <c r="AR90" s="218"/>
      <c r="AS90" s="228"/>
    </row>
    <row r="91" spans="1:45" ht="60" customHeight="1" x14ac:dyDescent="0.35">
      <c r="A91" s="225" t="s">
        <v>5742</v>
      </c>
      <c r="B91" s="212" t="s">
        <v>5822</v>
      </c>
      <c r="C91" s="213" t="s">
        <v>5823</v>
      </c>
      <c r="D91" s="215" t="s">
        <v>5824</v>
      </c>
      <c r="E91" s="217" t="str">
        <f>IF(COUNTIF(F91:AS91,"&lt;&gt;")=0,"",SUMPRODUCT(((Recommendations[ImplStatus]="Implemented")+(Recommendations[ImplStatus]="Compensated"))*ISNUMBER(MATCH(Recommendations[Id],F91:AS91,0)))/COUNTIF(F91:AS91,"&lt;&gt;"))</f>
        <v/>
      </c>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H91" s="218"/>
      <c r="AI91" s="218"/>
      <c r="AJ91" s="218"/>
      <c r="AK91" s="218"/>
      <c r="AL91" s="218"/>
      <c r="AM91" s="218"/>
      <c r="AN91" s="218"/>
      <c r="AO91" s="218"/>
      <c r="AP91" s="218"/>
      <c r="AQ91" s="218"/>
      <c r="AR91" s="218"/>
      <c r="AS91" s="228"/>
    </row>
    <row r="92" spans="1:45" ht="60" customHeight="1" x14ac:dyDescent="0.35">
      <c r="A92" s="225" t="s">
        <v>5742</v>
      </c>
      <c r="B92" s="212" t="s">
        <v>5825</v>
      </c>
      <c r="C92" s="213" t="s">
        <v>5826</v>
      </c>
      <c r="D92" s="215" t="s">
        <v>5827</v>
      </c>
      <c r="E92" s="217" t="str">
        <f>IF(COUNTIF(F92:AS92,"&lt;&gt;")=0,"",SUMPRODUCT(((Recommendations[ImplStatus]="Implemented")+(Recommendations[ImplStatus]="Compensated"))*ISNUMBER(MATCH(Recommendations[Id],F92:AS92,0)))/COUNTIF(F92:AS92,"&lt;&gt;"))</f>
        <v/>
      </c>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18"/>
      <c r="AS92" s="228"/>
    </row>
    <row r="93" spans="1:45" ht="60" customHeight="1" x14ac:dyDescent="0.35">
      <c r="A93" s="225" t="s">
        <v>5742</v>
      </c>
      <c r="B93" s="212" t="s">
        <v>5828</v>
      </c>
      <c r="C93" s="213" t="s">
        <v>5829</v>
      </c>
      <c r="D93" s="215" t="s">
        <v>5830</v>
      </c>
      <c r="E93" s="217" t="str">
        <f>IF(COUNTIF(F93:AS93,"&lt;&gt;")=0,"",SUMPRODUCT(((Recommendations[ImplStatus]="Implemented")+(Recommendations[ImplStatus]="Compensated"))*ISNUMBER(MATCH(Recommendations[Id],F93:AS93,0)))/COUNTIF(F93:AS93,"&lt;&gt;"))</f>
        <v/>
      </c>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H93" s="218"/>
      <c r="AI93" s="218"/>
      <c r="AJ93" s="218"/>
      <c r="AK93" s="218"/>
      <c r="AL93" s="218"/>
      <c r="AM93" s="218"/>
      <c r="AN93" s="218"/>
      <c r="AO93" s="218"/>
      <c r="AP93" s="218"/>
      <c r="AQ93" s="218"/>
      <c r="AR93" s="218"/>
      <c r="AS93" s="228"/>
    </row>
    <row r="94" spans="1:45" ht="60" customHeight="1" x14ac:dyDescent="0.35">
      <c r="A94" s="225" t="s">
        <v>5742</v>
      </c>
      <c r="B94" s="212" t="s">
        <v>5831</v>
      </c>
      <c r="C94" s="213" t="s">
        <v>5832</v>
      </c>
      <c r="D94" s="215" t="s">
        <v>5833</v>
      </c>
      <c r="E94" s="217" t="str">
        <f>IF(COUNTIF(F94:AS94,"&lt;&gt;")=0,"",SUMPRODUCT(((Recommendations[ImplStatus]="Implemented")+(Recommendations[ImplStatus]="Compensated"))*ISNUMBER(MATCH(Recommendations[Id],F94:AS94,0)))/COUNTIF(F94:AS94,"&lt;&gt;"))</f>
        <v/>
      </c>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28"/>
    </row>
    <row r="95" spans="1:45" ht="60" customHeight="1" x14ac:dyDescent="0.35">
      <c r="A95" s="225" t="s">
        <v>5742</v>
      </c>
      <c r="B95" s="212" t="s">
        <v>5834</v>
      </c>
      <c r="C95" s="213" t="s">
        <v>5835</v>
      </c>
      <c r="D95" s="215" t="s">
        <v>5836</v>
      </c>
      <c r="E95" s="217" t="str">
        <f>IF(COUNTIF(F95:AS95,"&lt;&gt;")=0,"",SUMPRODUCT(((Recommendations[ImplStatus]="Implemented")+(Recommendations[ImplStatus]="Compensated"))*ISNUMBER(MATCH(Recommendations[Id],F95:AS95,0)))/COUNTIF(F95:AS95,"&lt;&gt;"))</f>
        <v/>
      </c>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c r="AH95" s="218"/>
      <c r="AI95" s="218"/>
      <c r="AJ95" s="218"/>
      <c r="AK95" s="218"/>
      <c r="AL95" s="218"/>
      <c r="AM95" s="218"/>
      <c r="AN95" s="218"/>
      <c r="AO95" s="218"/>
      <c r="AP95" s="218"/>
      <c r="AQ95" s="218"/>
      <c r="AR95" s="218"/>
      <c r="AS95" s="228"/>
    </row>
    <row r="96" spans="1:45" ht="60" customHeight="1" x14ac:dyDescent="0.35">
      <c r="A96" s="225" t="s">
        <v>5742</v>
      </c>
      <c r="B96" s="212" t="s">
        <v>5837</v>
      </c>
      <c r="C96" s="213" t="s">
        <v>5838</v>
      </c>
      <c r="D96" s="215" t="s">
        <v>5839</v>
      </c>
      <c r="E96" s="217" t="str">
        <f>IF(COUNTIF(F96:AS96,"&lt;&gt;")=0,"",SUMPRODUCT(((Recommendations[ImplStatus]="Implemented")+(Recommendations[ImplStatus]="Compensated"))*ISNUMBER(MATCH(Recommendations[Id],F96:AS96,0)))/COUNTIF(F96:AS96,"&lt;&gt;"))</f>
        <v/>
      </c>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28"/>
    </row>
    <row r="97" spans="1:45" ht="60" customHeight="1" x14ac:dyDescent="0.35">
      <c r="A97" s="225" t="s">
        <v>5742</v>
      </c>
      <c r="B97" s="212" t="s">
        <v>5840</v>
      </c>
      <c r="C97" s="213" t="s">
        <v>5841</v>
      </c>
      <c r="D97" s="215" t="s">
        <v>5842</v>
      </c>
      <c r="E97" s="217" t="str">
        <f>IF(COUNTIF(F97:AS97,"&lt;&gt;")=0,"",SUMPRODUCT(((Recommendations[ImplStatus]="Implemented")+(Recommendations[ImplStatus]="Compensated"))*ISNUMBER(MATCH(Recommendations[Id],F97:AS97,0)))/COUNTIF(F97:AS97,"&lt;&gt;"))</f>
        <v/>
      </c>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18"/>
      <c r="AS97" s="228"/>
    </row>
    <row r="98" spans="1:45" ht="60" customHeight="1" x14ac:dyDescent="0.35">
      <c r="A98" s="226" t="s">
        <v>5742</v>
      </c>
      <c r="B98" s="219" t="s">
        <v>5843</v>
      </c>
      <c r="C98" s="220" t="s">
        <v>5844</v>
      </c>
      <c r="D98" s="221" t="s">
        <v>5845</v>
      </c>
      <c r="E98" s="222" t="str">
        <f>IF(COUNTIF(F98:AS98,"&lt;&gt;")=0,"",SUMPRODUCT(((Recommendations[ImplStatus]="Implemented")+(Recommendations[ImplStatus]="Compensated"))*ISNUMBER(MATCH(Recommendations[Id],F98:AS98,0)))/COUNTIF(F98:AS98,"&lt;&gt;"))</f>
        <v/>
      </c>
      <c r="F98" s="223"/>
      <c r="G98" s="223"/>
      <c r="H98" s="223"/>
      <c r="I98" s="223"/>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9"/>
    </row>
    <row r="102" spans="1:45" ht="32" customHeight="1" x14ac:dyDescent="0.35">
      <c r="A102" s="266" t="s">
        <v>2861</v>
      </c>
      <c r="B102" s="266"/>
      <c r="C102" s="266"/>
      <c r="D102" s="266"/>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IFERROR(INDEX('Recommendations'!$G$2:$G$365, MATCH(F2,'Recommendations'!$B$2:$B$365,0))="Implemented", FALSE))</xm:f>
            <x14:dxf>
              <font>
                <color rgb="FF000000"/>
              </font>
              <fill>
                <patternFill>
                  <bgColor rgb="FF3C7D22"/>
                </patternFill>
              </fill>
            </x14:dxf>
          </x14:cfRule>
          <x14:cfRule type="expression" priority="2" id="{00000000-000E-0000-0900-000002000000}">
            <xm:f>AND(F2&lt;&gt;"", IFERROR(INDEX('Recommendations'!$G$2:$G$365, MATCH(F2,'Recommendations'!$B$2:$B$365,0))="Compensated", FALSE))</xm:f>
            <x14:dxf>
              <font>
                <color rgb="FF000000"/>
              </font>
              <fill>
                <patternFill>
                  <bgColor rgb="FFC6E0B4"/>
                </patternFill>
              </fill>
            </x14:dxf>
          </x14:cfRule>
          <x14:cfRule type="expression" priority="3" id="{00000000-000E-0000-0900-000003000000}">
            <xm:f>AND(F2&lt;&gt;"", IFERROR(INDEX('Recommendations'!$G$2:$G$365, MATCH(F2,'Recommendations'!$B$2:$B$365,0))="Testing", FALSE))</xm:f>
            <x14:dxf>
              <font>
                <color rgb="FF000000"/>
              </font>
              <fill>
                <patternFill>
                  <bgColor rgb="FFFFC000"/>
                </patternFill>
              </fill>
            </x14:dxf>
          </x14:cfRule>
          <x14:cfRule type="expression" priority="4" id="{00000000-000E-0000-0900-000004000000}">
            <xm:f>AND(F2&lt;&gt;"", IFERROR(INDEX('Recommendations'!$G$2:$G$365, MATCH(F2,'Recommendations'!$B$2:$B$365,0))="Failed", FALSE))</xm:f>
            <x14:dxf>
              <font>
                <color rgb="FF000000"/>
              </font>
              <fill>
                <patternFill>
                  <bgColor rgb="FFD82891"/>
                </patternFill>
              </fill>
            </x14:dxf>
          </x14:cfRule>
          <x14:cfRule type="expression" priority="5" id="{00000000-000E-0000-0900-000005000000}">
            <xm:f>AND(F2&lt;&gt;"", IFERROR(INDEX('Recommendations'!$G$2:$G$365, MATCH(F2,'Recommendations'!$B$2:$B$365,0))="Risk Accepted", FALSE))</xm:f>
            <x14:dxf>
              <font>
                <color rgb="FF000000"/>
              </font>
              <fill>
                <patternFill>
                  <bgColor rgb="FFD9D9D9"/>
                </patternFill>
              </fill>
            </x14:dxf>
          </x14:cfRule>
          <x14:cfRule type="expression" priority="6" id="{00000000-000E-0000-0900-000006000000}">
            <xm:f>AND(F2&lt;&gt;"", IFERROR(INDEX('Recommendations'!$G$2:$G$365, MATCH(F2,'Recommendations'!$B$2:$B$365,0))="N/A",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3" t="s">
        <v>4673</v>
      </c>
      <c r="B1" s="264" t="s">
        <v>5558</v>
      </c>
      <c r="C1" s="264" t="s">
        <v>1</v>
      </c>
      <c r="D1" s="264" t="s">
        <v>3092</v>
      </c>
      <c r="E1" s="264" t="s">
        <v>5846</v>
      </c>
      <c r="F1" s="264" t="s">
        <v>5847</v>
      </c>
      <c r="G1" s="264" t="s">
        <v>3097</v>
      </c>
      <c r="H1" s="264" t="s">
        <v>3098</v>
      </c>
      <c r="I1" s="264" t="s">
        <v>3099</v>
      </c>
      <c r="J1" s="264" t="s">
        <v>3100</v>
      </c>
      <c r="K1" s="264" t="s">
        <v>3101</v>
      </c>
      <c r="L1" s="264" t="s">
        <v>3102</v>
      </c>
      <c r="M1" s="264" t="s">
        <v>3103</v>
      </c>
      <c r="N1" s="264" t="s">
        <v>3104</v>
      </c>
      <c r="O1" s="264" t="s">
        <v>3105</v>
      </c>
      <c r="P1" s="264" t="s">
        <v>3106</v>
      </c>
      <c r="Q1" s="264" t="s">
        <v>3107</v>
      </c>
      <c r="R1" s="264" t="s">
        <v>3108</v>
      </c>
      <c r="S1" s="264" t="s">
        <v>3109</v>
      </c>
      <c r="T1" s="264" t="s">
        <v>3110</v>
      </c>
      <c r="U1" s="264" t="s">
        <v>3111</v>
      </c>
      <c r="V1" s="264" t="s">
        <v>3112</v>
      </c>
      <c r="W1" s="264" t="s">
        <v>3113</v>
      </c>
      <c r="X1" s="264" t="s">
        <v>3114</v>
      </c>
      <c r="Y1" s="264" t="s">
        <v>3115</v>
      </c>
      <c r="Z1" s="264" t="s">
        <v>3116</v>
      </c>
      <c r="AA1" s="264" t="s">
        <v>3117</v>
      </c>
      <c r="AB1" s="264" t="s">
        <v>3118</v>
      </c>
      <c r="AC1" s="264" t="s">
        <v>3119</v>
      </c>
      <c r="AD1" s="264" t="s">
        <v>3120</v>
      </c>
      <c r="AE1" s="264" t="s">
        <v>3121</v>
      </c>
      <c r="AF1" s="264" t="s">
        <v>3122</v>
      </c>
      <c r="AG1" s="264" t="s">
        <v>3123</v>
      </c>
      <c r="AH1" s="264" t="s">
        <v>3124</v>
      </c>
      <c r="AI1" s="264" t="s">
        <v>3125</v>
      </c>
      <c r="AJ1" s="264" t="s">
        <v>3126</v>
      </c>
      <c r="AK1" s="264" t="s">
        <v>3127</v>
      </c>
      <c r="AL1" s="264" t="s">
        <v>3128</v>
      </c>
      <c r="AM1" s="264" t="s">
        <v>3129</v>
      </c>
      <c r="AN1" s="264" t="s">
        <v>3130</v>
      </c>
      <c r="AO1" s="264" t="s">
        <v>3131</v>
      </c>
      <c r="AP1" s="264" t="s">
        <v>3132</v>
      </c>
      <c r="AQ1" s="264" t="s">
        <v>3133</v>
      </c>
      <c r="AR1" s="264" t="s">
        <v>3134</v>
      </c>
      <c r="AS1" s="264" t="s">
        <v>3135</v>
      </c>
      <c r="AT1" s="264" t="s">
        <v>3136</v>
      </c>
      <c r="AU1" s="265" t="s">
        <v>3137</v>
      </c>
    </row>
    <row r="2" spans="1:47" ht="60" customHeight="1" outlineLevel="1" x14ac:dyDescent="0.35">
      <c r="A2" s="255" t="s">
        <v>5848</v>
      </c>
      <c r="B2" s="233"/>
      <c r="C2" s="233"/>
      <c r="D2" s="237"/>
      <c r="E2" s="233"/>
      <c r="F2" s="241"/>
      <c r="G2" s="244" t="str">
        <f>IF(COUNTIF(H2:AU2,"&lt;&gt;")=0,"",SUMPRODUCT(((Recommendations[ImplStatus]="Implemented")+(Recommendations[ImplStatus]="Compensated"))*ISNUMBER(MATCH(Recommendations[Id],H2:AU2,0)))/COUNTIF(H2:AU2,"&lt;&gt;"))</f>
        <v/>
      </c>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59"/>
    </row>
    <row r="3" spans="1:47" ht="60" customHeight="1" outlineLevel="2" x14ac:dyDescent="0.35">
      <c r="A3" s="256" t="s">
        <v>5848</v>
      </c>
      <c r="B3" s="234" t="s">
        <v>5849</v>
      </c>
      <c r="C3" s="234"/>
      <c r="D3" s="238"/>
      <c r="E3" s="234"/>
      <c r="F3" s="242"/>
      <c r="G3" s="245" t="str">
        <f>IF(COUNTIF(H3:AU3,"&lt;&gt;")=0,"",SUMPRODUCT(((Recommendations[ImplStatus]="Implemented")+(Recommendations[ImplStatus]="Compensated"))*ISNUMBER(MATCH(Recommendations[Id],H3:AU3,0)))/COUNTIF(H3:AU3,"&lt;&gt;"))</f>
        <v/>
      </c>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60"/>
    </row>
    <row r="4" spans="1:47" ht="60" customHeight="1" x14ac:dyDescent="0.35">
      <c r="A4" s="257" t="s">
        <v>5848</v>
      </c>
      <c r="B4" s="235" t="s">
        <v>5849</v>
      </c>
      <c r="C4" s="236" t="s">
        <v>5850</v>
      </c>
      <c r="D4" s="239" t="s">
        <v>5851</v>
      </c>
      <c r="E4" s="240" t="s">
        <v>5852</v>
      </c>
      <c r="F4" s="243" t="s">
        <v>5853</v>
      </c>
      <c r="G4" s="246" t="str">
        <f>IF(COUNTIF(H4:AU4,"&lt;&gt;")=0,"",SUMPRODUCT(((Recommendations[ImplStatus]="Implemented")+(Recommendations[ImplStatus]="Compensated"))*ISNUMBER(MATCH(Recommendations[Id],H4:AU4,0)))/COUNTIF(H4:AU4,"&lt;&gt;"))</f>
        <v/>
      </c>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61"/>
    </row>
    <row r="5" spans="1:47" ht="60" customHeight="1" x14ac:dyDescent="0.35">
      <c r="A5" s="257" t="s">
        <v>5848</v>
      </c>
      <c r="B5" s="235" t="s">
        <v>5849</v>
      </c>
      <c r="C5" s="236" t="s">
        <v>5854</v>
      </c>
      <c r="D5" s="239" t="s">
        <v>5855</v>
      </c>
      <c r="E5" s="240" t="s">
        <v>5852</v>
      </c>
      <c r="F5" s="243" t="s">
        <v>5853</v>
      </c>
      <c r="G5" s="246" t="str">
        <f>IF(COUNTIF(H5:AU5,"&lt;&gt;")=0,"",SUMPRODUCT(((Recommendations[ImplStatus]="Implemented")+(Recommendations[ImplStatus]="Compensated"))*ISNUMBER(MATCH(Recommendations[Id],H5:AU5,0)))/COUNTIF(H5:AU5,"&lt;&gt;"))</f>
        <v/>
      </c>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61"/>
    </row>
    <row r="6" spans="1:47" ht="60" customHeight="1" x14ac:dyDescent="0.35">
      <c r="A6" s="257" t="s">
        <v>5848</v>
      </c>
      <c r="B6" s="235" t="s">
        <v>5849</v>
      </c>
      <c r="C6" s="236" t="s">
        <v>5856</v>
      </c>
      <c r="D6" s="239" t="s">
        <v>5857</v>
      </c>
      <c r="E6" s="240" t="s">
        <v>5852</v>
      </c>
      <c r="F6" s="243" t="s">
        <v>5853</v>
      </c>
      <c r="G6" s="246" t="str">
        <f>IF(COUNTIF(H6:AU6,"&lt;&gt;")=0,"",SUMPRODUCT(((Recommendations[ImplStatus]="Implemented")+(Recommendations[ImplStatus]="Compensated"))*ISNUMBER(MATCH(Recommendations[Id],H6:AU6,0)))/COUNTIF(H6:AU6,"&lt;&gt;"))</f>
        <v/>
      </c>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61"/>
    </row>
    <row r="7" spans="1:47" ht="60" customHeight="1" x14ac:dyDescent="0.35">
      <c r="A7" s="257" t="s">
        <v>5848</v>
      </c>
      <c r="B7" s="235" t="s">
        <v>5849</v>
      </c>
      <c r="C7" s="236" t="s">
        <v>5858</v>
      </c>
      <c r="D7" s="239" t="s">
        <v>5859</v>
      </c>
      <c r="E7" s="240" t="s">
        <v>5852</v>
      </c>
      <c r="F7" s="243" t="s">
        <v>5853</v>
      </c>
      <c r="G7" s="246" t="str">
        <f>IF(COUNTIF(H7:AU7,"&lt;&gt;")=0,"",SUMPRODUCT(((Recommendations[ImplStatus]="Implemented")+(Recommendations[ImplStatus]="Compensated"))*ISNUMBER(MATCH(Recommendations[Id],H7:AU7,0)))/COUNTIF(H7:AU7,"&lt;&gt;"))</f>
        <v/>
      </c>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61"/>
    </row>
    <row r="8" spans="1:47" ht="60" customHeight="1" x14ac:dyDescent="0.35">
      <c r="A8" s="257" t="s">
        <v>5848</v>
      </c>
      <c r="B8" s="235" t="s">
        <v>5849</v>
      </c>
      <c r="C8" s="236" t="s">
        <v>5860</v>
      </c>
      <c r="D8" s="239" t="s">
        <v>5861</v>
      </c>
      <c r="E8" s="240" t="s">
        <v>5852</v>
      </c>
      <c r="F8" s="243" t="s">
        <v>5853</v>
      </c>
      <c r="G8" s="246" t="str">
        <f>IF(COUNTIF(H8:AU8,"&lt;&gt;")=0,"",SUMPRODUCT(((Recommendations[ImplStatus]="Implemented")+(Recommendations[ImplStatus]="Compensated"))*ISNUMBER(MATCH(Recommendations[Id],H8:AU8,0)))/COUNTIF(H8:AU8,"&lt;&gt;"))</f>
        <v/>
      </c>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61"/>
    </row>
    <row r="9" spans="1:47" ht="60" customHeight="1" x14ac:dyDescent="0.35">
      <c r="A9" s="257" t="s">
        <v>5848</v>
      </c>
      <c r="B9" s="235" t="s">
        <v>5849</v>
      </c>
      <c r="C9" s="236" t="s">
        <v>5862</v>
      </c>
      <c r="D9" s="239" t="s">
        <v>5863</v>
      </c>
      <c r="E9" s="240" t="s">
        <v>5852</v>
      </c>
      <c r="F9" s="243" t="s">
        <v>5853</v>
      </c>
      <c r="G9" s="246" t="str">
        <f>IF(COUNTIF(H9:AU9,"&lt;&gt;")=0,"",SUMPRODUCT(((Recommendations[ImplStatus]="Implemented")+(Recommendations[ImplStatus]="Compensated"))*ISNUMBER(MATCH(Recommendations[Id],H9:AU9,0)))/COUNTIF(H9:AU9,"&lt;&gt;"))</f>
        <v/>
      </c>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61"/>
    </row>
    <row r="10" spans="1:47" ht="60" customHeight="1" x14ac:dyDescent="0.35">
      <c r="A10" s="257" t="s">
        <v>5848</v>
      </c>
      <c r="B10" s="235" t="s">
        <v>5849</v>
      </c>
      <c r="C10" s="236" t="s">
        <v>5864</v>
      </c>
      <c r="D10" s="239" t="s">
        <v>5865</v>
      </c>
      <c r="E10" s="240" t="s">
        <v>5852</v>
      </c>
      <c r="F10" s="243" t="s">
        <v>5853</v>
      </c>
      <c r="G10" s="246" t="str">
        <f>IF(COUNTIF(H10:AU10,"&lt;&gt;")=0,"",SUMPRODUCT(((Recommendations[ImplStatus]="Implemented")+(Recommendations[ImplStatus]="Compensated"))*ISNUMBER(MATCH(Recommendations[Id],H10:AU10,0)))/COUNTIF(H10:AU10,"&lt;&gt;"))</f>
        <v/>
      </c>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61"/>
    </row>
    <row r="11" spans="1:47" ht="60" customHeight="1" x14ac:dyDescent="0.35">
      <c r="A11" s="257" t="s">
        <v>5848</v>
      </c>
      <c r="B11" s="235" t="s">
        <v>5849</v>
      </c>
      <c r="C11" s="236" t="s">
        <v>5866</v>
      </c>
      <c r="D11" s="239" t="s">
        <v>5867</v>
      </c>
      <c r="E11" s="240" t="s">
        <v>5852</v>
      </c>
      <c r="F11" s="243" t="s">
        <v>5853</v>
      </c>
      <c r="G11" s="246" t="str">
        <f>IF(COUNTIF(H11:AU11,"&lt;&gt;")=0,"",SUMPRODUCT(((Recommendations[ImplStatus]="Implemented")+(Recommendations[ImplStatus]="Compensated"))*ISNUMBER(MATCH(Recommendations[Id],H11:AU11,0)))/COUNTIF(H11:AU11,"&lt;&gt;"))</f>
        <v/>
      </c>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61"/>
    </row>
    <row r="12" spans="1:47" ht="60" customHeight="1" x14ac:dyDescent="0.35">
      <c r="A12" s="257" t="s">
        <v>5848</v>
      </c>
      <c r="B12" s="235" t="s">
        <v>5849</v>
      </c>
      <c r="C12" s="236" t="s">
        <v>5868</v>
      </c>
      <c r="D12" s="239" t="s">
        <v>5869</v>
      </c>
      <c r="E12" s="240" t="s">
        <v>5852</v>
      </c>
      <c r="F12" s="243" t="s">
        <v>5853</v>
      </c>
      <c r="G12" s="246" t="str">
        <f>IF(COUNTIF(H12:AU12,"&lt;&gt;")=0,"",SUMPRODUCT(((Recommendations[ImplStatus]="Implemented")+(Recommendations[ImplStatus]="Compensated"))*ISNUMBER(MATCH(Recommendations[Id],H12:AU12,0)))/COUNTIF(H12:AU12,"&lt;&gt;"))</f>
        <v/>
      </c>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61"/>
    </row>
    <row r="13" spans="1:47" ht="60" customHeight="1" x14ac:dyDescent="0.35">
      <c r="A13" s="257" t="s">
        <v>5848</v>
      </c>
      <c r="B13" s="235" t="s">
        <v>5849</v>
      </c>
      <c r="C13" s="236" t="s">
        <v>5870</v>
      </c>
      <c r="D13" s="239" t="s">
        <v>5871</v>
      </c>
      <c r="E13" s="240" t="s">
        <v>5852</v>
      </c>
      <c r="F13" s="243" t="s">
        <v>5853</v>
      </c>
      <c r="G13" s="246" t="str">
        <f>IF(COUNTIF(H13:AU13,"&lt;&gt;")=0,"",SUMPRODUCT(((Recommendations[ImplStatus]="Implemented")+(Recommendations[ImplStatus]="Compensated"))*ISNUMBER(MATCH(Recommendations[Id],H13:AU13,0)))/COUNTIF(H13:AU13,"&lt;&gt;"))</f>
        <v/>
      </c>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61"/>
    </row>
    <row r="14" spans="1:47" ht="60" customHeight="1" x14ac:dyDescent="0.35">
      <c r="A14" s="257" t="s">
        <v>5848</v>
      </c>
      <c r="B14" s="235" t="s">
        <v>5849</v>
      </c>
      <c r="C14" s="236" t="s">
        <v>5872</v>
      </c>
      <c r="D14" s="239" t="s">
        <v>5873</v>
      </c>
      <c r="E14" s="240" t="s">
        <v>5852</v>
      </c>
      <c r="F14" s="243" t="s">
        <v>5853</v>
      </c>
      <c r="G14" s="246" t="str">
        <f>IF(COUNTIF(H14:AU14,"&lt;&gt;")=0,"",SUMPRODUCT(((Recommendations[ImplStatus]="Implemented")+(Recommendations[ImplStatus]="Compensated"))*ISNUMBER(MATCH(Recommendations[Id],H14:AU14,0)))/COUNTIF(H14:AU14,"&lt;&gt;"))</f>
        <v/>
      </c>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61"/>
    </row>
    <row r="15" spans="1:47" ht="60" customHeight="1" x14ac:dyDescent="0.35">
      <c r="A15" s="257" t="s">
        <v>5848</v>
      </c>
      <c r="B15" s="235" t="s">
        <v>5849</v>
      </c>
      <c r="C15" s="236" t="s">
        <v>5874</v>
      </c>
      <c r="D15" s="239" t="s">
        <v>5875</v>
      </c>
      <c r="E15" s="240" t="s">
        <v>5852</v>
      </c>
      <c r="F15" s="243" t="s">
        <v>5853</v>
      </c>
      <c r="G15" s="246" t="str">
        <f>IF(COUNTIF(H15:AU15,"&lt;&gt;")=0,"",SUMPRODUCT(((Recommendations[ImplStatus]="Implemented")+(Recommendations[ImplStatus]="Compensated"))*ISNUMBER(MATCH(Recommendations[Id],H15:AU15,0)))/COUNTIF(H15:AU15,"&lt;&gt;"))</f>
        <v/>
      </c>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61"/>
    </row>
    <row r="16" spans="1:47" ht="60" customHeight="1" x14ac:dyDescent="0.35">
      <c r="A16" s="257" t="s">
        <v>5848</v>
      </c>
      <c r="B16" s="235" t="s">
        <v>5849</v>
      </c>
      <c r="C16" s="236" t="s">
        <v>5876</v>
      </c>
      <c r="D16" s="239" t="s">
        <v>5877</v>
      </c>
      <c r="E16" s="240" t="s">
        <v>5852</v>
      </c>
      <c r="F16" s="243" t="s">
        <v>5853</v>
      </c>
      <c r="G16" s="246" t="str">
        <f>IF(COUNTIF(H16:AU16,"&lt;&gt;")=0,"",SUMPRODUCT(((Recommendations[ImplStatus]="Implemented")+(Recommendations[ImplStatus]="Compensated"))*ISNUMBER(MATCH(Recommendations[Id],H16:AU16,0)))/COUNTIF(H16:AU16,"&lt;&gt;"))</f>
        <v/>
      </c>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61"/>
    </row>
    <row r="17" spans="1:47" ht="60" customHeight="1" outlineLevel="2" x14ac:dyDescent="0.35">
      <c r="A17" s="256" t="s">
        <v>5848</v>
      </c>
      <c r="B17" s="234" t="s">
        <v>5878</v>
      </c>
      <c r="C17" s="234"/>
      <c r="D17" s="238"/>
      <c r="E17" s="234"/>
      <c r="F17" s="242"/>
      <c r="G17" s="245" t="str">
        <f>IF(COUNTIF(H17:AU17,"&lt;&gt;")=0,"",SUMPRODUCT(((Recommendations[ImplStatus]="Implemented")+(Recommendations[ImplStatus]="Compensated"))*ISNUMBER(MATCH(Recommendations[Id],H17:AU17,0)))/COUNTIF(H17:AU17,"&lt;&gt;"))</f>
        <v/>
      </c>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60"/>
    </row>
    <row r="18" spans="1:47" ht="60" customHeight="1" x14ac:dyDescent="0.35">
      <c r="A18" s="257" t="s">
        <v>5848</v>
      </c>
      <c r="B18" s="235" t="s">
        <v>5878</v>
      </c>
      <c r="C18" s="236" t="s">
        <v>5879</v>
      </c>
      <c r="D18" s="239" t="s">
        <v>5880</v>
      </c>
      <c r="E18" s="240" t="s">
        <v>5881</v>
      </c>
      <c r="F18" s="243" t="s">
        <v>5882</v>
      </c>
      <c r="G18" s="246" t="str">
        <f>IF(COUNTIF(H18:AU18,"&lt;&gt;")=0,"",SUMPRODUCT(((Recommendations[ImplStatus]="Implemented")+(Recommendations[ImplStatus]="Compensated"))*ISNUMBER(MATCH(Recommendations[Id],H18:AU18,0)))/COUNTIF(H18:AU18,"&lt;&gt;"))</f>
        <v/>
      </c>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61"/>
    </row>
    <row r="19" spans="1:47" ht="60" customHeight="1" x14ac:dyDescent="0.35">
      <c r="A19" s="257" t="s">
        <v>5848</v>
      </c>
      <c r="B19" s="235" t="s">
        <v>5878</v>
      </c>
      <c r="C19" s="236" t="s">
        <v>5883</v>
      </c>
      <c r="D19" s="239" t="s">
        <v>5884</v>
      </c>
      <c r="E19" s="240" t="s">
        <v>5881</v>
      </c>
      <c r="F19" s="243" t="s">
        <v>5882</v>
      </c>
      <c r="G19" s="246" t="str">
        <f>IF(COUNTIF(H19:AU19,"&lt;&gt;")=0,"",SUMPRODUCT(((Recommendations[ImplStatus]="Implemented")+(Recommendations[ImplStatus]="Compensated"))*ISNUMBER(MATCH(Recommendations[Id],H19:AU19,0)))/COUNTIF(H19:AU19,"&lt;&gt;"))</f>
        <v/>
      </c>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61"/>
    </row>
    <row r="20" spans="1:47" ht="60" customHeight="1" x14ac:dyDescent="0.35">
      <c r="A20" s="257" t="s">
        <v>5848</v>
      </c>
      <c r="B20" s="235" t="s">
        <v>5878</v>
      </c>
      <c r="C20" s="236" t="s">
        <v>5885</v>
      </c>
      <c r="D20" s="239" t="s">
        <v>5886</v>
      </c>
      <c r="E20" s="240" t="s">
        <v>5881</v>
      </c>
      <c r="F20" s="243" t="s">
        <v>5882</v>
      </c>
      <c r="G20" s="246" t="str">
        <f>IF(COUNTIF(H20:AU20,"&lt;&gt;")=0,"",SUMPRODUCT(((Recommendations[ImplStatus]="Implemented")+(Recommendations[ImplStatus]="Compensated"))*ISNUMBER(MATCH(Recommendations[Id],H20:AU20,0)))/COUNTIF(H20:AU20,"&lt;&gt;"))</f>
        <v/>
      </c>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61"/>
    </row>
    <row r="21" spans="1:47" ht="60" customHeight="1" x14ac:dyDescent="0.35">
      <c r="A21" s="257" t="s">
        <v>5848</v>
      </c>
      <c r="B21" s="235" t="s">
        <v>5878</v>
      </c>
      <c r="C21" s="236" t="s">
        <v>5887</v>
      </c>
      <c r="D21" s="239" t="s">
        <v>5888</v>
      </c>
      <c r="E21" s="240" t="s">
        <v>5881</v>
      </c>
      <c r="F21" s="243" t="s">
        <v>5882</v>
      </c>
      <c r="G21" s="246" t="str">
        <f>IF(COUNTIF(H21:AU21,"&lt;&gt;")=0,"",SUMPRODUCT(((Recommendations[ImplStatus]="Implemented")+(Recommendations[ImplStatus]="Compensated"))*ISNUMBER(MATCH(Recommendations[Id],H21:AU21,0)))/COUNTIF(H21:AU21,"&lt;&gt;"))</f>
        <v/>
      </c>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61"/>
    </row>
    <row r="22" spans="1:47" ht="60" customHeight="1" x14ac:dyDescent="0.35">
      <c r="A22" s="257" t="s">
        <v>5848</v>
      </c>
      <c r="B22" s="235" t="s">
        <v>5878</v>
      </c>
      <c r="C22" s="236" t="s">
        <v>5889</v>
      </c>
      <c r="D22" s="239" t="s">
        <v>5890</v>
      </c>
      <c r="E22" s="240" t="s">
        <v>5881</v>
      </c>
      <c r="F22" s="243" t="s">
        <v>5882</v>
      </c>
      <c r="G22" s="246" t="str">
        <f>IF(COUNTIF(H22:AU22,"&lt;&gt;")=0,"",SUMPRODUCT(((Recommendations[ImplStatus]="Implemented")+(Recommendations[ImplStatus]="Compensated"))*ISNUMBER(MATCH(Recommendations[Id],H22:AU22,0)))/COUNTIF(H22:AU22,"&lt;&gt;"))</f>
        <v/>
      </c>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61"/>
    </row>
    <row r="23" spans="1:47" ht="60" customHeight="1" x14ac:dyDescent="0.35">
      <c r="A23" s="257" t="s">
        <v>5848</v>
      </c>
      <c r="B23" s="235" t="s">
        <v>5878</v>
      </c>
      <c r="C23" s="236" t="s">
        <v>5891</v>
      </c>
      <c r="D23" s="239" t="s">
        <v>5892</v>
      </c>
      <c r="E23" s="240" t="s">
        <v>5852</v>
      </c>
      <c r="F23" s="243" t="s">
        <v>5853</v>
      </c>
      <c r="G23" s="246" t="str">
        <f>IF(COUNTIF(H23:AU23,"&lt;&gt;")=0,"",SUMPRODUCT(((Recommendations[ImplStatus]="Implemented")+(Recommendations[ImplStatus]="Compensated"))*ISNUMBER(MATCH(Recommendations[Id],H23:AU23,0)))/COUNTIF(H23:AU23,"&lt;&gt;"))</f>
        <v/>
      </c>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61"/>
    </row>
    <row r="24" spans="1:47" ht="60" customHeight="1" x14ac:dyDescent="0.35">
      <c r="A24" s="257" t="s">
        <v>5848</v>
      </c>
      <c r="B24" s="235" t="s">
        <v>5878</v>
      </c>
      <c r="C24" s="236" t="s">
        <v>5893</v>
      </c>
      <c r="D24" s="239" t="s">
        <v>5894</v>
      </c>
      <c r="E24" s="240" t="s">
        <v>5852</v>
      </c>
      <c r="F24" s="243" t="s">
        <v>5853</v>
      </c>
      <c r="G24" s="246" t="str">
        <f>IF(COUNTIF(H24:AU24,"&lt;&gt;")=0,"",SUMPRODUCT(((Recommendations[ImplStatus]="Implemented")+(Recommendations[ImplStatus]="Compensated"))*ISNUMBER(MATCH(Recommendations[Id],H24:AU24,0)))/COUNTIF(H24:AU24,"&lt;&gt;"))</f>
        <v/>
      </c>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61"/>
    </row>
    <row r="25" spans="1:47" ht="60" customHeight="1" x14ac:dyDescent="0.35">
      <c r="A25" s="257" t="s">
        <v>5848</v>
      </c>
      <c r="B25" s="235" t="s">
        <v>5878</v>
      </c>
      <c r="C25" s="236" t="s">
        <v>5895</v>
      </c>
      <c r="D25" s="239" t="s">
        <v>5896</v>
      </c>
      <c r="E25" s="240" t="s">
        <v>5852</v>
      </c>
      <c r="F25" s="243" t="s">
        <v>5897</v>
      </c>
      <c r="G25" s="246" t="str">
        <f>IF(COUNTIF(H25:AU25,"&lt;&gt;")=0,"",SUMPRODUCT(((Recommendations[ImplStatus]="Implemented")+(Recommendations[ImplStatus]="Compensated"))*ISNUMBER(MATCH(Recommendations[Id],H25:AU25,0)))/COUNTIF(H25:AU25,"&lt;&gt;"))</f>
        <v/>
      </c>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61"/>
    </row>
    <row r="26" spans="1:47" ht="60" customHeight="1" x14ac:dyDescent="0.35">
      <c r="A26" s="257" t="s">
        <v>5848</v>
      </c>
      <c r="B26" s="235" t="s">
        <v>5878</v>
      </c>
      <c r="C26" s="236" t="s">
        <v>5898</v>
      </c>
      <c r="D26" s="239" t="s">
        <v>5899</v>
      </c>
      <c r="E26" s="240" t="s">
        <v>5852</v>
      </c>
      <c r="F26" s="243" t="s">
        <v>5897</v>
      </c>
      <c r="G26" s="246" t="str">
        <f>IF(COUNTIF(H26:AU26,"&lt;&gt;")=0,"",SUMPRODUCT(((Recommendations[ImplStatus]="Implemented")+(Recommendations[ImplStatus]="Compensated"))*ISNUMBER(MATCH(Recommendations[Id],H26:AU26,0)))/COUNTIF(H26:AU26,"&lt;&gt;"))</f>
        <v/>
      </c>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61"/>
    </row>
    <row r="27" spans="1:47" ht="60" customHeight="1" x14ac:dyDescent="0.35">
      <c r="A27" s="257" t="s">
        <v>5848</v>
      </c>
      <c r="B27" s="235" t="s">
        <v>5878</v>
      </c>
      <c r="C27" s="236" t="s">
        <v>5900</v>
      </c>
      <c r="D27" s="239" t="s">
        <v>5901</v>
      </c>
      <c r="E27" s="240" t="s">
        <v>5852</v>
      </c>
      <c r="F27" s="243" t="s">
        <v>5897</v>
      </c>
      <c r="G27" s="246" t="str">
        <f>IF(COUNTIF(H27:AU27,"&lt;&gt;")=0,"",SUMPRODUCT(((Recommendations[ImplStatus]="Implemented")+(Recommendations[ImplStatus]="Compensated"))*ISNUMBER(MATCH(Recommendations[Id],H27:AU27,0)))/COUNTIF(H27:AU27,"&lt;&gt;"))</f>
        <v/>
      </c>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61"/>
    </row>
    <row r="28" spans="1:47" ht="60" customHeight="1" x14ac:dyDescent="0.35">
      <c r="A28" s="257" t="s">
        <v>5848</v>
      </c>
      <c r="B28" s="235" t="s">
        <v>5878</v>
      </c>
      <c r="C28" s="236" t="s">
        <v>5902</v>
      </c>
      <c r="D28" s="239" t="s">
        <v>5903</v>
      </c>
      <c r="E28" s="240" t="s">
        <v>5852</v>
      </c>
      <c r="F28" s="243" t="s">
        <v>5897</v>
      </c>
      <c r="G28" s="246" t="str">
        <f>IF(COUNTIF(H28:AU28,"&lt;&gt;")=0,"",SUMPRODUCT(((Recommendations[ImplStatus]="Implemented")+(Recommendations[ImplStatus]="Compensated"))*ISNUMBER(MATCH(Recommendations[Id],H28:AU28,0)))/COUNTIF(H28:AU28,"&lt;&gt;"))</f>
        <v/>
      </c>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61"/>
    </row>
    <row r="29" spans="1:47" ht="60" customHeight="1" x14ac:dyDescent="0.35">
      <c r="A29" s="257" t="s">
        <v>5848</v>
      </c>
      <c r="B29" s="235" t="s">
        <v>5878</v>
      </c>
      <c r="C29" s="236" t="s">
        <v>5904</v>
      </c>
      <c r="D29" s="239" t="s">
        <v>5905</v>
      </c>
      <c r="E29" s="240" t="s">
        <v>5852</v>
      </c>
      <c r="F29" s="243" t="s">
        <v>5897</v>
      </c>
      <c r="G29" s="246" t="str">
        <f>IF(COUNTIF(H29:AU29,"&lt;&gt;")=0,"",SUMPRODUCT(((Recommendations[ImplStatus]="Implemented")+(Recommendations[ImplStatus]="Compensated"))*ISNUMBER(MATCH(Recommendations[Id],H29:AU29,0)))/COUNTIF(H29:AU29,"&lt;&gt;"))</f>
        <v/>
      </c>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61"/>
    </row>
    <row r="30" spans="1:47" ht="60" customHeight="1" x14ac:dyDescent="0.35">
      <c r="A30" s="257" t="s">
        <v>5848</v>
      </c>
      <c r="B30" s="235" t="s">
        <v>5878</v>
      </c>
      <c r="C30" s="236" t="s">
        <v>5906</v>
      </c>
      <c r="D30" s="239" t="s">
        <v>5907</v>
      </c>
      <c r="E30" s="240" t="s">
        <v>5852</v>
      </c>
      <c r="F30" s="243" t="s">
        <v>5897</v>
      </c>
      <c r="G30" s="246" t="str">
        <f>IF(COUNTIF(H30:AU30,"&lt;&gt;")=0,"",SUMPRODUCT(((Recommendations[ImplStatus]="Implemented")+(Recommendations[ImplStatus]="Compensated"))*ISNUMBER(MATCH(Recommendations[Id],H30:AU30,0)))/COUNTIF(H30:AU30,"&lt;&gt;"))</f>
        <v/>
      </c>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61"/>
    </row>
    <row r="31" spans="1:47" ht="60" customHeight="1" x14ac:dyDescent="0.35">
      <c r="A31" s="257" t="s">
        <v>5848</v>
      </c>
      <c r="B31" s="235" t="s">
        <v>5878</v>
      </c>
      <c r="C31" s="236" t="s">
        <v>5908</v>
      </c>
      <c r="D31" s="239" t="s">
        <v>5909</v>
      </c>
      <c r="E31" s="240" t="s">
        <v>5852</v>
      </c>
      <c r="F31" s="243" t="s">
        <v>5897</v>
      </c>
      <c r="G31" s="246" t="str">
        <f>IF(COUNTIF(H31:AU31,"&lt;&gt;")=0,"",SUMPRODUCT(((Recommendations[ImplStatus]="Implemented")+(Recommendations[ImplStatus]="Compensated"))*ISNUMBER(MATCH(Recommendations[Id],H31:AU31,0)))/COUNTIF(H31:AU31,"&lt;&gt;"))</f>
        <v/>
      </c>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61"/>
    </row>
    <row r="32" spans="1:47" ht="60" customHeight="1" x14ac:dyDescent="0.35">
      <c r="A32" s="257" t="s">
        <v>5848</v>
      </c>
      <c r="B32" s="235" t="s">
        <v>5878</v>
      </c>
      <c r="C32" s="236" t="s">
        <v>5910</v>
      </c>
      <c r="D32" s="239" t="s">
        <v>5911</v>
      </c>
      <c r="E32" s="240" t="s">
        <v>5852</v>
      </c>
      <c r="F32" s="243" t="s">
        <v>5897</v>
      </c>
      <c r="G32" s="246" t="str">
        <f>IF(COUNTIF(H32:AU32,"&lt;&gt;")=0,"",SUMPRODUCT(((Recommendations[ImplStatus]="Implemented")+(Recommendations[ImplStatus]="Compensated"))*ISNUMBER(MATCH(Recommendations[Id],H32:AU32,0)))/COUNTIF(H32:AU32,"&lt;&gt;"))</f>
        <v/>
      </c>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61"/>
    </row>
    <row r="33" spans="1:47" ht="60" customHeight="1" x14ac:dyDescent="0.35">
      <c r="A33" s="257" t="s">
        <v>5848</v>
      </c>
      <c r="B33" s="235" t="s">
        <v>5878</v>
      </c>
      <c r="C33" s="236" t="s">
        <v>5912</v>
      </c>
      <c r="D33" s="239" t="s">
        <v>5913</v>
      </c>
      <c r="E33" s="240" t="s">
        <v>5881</v>
      </c>
      <c r="F33" s="243" t="s">
        <v>5882</v>
      </c>
      <c r="G33" s="246" t="str">
        <f>IF(COUNTIF(H33:AU33,"&lt;&gt;")=0,"",SUMPRODUCT(((Recommendations[ImplStatus]="Implemented")+(Recommendations[ImplStatus]="Compensated"))*ISNUMBER(MATCH(Recommendations[Id],H33:AU33,0)))/COUNTIF(H33:AU33,"&lt;&gt;"))</f>
        <v/>
      </c>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61"/>
    </row>
    <row r="34" spans="1:47" ht="60" customHeight="1" x14ac:dyDescent="0.35">
      <c r="A34" s="257" t="s">
        <v>5848</v>
      </c>
      <c r="B34" s="235" t="s">
        <v>5878</v>
      </c>
      <c r="C34" s="236" t="s">
        <v>5914</v>
      </c>
      <c r="D34" s="239" t="s">
        <v>5915</v>
      </c>
      <c r="E34" s="240" t="s">
        <v>5852</v>
      </c>
      <c r="F34" s="243" t="s">
        <v>5897</v>
      </c>
      <c r="G34" s="246" t="str">
        <f>IF(COUNTIF(H34:AU34,"&lt;&gt;")=0,"",SUMPRODUCT(((Recommendations[ImplStatus]="Implemented")+(Recommendations[ImplStatus]="Compensated"))*ISNUMBER(MATCH(Recommendations[Id],H34:AU34,0)))/COUNTIF(H34:AU34,"&lt;&gt;"))</f>
        <v/>
      </c>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61"/>
    </row>
    <row r="35" spans="1:47" ht="60" customHeight="1" outlineLevel="2" x14ac:dyDescent="0.35">
      <c r="A35" s="256" t="s">
        <v>5848</v>
      </c>
      <c r="B35" s="234" t="s">
        <v>5916</v>
      </c>
      <c r="C35" s="234"/>
      <c r="D35" s="238"/>
      <c r="E35" s="234"/>
      <c r="F35" s="242"/>
      <c r="G35" s="245" t="str">
        <f>IF(COUNTIF(H35:AU35,"&lt;&gt;")=0,"",SUMPRODUCT(((Recommendations[ImplStatus]="Implemented")+(Recommendations[ImplStatus]="Compensated"))*ISNUMBER(MATCH(Recommendations[Id],H35:AU35,0)))/COUNTIF(H35:AU35,"&lt;&gt;"))</f>
        <v/>
      </c>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60"/>
    </row>
    <row r="36" spans="1:47" ht="60" customHeight="1" x14ac:dyDescent="0.35">
      <c r="A36" s="257" t="s">
        <v>5848</v>
      </c>
      <c r="B36" s="235" t="s">
        <v>5916</v>
      </c>
      <c r="C36" s="236" t="s">
        <v>5917</v>
      </c>
      <c r="D36" s="239" t="s">
        <v>5918</v>
      </c>
      <c r="E36" s="240" t="s">
        <v>5852</v>
      </c>
      <c r="F36" s="243" t="s">
        <v>5897</v>
      </c>
      <c r="G36" s="246" t="str">
        <f>IF(COUNTIF(H36:AU36,"&lt;&gt;")=0,"",SUMPRODUCT(((Recommendations[ImplStatus]="Implemented")+(Recommendations[ImplStatus]="Compensated"))*ISNUMBER(MATCH(Recommendations[Id],H36:AU36,0)))/COUNTIF(H36:AU36,"&lt;&gt;"))</f>
        <v/>
      </c>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61"/>
    </row>
    <row r="37" spans="1:47" ht="60" customHeight="1" x14ac:dyDescent="0.35">
      <c r="A37" s="257" t="s">
        <v>5848</v>
      </c>
      <c r="B37" s="235" t="s">
        <v>5916</v>
      </c>
      <c r="C37" s="236" t="s">
        <v>5919</v>
      </c>
      <c r="D37" s="239" t="s">
        <v>5920</v>
      </c>
      <c r="E37" s="240" t="s">
        <v>5852</v>
      </c>
      <c r="F37" s="243" t="s">
        <v>5921</v>
      </c>
      <c r="G37" s="246" t="str">
        <f>IF(COUNTIF(H37:AU37,"&lt;&gt;")=0,"",SUMPRODUCT(((Recommendations[ImplStatus]="Implemented")+(Recommendations[ImplStatus]="Compensated"))*ISNUMBER(MATCH(Recommendations[Id],H37:AU37,0)))/COUNTIF(H37:AU37,"&lt;&gt;"))</f>
        <v/>
      </c>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61"/>
    </row>
    <row r="38" spans="1:47" ht="60" customHeight="1" x14ac:dyDescent="0.35">
      <c r="A38" s="257" t="s">
        <v>5848</v>
      </c>
      <c r="B38" s="235" t="s">
        <v>5916</v>
      </c>
      <c r="C38" s="236" t="s">
        <v>5922</v>
      </c>
      <c r="D38" s="239" t="s">
        <v>5923</v>
      </c>
      <c r="E38" s="240" t="s">
        <v>5852</v>
      </c>
      <c r="F38" s="243" t="s">
        <v>5921</v>
      </c>
      <c r="G38" s="246" t="str">
        <f>IF(COUNTIF(H38:AU38,"&lt;&gt;")=0,"",SUMPRODUCT(((Recommendations[ImplStatus]="Implemented")+(Recommendations[ImplStatus]="Compensated"))*ISNUMBER(MATCH(Recommendations[Id],H38:AU38,0)))/COUNTIF(H38:AU38,"&lt;&gt;"))</f>
        <v/>
      </c>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61"/>
    </row>
    <row r="39" spans="1:47" ht="60" customHeight="1" x14ac:dyDescent="0.35">
      <c r="A39" s="257" t="s">
        <v>5848</v>
      </c>
      <c r="B39" s="235" t="s">
        <v>5916</v>
      </c>
      <c r="C39" s="236" t="s">
        <v>5924</v>
      </c>
      <c r="D39" s="239" t="s">
        <v>5925</v>
      </c>
      <c r="E39" s="240" t="s">
        <v>5852</v>
      </c>
      <c r="F39" s="243" t="s">
        <v>5921</v>
      </c>
      <c r="G39" s="246" t="str">
        <f>IF(COUNTIF(H39:AU39,"&lt;&gt;")=0,"",SUMPRODUCT(((Recommendations[ImplStatus]="Implemented")+(Recommendations[ImplStatus]="Compensated"))*ISNUMBER(MATCH(Recommendations[Id],H39:AU39,0)))/COUNTIF(H39:AU39,"&lt;&gt;"))</f>
        <v/>
      </c>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61"/>
    </row>
    <row r="40" spans="1:47" ht="60" customHeight="1" x14ac:dyDescent="0.35">
      <c r="A40" s="257" t="s">
        <v>5848</v>
      </c>
      <c r="B40" s="235" t="s">
        <v>5916</v>
      </c>
      <c r="C40" s="236" t="s">
        <v>5926</v>
      </c>
      <c r="D40" s="239" t="s">
        <v>5927</v>
      </c>
      <c r="E40" s="240" t="s">
        <v>5852</v>
      </c>
      <c r="F40" s="243" t="s">
        <v>5921</v>
      </c>
      <c r="G40" s="246" t="str">
        <f>IF(COUNTIF(H40:AU40,"&lt;&gt;")=0,"",SUMPRODUCT(((Recommendations[ImplStatus]="Implemented")+(Recommendations[ImplStatus]="Compensated"))*ISNUMBER(MATCH(Recommendations[Id],H40:AU40,0)))/COUNTIF(H40:AU40,"&lt;&gt;"))</f>
        <v/>
      </c>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61"/>
    </row>
    <row r="41" spans="1:47" ht="60" customHeight="1" x14ac:dyDescent="0.35">
      <c r="A41" s="257" t="s">
        <v>5848</v>
      </c>
      <c r="B41" s="235" t="s">
        <v>5916</v>
      </c>
      <c r="C41" s="236" t="s">
        <v>5928</v>
      </c>
      <c r="D41" s="239" t="s">
        <v>5929</v>
      </c>
      <c r="E41" s="240" t="s">
        <v>5852</v>
      </c>
      <c r="F41" s="243" t="s">
        <v>5921</v>
      </c>
      <c r="G41" s="246" t="str">
        <f>IF(COUNTIF(H41:AU41,"&lt;&gt;")=0,"",SUMPRODUCT(((Recommendations[ImplStatus]="Implemented")+(Recommendations[ImplStatus]="Compensated"))*ISNUMBER(MATCH(Recommendations[Id],H41:AU41,0)))/COUNTIF(H41:AU41,"&lt;&gt;"))</f>
        <v/>
      </c>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61"/>
    </row>
    <row r="42" spans="1:47" ht="60" customHeight="1" x14ac:dyDescent="0.35">
      <c r="A42" s="257" t="s">
        <v>5848</v>
      </c>
      <c r="B42" s="235" t="s">
        <v>5916</v>
      </c>
      <c r="C42" s="236" t="s">
        <v>5930</v>
      </c>
      <c r="D42" s="239" t="s">
        <v>5931</v>
      </c>
      <c r="E42" s="240" t="s">
        <v>5852</v>
      </c>
      <c r="F42" s="243" t="s">
        <v>5921</v>
      </c>
      <c r="G42" s="246" t="str">
        <f>IF(COUNTIF(H42:AU42,"&lt;&gt;")=0,"",SUMPRODUCT(((Recommendations[ImplStatus]="Implemented")+(Recommendations[ImplStatus]="Compensated"))*ISNUMBER(MATCH(Recommendations[Id],H42:AU42,0)))/COUNTIF(H42:AU42,"&lt;&gt;"))</f>
        <v/>
      </c>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61"/>
    </row>
    <row r="43" spans="1:47" ht="60" customHeight="1" x14ac:dyDescent="0.35">
      <c r="A43" s="257" t="s">
        <v>5848</v>
      </c>
      <c r="B43" s="235" t="s">
        <v>5916</v>
      </c>
      <c r="C43" s="236" t="s">
        <v>5932</v>
      </c>
      <c r="D43" s="239" t="s">
        <v>5933</v>
      </c>
      <c r="E43" s="240" t="s">
        <v>5852</v>
      </c>
      <c r="F43" s="243" t="s">
        <v>5921</v>
      </c>
      <c r="G43" s="246" t="str">
        <f>IF(COUNTIF(H43:AU43,"&lt;&gt;")=0,"",SUMPRODUCT(((Recommendations[ImplStatus]="Implemented")+(Recommendations[ImplStatus]="Compensated"))*ISNUMBER(MATCH(Recommendations[Id],H43:AU43,0)))/COUNTIF(H43:AU43,"&lt;&gt;"))</f>
        <v/>
      </c>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61"/>
    </row>
    <row r="44" spans="1:47" ht="60" customHeight="1" x14ac:dyDescent="0.35">
      <c r="A44" s="257" t="s">
        <v>5848</v>
      </c>
      <c r="B44" s="235" t="s">
        <v>5916</v>
      </c>
      <c r="C44" s="236" t="s">
        <v>5934</v>
      </c>
      <c r="D44" s="239" t="s">
        <v>5935</v>
      </c>
      <c r="E44" s="240" t="s">
        <v>5852</v>
      </c>
      <c r="F44" s="243" t="s">
        <v>5921</v>
      </c>
      <c r="G44" s="246" t="str">
        <f>IF(COUNTIF(H44:AU44,"&lt;&gt;")=0,"",SUMPRODUCT(((Recommendations[ImplStatus]="Implemented")+(Recommendations[ImplStatus]="Compensated"))*ISNUMBER(MATCH(Recommendations[Id],H44:AU44,0)))/COUNTIF(H44:AU44,"&lt;&gt;"))</f>
        <v/>
      </c>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61"/>
    </row>
    <row r="45" spans="1:47" ht="60" customHeight="1" x14ac:dyDescent="0.35">
      <c r="A45" s="257" t="s">
        <v>5848</v>
      </c>
      <c r="B45" s="235" t="s">
        <v>5916</v>
      </c>
      <c r="C45" s="236" t="s">
        <v>5936</v>
      </c>
      <c r="D45" s="239" t="s">
        <v>5937</v>
      </c>
      <c r="E45" s="240" t="s">
        <v>5852</v>
      </c>
      <c r="F45" s="243" t="s">
        <v>5921</v>
      </c>
      <c r="G45" s="246" t="str">
        <f>IF(COUNTIF(H45:AU45,"&lt;&gt;")=0,"",SUMPRODUCT(((Recommendations[ImplStatus]="Implemented")+(Recommendations[ImplStatus]="Compensated"))*ISNUMBER(MATCH(Recommendations[Id],H45:AU45,0)))/COUNTIF(H45:AU45,"&lt;&gt;"))</f>
        <v/>
      </c>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61"/>
    </row>
    <row r="46" spans="1:47" ht="60" customHeight="1" x14ac:dyDescent="0.35">
      <c r="A46" s="257" t="s">
        <v>5848</v>
      </c>
      <c r="B46" s="235" t="s">
        <v>5916</v>
      </c>
      <c r="C46" s="236" t="s">
        <v>5938</v>
      </c>
      <c r="D46" s="239" t="s">
        <v>5939</v>
      </c>
      <c r="E46" s="240" t="s">
        <v>5852</v>
      </c>
      <c r="F46" s="243" t="s">
        <v>5921</v>
      </c>
      <c r="G46" s="246" t="str">
        <f>IF(COUNTIF(H46:AU46,"&lt;&gt;")=0,"",SUMPRODUCT(((Recommendations[ImplStatus]="Implemented")+(Recommendations[ImplStatus]="Compensated"))*ISNUMBER(MATCH(Recommendations[Id],H46:AU46,0)))/COUNTIF(H46:AU46,"&lt;&gt;"))</f>
        <v/>
      </c>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61"/>
    </row>
    <row r="47" spans="1:47" ht="60" customHeight="1" x14ac:dyDescent="0.35">
      <c r="A47" s="257" t="s">
        <v>5848</v>
      </c>
      <c r="B47" s="235" t="s">
        <v>5916</v>
      </c>
      <c r="C47" s="236" t="s">
        <v>5940</v>
      </c>
      <c r="D47" s="239" t="s">
        <v>5941</v>
      </c>
      <c r="E47" s="240" t="s">
        <v>5852</v>
      </c>
      <c r="F47" s="243" t="s">
        <v>5921</v>
      </c>
      <c r="G47" s="246" t="str">
        <f>IF(COUNTIF(H47:AU47,"&lt;&gt;")=0,"",SUMPRODUCT(((Recommendations[ImplStatus]="Implemented")+(Recommendations[ImplStatus]="Compensated"))*ISNUMBER(MATCH(Recommendations[Id],H47:AU47,0)))/COUNTIF(H47:AU47,"&lt;&gt;"))</f>
        <v/>
      </c>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61"/>
    </row>
    <row r="48" spans="1:47" ht="60" customHeight="1" x14ac:dyDescent="0.35">
      <c r="A48" s="257" t="s">
        <v>5848</v>
      </c>
      <c r="B48" s="235" t="s">
        <v>5916</v>
      </c>
      <c r="C48" s="236" t="s">
        <v>5942</v>
      </c>
      <c r="D48" s="239" t="s">
        <v>5943</v>
      </c>
      <c r="E48" s="240" t="s">
        <v>5852</v>
      </c>
      <c r="F48" s="243" t="s">
        <v>5921</v>
      </c>
      <c r="G48" s="246" t="str">
        <f>IF(COUNTIF(H48:AU48,"&lt;&gt;")=0,"",SUMPRODUCT(((Recommendations[ImplStatus]="Implemented")+(Recommendations[ImplStatus]="Compensated"))*ISNUMBER(MATCH(Recommendations[Id],H48:AU48,0)))/COUNTIF(H48:AU48,"&lt;&gt;"))</f>
        <v/>
      </c>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61"/>
    </row>
    <row r="49" spans="1:47" ht="60" customHeight="1" x14ac:dyDescent="0.35">
      <c r="A49" s="257" t="s">
        <v>5848</v>
      </c>
      <c r="B49" s="235" t="s">
        <v>5916</v>
      </c>
      <c r="C49" s="236" t="s">
        <v>5944</v>
      </c>
      <c r="D49" s="239" t="s">
        <v>5945</v>
      </c>
      <c r="E49" s="240" t="s">
        <v>5852</v>
      </c>
      <c r="F49" s="243" t="s">
        <v>5921</v>
      </c>
      <c r="G49" s="246" t="str">
        <f>IF(COUNTIF(H49:AU49,"&lt;&gt;")=0,"",SUMPRODUCT(((Recommendations[ImplStatus]="Implemented")+(Recommendations[ImplStatus]="Compensated"))*ISNUMBER(MATCH(Recommendations[Id],H49:AU49,0)))/COUNTIF(H49:AU49,"&lt;&gt;"))</f>
        <v/>
      </c>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61"/>
    </row>
    <row r="50" spans="1:47" ht="60" customHeight="1" outlineLevel="2" x14ac:dyDescent="0.35">
      <c r="A50" s="256" t="s">
        <v>5848</v>
      </c>
      <c r="B50" s="234" t="s">
        <v>4797</v>
      </c>
      <c r="C50" s="234"/>
      <c r="D50" s="238"/>
      <c r="E50" s="234"/>
      <c r="F50" s="242"/>
      <c r="G50" s="245" t="str">
        <f>IF(COUNTIF(H50:AU50,"&lt;&gt;")=0,"",SUMPRODUCT(((Recommendations[ImplStatus]="Implemented")+(Recommendations[ImplStatus]="Compensated"))*ISNUMBER(MATCH(Recommendations[Id],H50:AU50,0)))/COUNTIF(H50:AU50,"&lt;&gt;"))</f>
        <v/>
      </c>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60"/>
    </row>
    <row r="51" spans="1:47" ht="60" customHeight="1" x14ac:dyDescent="0.35">
      <c r="A51" s="257" t="s">
        <v>5848</v>
      </c>
      <c r="B51" s="235" t="s">
        <v>4797</v>
      </c>
      <c r="C51" s="236" t="s">
        <v>5946</v>
      </c>
      <c r="D51" s="239" t="s">
        <v>5947</v>
      </c>
      <c r="E51" s="240" t="s">
        <v>5948</v>
      </c>
      <c r="F51" s="243" t="s">
        <v>5949</v>
      </c>
      <c r="G51" s="246" t="str">
        <f>IF(COUNTIF(H51:AU51,"&lt;&gt;")=0,"",SUMPRODUCT(((Recommendations[ImplStatus]="Implemented")+(Recommendations[ImplStatus]="Compensated"))*ISNUMBER(MATCH(Recommendations[Id],H51:AU51,0)))/COUNTIF(H51:AU51,"&lt;&gt;"))</f>
        <v/>
      </c>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61"/>
    </row>
    <row r="52" spans="1:47" ht="60" customHeight="1" x14ac:dyDescent="0.35">
      <c r="A52" s="257" t="s">
        <v>5848</v>
      </c>
      <c r="B52" s="235" t="s">
        <v>4797</v>
      </c>
      <c r="C52" s="236" t="s">
        <v>5950</v>
      </c>
      <c r="D52" s="239" t="s">
        <v>5951</v>
      </c>
      <c r="E52" s="240" t="s">
        <v>5948</v>
      </c>
      <c r="F52" s="243" t="s">
        <v>5949</v>
      </c>
      <c r="G52" s="246" t="str">
        <f>IF(COUNTIF(H52:AU52,"&lt;&gt;")=0,"",SUMPRODUCT(((Recommendations[ImplStatus]="Implemented")+(Recommendations[ImplStatus]="Compensated"))*ISNUMBER(MATCH(Recommendations[Id],H52:AU52,0)))/COUNTIF(H52:AU52,"&lt;&gt;"))</f>
        <v/>
      </c>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61"/>
    </row>
    <row r="53" spans="1:47" ht="60" customHeight="1" x14ac:dyDescent="0.35">
      <c r="A53" s="257" t="s">
        <v>5848</v>
      </c>
      <c r="B53" s="235" t="s">
        <v>4797</v>
      </c>
      <c r="C53" s="236" t="s">
        <v>5952</v>
      </c>
      <c r="D53" s="239" t="s">
        <v>5953</v>
      </c>
      <c r="E53" s="240" t="s">
        <v>5948</v>
      </c>
      <c r="F53" s="243" t="s">
        <v>5949</v>
      </c>
      <c r="G53" s="246" t="str">
        <f>IF(COUNTIF(H53:AU53,"&lt;&gt;")=0,"",SUMPRODUCT(((Recommendations[ImplStatus]="Implemented")+(Recommendations[ImplStatus]="Compensated"))*ISNUMBER(MATCH(Recommendations[Id],H53:AU53,0)))/COUNTIF(H53:AU53,"&lt;&gt;"))</f>
        <v/>
      </c>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61"/>
    </row>
    <row r="54" spans="1:47" ht="60" customHeight="1" x14ac:dyDescent="0.35">
      <c r="A54" s="257" t="s">
        <v>5848</v>
      </c>
      <c r="B54" s="235" t="s">
        <v>4797</v>
      </c>
      <c r="C54" s="236" t="s">
        <v>5954</v>
      </c>
      <c r="D54" s="239" t="s">
        <v>5955</v>
      </c>
      <c r="E54" s="240" t="s">
        <v>5948</v>
      </c>
      <c r="F54" s="243" t="s">
        <v>5949</v>
      </c>
      <c r="G54" s="246" t="str">
        <f>IF(COUNTIF(H54:AU54,"&lt;&gt;")=0,"",SUMPRODUCT(((Recommendations[ImplStatus]="Implemented")+(Recommendations[ImplStatus]="Compensated"))*ISNUMBER(MATCH(Recommendations[Id],H54:AU54,0)))/COUNTIF(H54:AU54,"&lt;&gt;"))</f>
        <v/>
      </c>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61"/>
    </row>
    <row r="55" spans="1:47" ht="60" customHeight="1" x14ac:dyDescent="0.35">
      <c r="A55" s="257" t="s">
        <v>5848</v>
      </c>
      <c r="B55" s="235" t="s">
        <v>4797</v>
      </c>
      <c r="C55" s="236" t="s">
        <v>5956</v>
      </c>
      <c r="D55" s="239" t="s">
        <v>5957</v>
      </c>
      <c r="E55" s="240" t="s">
        <v>5948</v>
      </c>
      <c r="F55" s="243" t="s">
        <v>5949</v>
      </c>
      <c r="G55" s="246" t="str">
        <f>IF(COUNTIF(H55:AU55,"&lt;&gt;")=0,"",SUMPRODUCT(((Recommendations[ImplStatus]="Implemented")+(Recommendations[ImplStatus]="Compensated"))*ISNUMBER(MATCH(Recommendations[Id],H55:AU55,0)))/COUNTIF(H55:AU55,"&lt;&gt;"))</f>
        <v/>
      </c>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61"/>
    </row>
    <row r="56" spans="1:47" ht="60" customHeight="1" x14ac:dyDescent="0.35">
      <c r="A56" s="257" t="s">
        <v>5848</v>
      </c>
      <c r="B56" s="235" t="s">
        <v>4797</v>
      </c>
      <c r="C56" s="236" t="s">
        <v>5958</v>
      </c>
      <c r="D56" s="239" t="s">
        <v>5959</v>
      </c>
      <c r="E56" s="240" t="s">
        <v>5948</v>
      </c>
      <c r="F56" s="243" t="s">
        <v>5949</v>
      </c>
      <c r="G56" s="246" t="str">
        <f>IF(COUNTIF(H56:AU56,"&lt;&gt;")=0,"",SUMPRODUCT(((Recommendations[ImplStatus]="Implemented")+(Recommendations[ImplStatus]="Compensated"))*ISNUMBER(MATCH(Recommendations[Id],H56:AU56,0)))/COUNTIF(H56:AU56,"&lt;&gt;"))</f>
        <v/>
      </c>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61"/>
    </row>
    <row r="57" spans="1:47" ht="60" customHeight="1" x14ac:dyDescent="0.35">
      <c r="A57" s="257" t="s">
        <v>5848</v>
      </c>
      <c r="B57" s="235" t="s">
        <v>4797</v>
      </c>
      <c r="C57" s="236" t="s">
        <v>5960</v>
      </c>
      <c r="D57" s="239" t="s">
        <v>5961</v>
      </c>
      <c r="E57" s="240" t="s">
        <v>5948</v>
      </c>
      <c r="F57" s="243" t="s">
        <v>5949</v>
      </c>
      <c r="G57" s="246" t="str">
        <f>IF(COUNTIF(H57:AU57,"&lt;&gt;")=0,"",SUMPRODUCT(((Recommendations[ImplStatus]="Implemented")+(Recommendations[ImplStatus]="Compensated"))*ISNUMBER(MATCH(Recommendations[Id],H57:AU57,0)))/COUNTIF(H57:AU57,"&lt;&gt;"))</f>
        <v/>
      </c>
      <c r="H57" s="247"/>
      <c r="I57" s="247"/>
      <c r="J57" s="247"/>
      <c r="K57" s="247"/>
      <c r="L57" s="247"/>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61"/>
    </row>
    <row r="58" spans="1:47" ht="60" customHeight="1" x14ac:dyDescent="0.35">
      <c r="A58" s="257" t="s">
        <v>5848</v>
      </c>
      <c r="B58" s="235" t="s">
        <v>4797</v>
      </c>
      <c r="C58" s="236" t="s">
        <v>5962</v>
      </c>
      <c r="D58" s="239" t="s">
        <v>5963</v>
      </c>
      <c r="E58" s="240" t="s">
        <v>5852</v>
      </c>
      <c r="F58" s="243" t="s">
        <v>5949</v>
      </c>
      <c r="G58" s="246" t="str">
        <f>IF(COUNTIF(H58:AU58,"&lt;&gt;")=0,"",SUMPRODUCT(((Recommendations[ImplStatus]="Implemented")+(Recommendations[ImplStatus]="Compensated"))*ISNUMBER(MATCH(Recommendations[Id],H58:AU58,0)))/COUNTIF(H58:AU58,"&lt;&gt;"))</f>
        <v/>
      </c>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61"/>
    </row>
    <row r="59" spans="1:47" ht="60" customHeight="1" x14ac:dyDescent="0.35">
      <c r="A59" s="257" t="s">
        <v>5848</v>
      </c>
      <c r="B59" s="235" t="s">
        <v>4797</v>
      </c>
      <c r="C59" s="236" t="s">
        <v>5964</v>
      </c>
      <c r="D59" s="239" t="s">
        <v>5965</v>
      </c>
      <c r="E59" s="240" t="s">
        <v>5852</v>
      </c>
      <c r="F59" s="243" t="s">
        <v>5949</v>
      </c>
      <c r="G59" s="246" t="str">
        <f>IF(COUNTIF(H59:AU59,"&lt;&gt;")=0,"",SUMPRODUCT(((Recommendations[ImplStatus]="Implemented")+(Recommendations[ImplStatus]="Compensated"))*ISNUMBER(MATCH(Recommendations[Id],H59:AU59,0)))/COUNTIF(H59:AU59,"&lt;&gt;"))</f>
        <v/>
      </c>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61"/>
    </row>
    <row r="60" spans="1:47" ht="60" customHeight="1" outlineLevel="2" x14ac:dyDescent="0.35">
      <c r="A60" s="256" t="s">
        <v>5848</v>
      </c>
      <c r="B60" s="234" t="s">
        <v>5966</v>
      </c>
      <c r="C60" s="234"/>
      <c r="D60" s="238"/>
      <c r="E60" s="234"/>
      <c r="F60" s="242"/>
      <c r="G60" s="245" t="str">
        <f>IF(COUNTIF(H60:AU60,"&lt;&gt;")=0,"",SUMPRODUCT(((Recommendations[ImplStatus]="Implemented")+(Recommendations[ImplStatus]="Compensated"))*ISNUMBER(MATCH(Recommendations[Id],H60:AU60,0)))/COUNTIF(H60:AU60,"&lt;&gt;"))</f>
        <v/>
      </c>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60"/>
    </row>
    <row r="61" spans="1:47" ht="60" customHeight="1" x14ac:dyDescent="0.35">
      <c r="A61" s="257" t="s">
        <v>5848</v>
      </c>
      <c r="B61" s="235" t="s">
        <v>5966</v>
      </c>
      <c r="C61" s="236" t="s">
        <v>5967</v>
      </c>
      <c r="D61" s="239" t="s">
        <v>5968</v>
      </c>
      <c r="E61" s="240" t="s">
        <v>5852</v>
      </c>
      <c r="F61" s="243" t="s">
        <v>5969</v>
      </c>
      <c r="G61" s="246" t="str">
        <f>IF(COUNTIF(H61:AU61,"&lt;&gt;")=0,"",SUMPRODUCT(((Recommendations[ImplStatus]="Implemented")+(Recommendations[ImplStatus]="Compensated"))*ISNUMBER(MATCH(Recommendations[Id],H61:AU61,0)))/COUNTIF(H61:AU61,"&lt;&gt;"))</f>
        <v/>
      </c>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61"/>
    </row>
    <row r="62" spans="1:47" ht="60" customHeight="1" x14ac:dyDescent="0.35">
      <c r="A62" s="257" t="s">
        <v>5848</v>
      </c>
      <c r="B62" s="235" t="s">
        <v>5966</v>
      </c>
      <c r="C62" s="236" t="s">
        <v>5970</v>
      </c>
      <c r="D62" s="239" t="s">
        <v>5971</v>
      </c>
      <c r="E62" s="240" t="s">
        <v>5852</v>
      </c>
      <c r="F62" s="243" t="s">
        <v>5969</v>
      </c>
      <c r="G62" s="246" t="str">
        <f>IF(COUNTIF(H62:AU62,"&lt;&gt;")=0,"",SUMPRODUCT(((Recommendations[ImplStatus]="Implemented")+(Recommendations[ImplStatus]="Compensated"))*ISNUMBER(MATCH(Recommendations[Id],H62:AU62,0)))/COUNTIF(H62:AU62,"&lt;&gt;"))</f>
        <v/>
      </c>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61"/>
    </row>
    <row r="63" spans="1:47" ht="60" customHeight="1" x14ac:dyDescent="0.35">
      <c r="A63" s="257" t="s">
        <v>5848</v>
      </c>
      <c r="B63" s="235" t="s">
        <v>5966</v>
      </c>
      <c r="C63" s="236" t="s">
        <v>5972</v>
      </c>
      <c r="D63" s="239" t="s">
        <v>5973</v>
      </c>
      <c r="E63" s="240" t="s">
        <v>5852</v>
      </c>
      <c r="F63" s="243" t="s">
        <v>5969</v>
      </c>
      <c r="G63" s="246" t="str">
        <f>IF(COUNTIF(H63:AU63,"&lt;&gt;")=0,"",SUMPRODUCT(((Recommendations[ImplStatus]="Implemented")+(Recommendations[ImplStatus]="Compensated"))*ISNUMBER(MATCH(Recommendations[Id],H63:AU63,0)))/COUNTIF(H63:AU63,"&lt;&gt;"))</f>
        <v/>
      </c>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61"/>
    </row>
    <row r="64" spans="1:47" ht="60" customHeight="1" x14ac:dyDescent="0.35">
      <c r="A64" s="257" t="s">
        <v>5848</v>
      </c>
      <c r="B64" s="235" t="s">
        <v>5966</v>
      </c>
      <c r="C64" s="236" t="s">
        <v>5974</v>
      </c>
      <c r="D64" s="239" t="s">
        <v>5975</v>
      </c>
      <c r="E64" s="240" t="s">
        <v>5852</v>
      </c>
      <c r="F64" s="243" t="s">
        <v>5969</v>
      </c>
      <c r="G64" s="246" t="str">
        <f>IF(COUNTIF(H64:AU64,"&lt;&gt;")=0,"",SUMPRODUCT(((Recommendations[ImplStatus]="Implemented")+(Recommendations[ImplStatus]="Compensated"))*ISNUMBER(MATCH(Recommendations[Id],H64:AU64,0)))/COUNTIF(H64:AU64,"&lt;&gt;"))</f>
        <v/>
      </c>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61"/>
    </row>
    <row r="65" spans="1:47" ht="60" customHeight="1" x14ac:dyDescent="0.35">
      <c r="A65" s="257" t="s">
        <v>5848</v>
      </c>
      <c r="B65" s="235" t="s">
        <v>5966</v>
      </c>
      <c r="C65" s="236" t="s">
        <v>5976</v>
      </c>
      <c r="D65" s="239" t="s">
        <v>5977</v>
      </c>
      <c r="E65" s="240" t="s">
        <v>5852</v>
      </c>
      <c r="F65" s="243" t="s">
        <v>5969</v>
      </c>
      <c r="G65" s="246" t="str">
        <f>IF(COUNTIF(H65:AU65,"&lt;&gt;")=0,"",SUMPRODUCT(((Recommendations[ImplStatus]="Implemented")+(Recommendations[ImplStatus]="Compensated"))*ISNUMBER(MATCH(Recommendations[Id],H65:AU65,0)))/COUNTIF(H65:AU65,"&lt;&gt;"))</f>
        <v/>
      </c>
      <c r="H65" s="247"/>
      <c r="I65" s="247"/>
      <c r="J65" s="247"/>
      <c r="K65" s="247"/>
      <c r="L65" s="247"/>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61"/>
    </row>
    <row r="66" spans="1:47" ht="60" customHeight="1" x14ac:dyDescent="0.35">
      <c r="A66" s="257" t="s">
        <v>5848</v>
      </c>
      <c r="B66" s="235" t="s">
        <v>5966</v>
      </c>
      <c r="C66" s="236" t="s">
        <v>5978</v>
      </c>
      <c r="D66" s="239" t="s">
        <v>5979</v>
      </c>
      <c r="E66" s="240" t="s">
        <v>5852</v>
      </c>
      <c r="F66" s="243" t="s">
        <v>5969</v>
      </c>
      <c r="G66" s="246" t="str">
        <f>IF(COUNTIF(H66:AU66,"&lt;&gt;")=0,"",SUMPRODUCT(((Recommendations[ImplStatus]="Implemented")+(Recommendations[ImplStatus]="Compensated"))*ISNUMBER(MATCH(Recommendations[Id],H66:AU66,0)))/COUNTIF(H66:AU66,"&lt;&gt;"))</f>
        <v/>
      </c>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61"/>
    </row>
    <row r="67" spans="1:47" ht="60" customHeight="1" x14ac:dyDescent="0.35">
      <c r="A67" s="257" t="s">
        <v>5848</v>
      </c>
      <c r="B67" s="235" t="s">
        <v>5966</v>
      </c>
      <c r="C67" s="236" t="s">
        <v>5980</v>
      </c>
      <c r="D67" s="239" t="s">
        <v>5981</v>
      </c>
      <c r="E67" s="240" t="s">
        <v>5852</v>
      </c>
      <c r="F67" s="243" t="s">
        <v>5969</v>
      </c>
      <c r="G67" s="246" t="str">
        <f>IF(COUNTIF(H67:AU67,"&lt;&gt;")=0,"",SUMPRODUCT(((Recommendations[ImplStatus]="Implemented")+(Recommendations[ImplStatus]="Compensated"))*ISNUMBER(MATCH(Recommendations[Id],H67:AU67,0)))/COUNTIF(H67:AU67,"&lt;&gt;"))</f>
        <v/>
      </c>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61"/>
    </row>
    <row r="68" spans="1:47" ht="60" customHeight="1" x14ac:dyDescent="0.35">
      <c r="A68" s="257" t="s">
        <v>5848</v>
      </c>
      <c r="B68" s="235" t="s">
        <v>5966</v>
      </c>
      <c r="C68" s="236" t="s">
        <v>5982</v>
      </c>
      <c r="D68" s="239" t="s">
        <v>5983</v>
      </c>
      <c r="E68" s="240" t="s">
        <v>5852</v>
      </c>
      <c r="F68" s="243" t="s">
        <v>5984</v>
      </c>
      <c r="G68" s="246" t="str">
        <f>IF(COUNTIF(H68:AU68,"&lt;&gt;")=0,"",SUMPRODUCT(((Recommendations[ImplStatus]="Implemented")+(Recommendations[ImplStatus]="Compensated"))*ISNUMBER(MATCH(Recommendations[Id],H68:AU68,0)))/COUNTIF(H68:AU68,"&lt;&gt;"))</f>
        <v/>
      </c>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61"/>
    </row>
    <row r="69" spans="1:47" ht="60" customHeight="1" x14ac:dyDescent="0.35">
      <c r="A69" s="257" t="s">
        <v>5848</v>
      </c>
      <c r="B69" s="235" t="s">
        <v>5966</v>
      </c>
      <c r="C69" s="236" t="s">
        <v>5985</v>
      </c>
      <c r="D69" s="239" t="s">
        <v>5986</v>
      </c>
      <c r="E69" s="240" t="s">
        <v>5852</v>
      </c>
      <c r="F69" s="243" t="s">
        <v>5984</v>
      </c>
      <c r="G69" s="246" t="str">
        <f>IF(COUNTIF(H69:AU69,"&lt;&gt;")=0,"",SUMPRODUCT(((Recommendations[ImplStatus]="Implemented")+(Recommendations[ImplStatus]="Compensated"))*ISNUMBER(MATCH(Recommendations[Id],H69:AU69,0)))/COUNTIF(H69:AU69,"&lt;&gt;"))</f>
        <v/>
      </c>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61"/>
    </row>
    <row r="70" spans="1:47" ht="60" customHeight="1" x14ac:dyDescent="0.35">
      <c r="A70" s="257" t="s">
        <v>5848</v>
      </c>
      <c r="B70" s="235" t="s">
        <v>5966</v>
      </c>
      <c r="C70" s="236" t="s">
        <v>5987</v>
      </c>
      <c r="D70" s="239" t="s">
        <v>5988</v>
      </c>
      <c r="E70" s="240" t="s">
        <v>5852</v>
      </c>
      <c r="F70" s="243" t="s">
        <v>5984</v>
      </c>
      <c r="G70" s="246" t="str">
        <f>IF(COUNTIF(H70:AU70,"&lt;&gt;")=0,"",SUMPRODUCT(((Recommendations[ImplStatus]="Implemented")+(Recommendations[ImplStatus]="Compensated"))*ISNUMBER(MATCH(Recommendations[Id],H70:AU70,0)))/COUNTIF(H70:AU70,"&lt;&gt;"))</f>
        <v/>
      </c>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61"/>
    </row>
    <row r="71" spans="1:47" ht="60" customHeight="1" x14ac:dyDescent="0.35">
      <c r="A71" s="257" t="s">
        <v>5848</v>
      </c>
      <c r="B71" s="235" t="s">
        <v>5966</v>
      </c>
      <c r="C71" s="236" t="s">
        <v>5989</v>
      </c>
      <c r="D71" s="239" t="s">
        <v>5990</v>
      </c>
      <c r="E71" s="240" t="s">
        <v>5852</v>
      </c>
      <c r="F71" s="243" t="s">
        <v>5991</v>
      </c>
      <c r="G71" s="246" t="str">
        <f>IF(COUNTIF(H71:AU71,"&lt;&gt;")=0,"",SUMPRODUCT(((Recommendations[ImplStatus]="Implemented")+(Recommendations[ImplStatus]="Compensated"))*ISNUMBER(MATCH(Recommendations[Id],H71:AU71,0)))/COUNTIF(H71:AU71,"&lt;&gt;"))</f>
        <v/>
      </c>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61"/>
    </row>
    <row r="72" spans="1:47" ht="60" customHeight="1" x14ac:dyDescent="0.35">
      <c r="A72" s="257" t="s">
        <v>5848</v>
      </c>
      <c r="B72" s="235" t="s">
        <v>5966</v>
      </c>
      <c r="C72" s="236" t="s">
        <v>5992</v>
      </c>
      <c r="D72" s="239" t="s">
        <v>5993</v>
      </c>
      <c r="E72" s="240" t="s">
        <v>5852</v>
      </c>
      <c r="F72" s="243" t="s">
        <v>5969</v>
      </c>
      <c r="G72" s="246" t="str">
        <f>IF(COUNTIF(H72:AU72,"&lt;&gt;")=0,"",SUMPRODUCT(((Recommendations[ImplStatus]="Implemented")+(Recommendations[ImplStatus]="Compensated"))*ISNUMBER(MATCH(Recommendations[Id],H72:AU72,0)))/COUNTIF(H72:AU72,"&lt;&gt;"))</f>
        <v/>
      </c>
      <c r="H72" s="247"/>
      <c r="I72" s="247"/>
      <c r="J72" s="247"/>
      <c r="K72" s="247"/>
      <c r="L72" s="247"/>
      <c r="M72" s="247"/>
      <c r="N72" s="247"/>
      <c r="O72" s="247"/>
      <c r="P72" s="247"/>
      <c r="Q72" s="247"/>
      <c r="R72" s="247"/>
      <c r="S72" s="247"/>
      <c r="T72" s="247"/>
      <c r="U72" s="247"/>
      <c r="V72" s="247"/>
      <c r="W72" s="247"/>
      <c r="X72" s="247"/>
      <c r="Y72" s="247"/>
      <c r="Z72" s="247"/>
      <c r="AA72" s="247"/>
      <c r="AB72" s="247"/>
      <c r="AC72" s="247"/>
      <c r="AD72" s="247"/>
      <c r="AE72" s="247"/>
      <c r="AF72" s="247"/>
      <c r="AG72" s="247"/>
      <c r="AH72" s="247"/>
      <c r="AI72" s="247"/>
      <c r="AJ72" s="247"/>
      <c r="AK72" s="247"/>
      <c r="AL72" s="247"/>
      <c r="AM72" s="247"/>
      <c r="AN72" s="247"/>
      <c r="AO72" s="247"/>
      <c r="AP72" s="247"/>
      <c r="AQ72" s="247"/>
      <c r="AR72" s="247"/>
      <c r="AS72" s="247"/>
      <c r="AT72" s="247"/>
      <c r="AU72" s="261"/>
    </row>
    <row r="73" spans="1:47" ht="60" customHeight="1" x14ac:dyDescent="0.35">
      <c r="A73" s="257" t="s">
        <v>5848</v>
      </c>
      <c r="B73" s="235" t="s">
        <v>5966</v>
      </c>
      <c r="C73" s="236" t="s">
        <v>5994</v>
      </c>
      <c r="D73" s="239" t="s">
        <v>5995</v>
      </c>
      <c r="E73" s="240" t="s">
        <v>5996</v>
      </c>
      <c r="F73" s="243" t="s">
        <v>5969</v>
      </c>
      <c r="G73" s="246" t="str">
        <f>IF(COUNTIF(H73:AU73,"&lt;&gt;")=0,"",SUMPRODUCT(((Recommendations[ImplStatus]="Implemented")+(Recommendations[ImplStatus]="Compensated"))*ISNUMBER(MATCH(Recommendations[Id],H73:AU73,0)))/COUNTIF(H73:AU73,"&lt;&gt;"))</f>
        <v/>
      </c>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7"/>
      <c r="AR73" s="247"/>
      <c r="AS73" s="247"/>
      <c r="AT73" s="247"/>
      <c r="AU73" s="261"/>
    </row>
    <row r="74" spans="1:47" ht="60" customHeight="1" outlineLevel="2" x14ac:dyDescent="0.35">
      <c r="A74" s="256" t="s">
        <v>5848</v>
      </c>
      <c r="B74" s="234" t="s">
        <v>5997</v>
      </c>
      <c r="C74" s="234"/>
      <c r="D74" s="238"/>
      <c r="E74" s="234"/>
      <c r="F74" s="242"/>
      <c r="G74" s="245" t="str">
        <f>IF(COUNTIF(H74:AU74,"&lt;&gt;")=0,"",SUMPRODUCT(((Recommendations[ImplStatus]="Implemented")+(Recommendations[ImplStatus]="Compensated"))*ISNUMBER(MATCH(Recommendations[Id],H74:AU74,0)))/COUNTIF(H74:AU74,"&lt;&gt;"))</f>
        <v/>
      </c>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60"/>
    </row>
    <row r="75" spans="1:47" ht="60" customHeight="1" x14ac:dyDescent="0.35">
      <c r="A75" s="257" t="s">
        <v>5848</v>
      </c>
      <c r="B75" s="235" t="s">
        <v>5997</v>
      </c>
      <c r="C75" s="236" t="s">
        <v>5998</v>
      </c>
      <c r="D75" s="239" t="s">
        <v>5999</v>
      </c>
      <c r="E75" s="240" t="s">
        <v>5996</v>
      </c>
      <c r="F75" s="243" t="s">
        <v>6000</v>
      </c>
      <c r="G75" s="246" t="str">
        <f>IF(COUNTIF(H75:AU75,"&lt;&gt;")=0,"",SUMPRODUCT(((Recommendations[ImplStatus]="Implemented")+(Recommendations[ImplStatus]="Compensated"))*ISNUMBER(MATCH(Recommendations[Id],H75:AU75,0)))/COUNTIF(H75:AU75,"&lt;&gt;"))</f>
        <v/>
      </c>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7"/>
      <c r="AS75" s="247"/>
      <c r="AT75" s="247"/>
      <c r="AU75" s="261"/>
    </row>
    <row r="76" spans="1:47" ht="60" customHeight="1" x14ac:dyDescent="0.35">
      <c r="A76" s="257" t="s">
        <v>5848</v>
      </c>
      <c r="B76" s="235" t="s">
        <v>5997</v>
      </c>
      <c r="C76" s="236" t="s">
        <v>6001</v>
      </c>
      <c r="D76" s="239" t="s">
        <v>6002</v>
      </c>
      <c r="E76" s="240" t="s">
        <v>5996</v>
      </c>
      <c r="F76" s="243" t="s">
        <v>6000</v>
      </c>
      <c r="G76" s="246" t="str">
        <f>IF(COUNTIF(H76:AU76,"&lt;&gt;")=0,"",SUMPRODUCT(((Recommendations[ImplStatus]="Implemented")+(Recommendations[ImplStatus]="Compensated"))*ISNUMBER(MATCH(Recommendations[Id],H76:AU76,0)))/COUNTIF(H76:AU76,"&lt;&gt;"))</f>
        <v/>
      </c>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7"/>
      <c r="AR76" s="247"/>
      <c r="AS76" s="247"/>
      <c r="AT76" s="247"/>
      <c r="AU76" s="261"/>
    </row>
    <row r="77" spans="1:47" ht="60" customHeight="1" x14ac:dyDescent="0.35">
      <c r="A77" s="257" t="s">
        <v>5848</v>
      </c>
      <c r="B77" s="235" t="s">
        <v>5997</v>
      </c>
      <c r="C77" s="236" t="s">
        <v>6003</v>
      </c>
      <c r="D77" s="239" t="s">
        <v>6004</v>
      </c>
      <c r="E77" s="240" t="s">
        <v>5996</v>
      </c>
      <c r="F77" s="243" t="s">
        <v>6000</v>
      </c>
      <c r="G77" s="246" t="str">
        <f>IF(COUNTIF(H77:AU77,"&lt;&gt;")=0,"",SUMPRODUCT(((Recommendations[ImplStatus]="Implemented")+(Recommendations[ImplStatus]="Compensated"))*ISNUMBER(MATCH(Recommendations[Id],H77:AU77,0)))/COUNTIF(H77:AU77,"&lt;&gt;"))</f>
        <v/>
      </c>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7"/>
      <c r="AS77" s="247"/>
      <c r="AT77" s="247"/>
      <c r="AU77" s="261"/>
    </row>
    <row r="78" spans="1:47" ht="60" customHeight="1" x14ac:dyDescent="0.35">
      <c r="A78" s="257" t="s">
        <v>5848</v>
      </c>
      <c r="B78" s="235" t="s">
        <v>5997</v>
      </c>
      <c r="C78" s="236" t="s">
        <v>6005</v>
      </c>
      <c r="D78" s="239" t="s">
        <v>6006</v>
      </c>
      <c r="E78" s="240" t="s">
        <v>5996</v>
      </c>
      <c r="F78" s="243" t="s">
        <v>6000</v>
      </c>
      <c r="G78" s="246" t="str">
        <f>IF(COUNTIF(H78:AU78,"&lt;&gt;")=0,"",SUMPRODUCT(((Recommendations[ImplStatus]="Implemented")+(Recommendations[ImplStatus]="Compensated"))*ISNUMBER(MATCH(Recommendations[Id],H78:AU78,0)))/COUNTIF(H78:AU78,"&lt;&gt;"))</f>
        <v/>
      </c>
      <c r="H78" s="247"/>
      <c r="I78" s="247"/>
      <c r="J78" s="247"/>
      <c r="K78" s="247"/>
      <c r="L78" s="247"/>
      <c r="M78" s="247"/>
      <c r="N78" s="247"/>
      <c r="O78" s="247"/>
      <c r="P78" s="247"/>
      <c r="Q78" s="247"/>
      <c r="R78" s="247"/>
      <c r="S78" s="247"/>
      <c r="T78" s="247"/>
      <c r="U78" s="247"/>
      <c r="V78" s="247"/>
      <c r="W78" s="247"/>
      <c r="X78" s="247"/>
      <c r="Y78" s="247"/>
      <c r="Z78" s="247"/>
      <c r="AA78" s="247"/>
      <c r="AB78" s="247"/>
      <c r="AC78" s="247"/>
      <c r="AD78" s="247"/>
      <c r="AE78" s="247"/>
      <c r="AF78" s="247"/>
      <c r="AG78" s="247"/>
      <c r="AH78" s="247"/>
      <c r="AI78" s="247"/>
      <c r="AJ78" s="247"/>
      <c r="AK78" s="247"/>
      <c r="AL78" s="247"/>
      <c r="AM78" s="247"/>
      <c r="AN78" s="247"/>
      <c r="AO78" s="247"/>
      <c r="AP78" s="247"/>
      <c r="AQ78" s="247"/>
      <c r="AR78" s="247"/>
      <c r="AS78" s="247"/>
      <c r="AT78" s="247"/>
      <c r="AU78" s="261"/>
    </row>
    <row r="79" spans="1:47" ht="60" customHeight="1" x14ac:dyDescent="0.35">
      <c r="A79" s="257" t="s">
        <v>5848</v>
      </c>
      <c r="B79" s="235" t="s">
        <v>5997</v>
      </c>
      <c r="C79" s="236" t="s">
        <v>6007</v>
      </c>
      <c r="D79" s="239" t="s">
        <v>6008</v>
      </c>
      <c r="E79" s="240" t="s">
        <v>5996</v>
      </c>
      <c r="F79" s="243" t="s">
        <v>6000</v>
      </c>
      <c r="G79" s="246" t="str">
        <f>IF(COUNTIF(H79:AU79,"&lt;&gt;")=0,"",SUMPRODUCT(((Recommendations[ImplStatus]="Implemented")+(Recommendations[ImplStatus]="Compensated"))*ISNUMBER(MATCH(Recommendations[Id],H79:AU79,0)))/COUNTIF(H79:AU79,"&lt;&gt;"))</f>
        <v/>
      </c>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61"/>
    </row>
    <row r="80" spans="1:47" ht="60" customHeight="1" x14ac:dyDescent="0.35">
      <c r="A80" s="257" t="s">
        <v>5848</v>
      </c>
      <c r="B80" s="235" t="s">
        <v>5997</v>
      </c>
      <c r="C80" s="236" t="s">
        <v>6009</v>
      </c>
      <c r="D80" s="239" t="s">
        <v>6010</v>
      </c>
      <c r="E80" s="240" t="s">
        <v>5996</v>
      </c>
      <c r="F80" s="243" t="s">
        <v>6000</v>
      </c>
      <c r="G80" s="246" t="str">
        <f>IF(COUNTIF(H80:AU80,"&lt;&gt;")=0,"",SUMPRODUCT(((Recommendations[ImplStatus]="Implemented")+(Recommendations[ImplStatus]="Compensated"))*ISNUMBER(MATCH(Recommendations[Id],H80:AU80,0)))/COUNTIF(H80:AU80,"&lt;&gt;"))</f>
        <v/>
      </c>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61"/>
    </row>
    <row r="81" spans="1:47" ht="60" customHeight="1" x14ac:dyDescent="0.35">
      <c r="A81" s="257" t="s">
        <v>5848</v>
      </c>
      <c r="B81" s="235" t="s">
        <v>5997</v>
      </c>
      <c r="C81" s="236" t="s">
        <v>6011</v>
      </c>
      <c r="D81" s="239" t="s">
        <v>6012</v>
      </c>
      <c r="E81" s="240" t="s">
        <v>5996</v>
      </c>
      <c r="F81" s="243" t="s">
        <v>6000</v>
      </c>
      <c r="G81" s="246" t="str">
        <f>IF(COUNTIF(H81:AU81,"&lt;&gt;")=0,"",SUMPRODUCT(((Recommendations[ImplStatus]="Implemented")+(Recommendations[ImplStatus]="Compensated"))*ISNUMBER(MATCH(Recommendations[Id],H81:AU81,0)))/COUNTIF(H81:AU81,"&lt;&gt;"))</f>
        <v/>
      </c>
      <c r="H81" s="247"/>
      <c r="I81" s="247"/>
      <c r="J81" s="247"/>
      <c r="K81" s="247"/>
      <c r="L81" s="247"/>
      <c r="M81" s="247"/>
      <c r="N81" s="247"/>
      <c r="O81" s="247"/>
      <c r="P81" s="247"/>
      <c r="Q81" s="24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61"/>
    </row>
    <row r="82" spans="1:47" ht="60" customHeight="1" x14ac:dyDescent="0.35">
      <c r="A82" s="257" t="s">
        <v>5848</v>
      </c>
      <c r="B82" s="235" t="s">
        <v>5997</v>
      </c>
      <c r="C82" s="236" t="s">
        <v>6013</v>
      </c>
      <c r="D82" s="239" t="s">
        <v>6014</v>
      </c>
      <c r="E82" s="240" t="s">
        <v>5996</v>
      </c>
      <c r="F82" s="243" t="s">
        <v>6000</v>
      </c>
      <c r="G82" s="246" t="str">
        <f>IF(COUNTIF(H82:AU82,"&lt;&gt;")=0,"",SUMPRODUCT(((Recommendations[ImplStatus]="Implemented")+(Recommendations[ImplStatus]="Compensated"))*ISNUMBER(MATCH(Recommendations[Id],H82:AU82,0)))/COUNTIF(H82:AU82,"&lt;&gt;"))</f>
        <v/>
      </c>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c r="AH82" s="247"/>
      <c r="AI82" s="247"/>
      <c r="AJ82" s="247"/>
      <c r="AK82" s="247"/>
      <c r="AL82" s="247"/>
      <c r="AM82" s="247"/>
      <c r="AN82" s="247"/>
      <c r="AO82" s="247"/>
      <c r="AP82" s="247"/>
      <c r="AQ82" s="247"/>
      <c r="AR82" s="247"/>
      <c r="AS82" s="247"/>
      <c r="AT82" s="247"/>
      <c r="AU82" s="261"/>
    </row>
    <row r="83" spans="1:47" ht="60" customHeight="1" x14ac:dyDescent="0.35">
      <c r="A83" s="257" t="s">
        <v>5848</v>
      </c>
      <c r="B83" s="235" t="s">
        <v>5997</v>
      </c>
      <c r="C83" s="236" t="s">
        <v>6015</v>
      </c>
      <c r="D83" s="239" t="s">
        <v>6016</v>
      </c>
      <c r="E83" s="240" t="s">
        <v>5996</v>
      </c>
      <c r="F83" s="243" t="s">
        <v>6000</v>
      </c>
      <c r="G83" s="246" t="str">
        <f>IF(COUNTIF(H83:AU83,"&lt;&gt;")=0,"",SUMPRODUCT(((Recommendations[ImplStatus]="Implemented")+(Recommendations[ImplStatus]="Compensated"))*ISNUMBER(MATCH(Recommendations[Id],H83:AU83,0)))/COUNTIF(H83:AU83,"&lt;&gt;"))</f>
        <v/>
      </c>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7"/>
      <c r="AR83" s="247"/>
      <c r="AS83" s="247"/>
      <c r="AT83" s="247"/>
      <c r="AU83" s="261"/>
    </row>
    <row r="84" spans="1:47" ht="60" customHeight="1" x14ac:dyDescent="0.35">
      <c r="A84" s="257" t="s">
        <v>5848</v>
      </c>
      <c r="B84" s="235" t="s">
        <v>5997</v>
      </c>
      <c r="C84" s="236" t="s">
        <v>6017</v>
      </c>
      <c r="D84" s="239" t="s">
        <v>6018</v>
      </c>
      <c r="E84" s="240" t="s">
        <v>5996</v>
      </c>
      <c r="F84" s="243" t="s">
        <v>6000</v>
      </c>
      <c r="G84" s="246" t="str">
        <f>IF(COUNTIF(H84:AU84,"&lt;&gt;")=0,"",SUMPRODUCT(((Recommendations[ImplStatus]="Implemented")+(Recommendations[ImplStatus]="Compensated"))*ISNUMBER(MATCH(Recommendations[Id],H84:AU84,0)))/COUNTIF(H84:AU84,"&lt;&gt;"))</f>
        <v/>
      </c>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247"/>
      <c r="AQ84" s="247"/>
      <c r="AR84" s="247"/>
      <c r="AS84" s="247"/>
      <c r="AT84" s="247"/>
      <c r="AU84" s="261"/>
    </row>
    <row r="85" spans="1:47" ht="60" customHeight="1" x14ac:dyDescent="0.35">
      <c r="A85" s="257" t="s">
        <v>5848</v>
      </c>
      <c r="B85" s="235" t="s">
        <v>5997</v>
      </c>
      <c r="C85" s="236" t="s">
        <v>6019</v>
      </c>
      <c r="D85" s="239" t="s">
        <v>6020</v>
      </c>
      <c r="E85" s="240" t="s">
        <v>5996</v>
      </c>
      <c r="F85" s="243" t="s">
        <v>6000</v>
      </c>
      <c r="G85" s="246" t="str">
        <f>IF(COUNTIF(H85:AU85,"&lt;&gt;")=0,"",SUMPRODUCT(((Recommendations[ImplStatus]="Implemented")+(Recommendations[ImplStatus]="Compensated"))*ISNUMBER(MATCH(Recommendations[Id],H85:AU85,0)))/COUNTIF(H85:AU85,"&lt;&gt;"))</f>
        <v/>
      </c>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61"/>
    </row>
    <row r="86" spans="1:47" ht="60" customHeight="1" x14ac:dyDescent="0.35">
      <c r="A86" s="257" t="s">
        <v>5848</v>
      </c>
      <c r="B86" s="235" t="s">
        <v>5997</v>
      </c>
      <c r="C86" s="236" t="s">
        <v>6021</v>
      </c>
      <c r="D86" s="239" t="s">
        <v>6022</v>
      </c>
      <c r="E86" s="240" t="s">
        <v>5996</v>
      </c>
      <c r="F86" s="243" t="s">
        <v>6000</v>
      </c>
      <c r="G86" s="246" t="str">
        <f>IF(COUNTIF(H86:AU86,"&lt;&gt;")=0,"",SUMPRODUCT(((Recommendations[ImplStatus]="Implemented")+(Recommendations[ImplStatus]="Compensated"))*ISNUMBER(MATCH(Recommendations[Id],H86:AU86,0)))/COUNTIF(H86:AU86,"&lt;&gt;"))</f>
        <v/>
      </c>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61"/>
    </row>
    <row r="87" spans="1:47" ht="60" customHeight="1" x14ac:dyDescent="0.35">
      <c r="A87" s="257" t="s">
        <v>5848</v>
      </c>
      <c r="B87" s="235" t="s">
        <v>5997</v>
      </c>
      <c r="C87" s="236" t="s">
        <v>6023</v>
      </c>
      <c r="D87" s="239" t="s">
        <v>6024</v>
      </c>
      <c r="E87" s="240" t="s">
        <v>5996</v>
      </c>
      <c r="F87" s="243" t="s">
        <v>6000</v>
      </c>
      <c r="G87" s="246" t="str">
        <f>IF(COUNTIF(H87:AU87,"&lt;&gt;")=0,"",SUMPRODUCT(((Recommendations[ImplStatus]="Implemented")+(Recommendations[ImplStatus]="Compensated"))*ISNUMBER(MATCH(Recommendations[Id],H87:AU87,0)))/COUNTIF(H87:AU87,"&lt;&gt;"))</f>
        <v/>
      </c>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61"/>
    </row>
    <row r="88" spans="1:47" ht="60" customHeight="1" x14ac:dyDescent="0.35">
      <c r="A88" s="257" t="s">
        <v>5848</v>
      </c>
      <c r="B88" s="235" t="s">
        <v>5997</v>
      </c>
      <c r="C88" s="236" t="s">
        <v>6025</v>
      </c>
      <c r="D88" s="239" t="s">
        <v>6026</v>
      </c>
      <c r="E88" s="240" t="s">
        <v>5996</v>
      </c>
      <c r="F88" s="243" t="s">
        <v>5984</v>
      </c>
      <c r="G88" s="246" t="str">
        <f>IF(COUNTIF(H88:AU88,"&lt;&gt;")=0,"",SUMPRODUCT(((Recommendations[ImplStatus]="Implemented")+(Recommendations[ImplStatus]="Compensated"))*ISNUMBER(MATCH(Recommendations[Id],H88:AU88,0)))/COUNTIF(H88:AU88,"&lt;&gt;"))</f>
        <v/>
      </c>
      <c r="H88" s="247"/>
      <c r="I88" s="247"/>
      <c r="J88" s="247"/>
      <c r="K88" s="247"/>
      <c r="L88" s="247"/>
      <c r="M88" s="247"/>
      <c r="N88" s="247"/>
      <c r="O88" s="247"/>
      <c r="P88" s="247"/>
      <c r="Q88" s="24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61"/>
    </row>
    <row r="89" spans="1:47" ht="60" customHeight="1" x14ac:dyDescent="0.35">
      <c r="A89" s="257" t="s">
        <v>5848</v>
      </c>
      <c r="B89" s="235" t="s">
        <v>5997</v>
      </c>
      <c r="C89" s="236" t="s">
        <v>6027</v>
      </c>
      <c r="D89" s="239" t="s">
        <v>6028</v>
      </c>
      <c r="E89" s="240" t="s">
        <v>5996</v>
      </c>
      <c r="F89" s="243" t="s">
        <v>5984</v>
      </c>
      <c r="G89" s="246" t="str">
        <f>IF(COUNTIF(H89:AU89,"&lt;&gt;")=0,"",SUMPRODUCT(((Recommendations[ImplStatus]="Implemented")+(Recommendations[ImplStatus]="Compensated"))*ISNUMBER(MATCH(Recommendations[Id],H89:AU89,0)))/COUNTIF(H89:AU89,"&lt;&gt;"))</f>
        <v/>
      </c>
      <c r="H89" s="247"/>
      <c r="I89" s="247"/>
      <c r="J89" s="247"/>
      <c r="K89" s="247"/>
      <c r="L89" s="247"/>
      <c r="M89" s="247"/>
      <c r="N89" s="247"/>
      <c r="O89" s="247"/>
      <c r="P89" s="247"/>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61"/>
    </row>
    <row r="90" spans="1:47" ht="60" customHeight="1" x14ac:dyDescent="0.35">
      <c r="A90" s="257" t="s">
        <v>5848</v>
      </c>
      <c r="B90" s="235" t="s">
        <v>5997</v>
      </c>
      <c r="C90" s="236" t="s">
        <v>6029</v>
      </c>
      <c r="D90" s="239" t="s">
        <v>6030</v>
      </c>
      <c r="E90" s="240" t="s">
        <v>5996</v>
      </c>
      <c r="F90" s="243" t="s">
        <v>5984</v>
      </c>
      <c r="G90" s="246" t="str">
        <f>IF(COUNTIF(H90:AU90,"&lt;&gt;")=0,"",SUMPRODUCT(((Recommendations[ImplStatus]="Implemented")+(Recommendations[ImplStatus]="Compensated"))*ISNUMBER(MATCH(Recommendations[Id],H90:AU90,0)))/COUNTIF(H90:AU90,"&lt;&gt;"))</f>
        <v/>
      </c>
      <c r="H90" s="247"/>
      <c r="I90" s="247"/>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61"/>
    </row>
    <row r="91" spans="1:47" ht="60" customHeight="1" outlineLevel="2" x14ac:dyDescent="0.35">
      <c r="A91" s="256" t="s">
        <v>5848</v>
      </c>
      <c r="B91" s="234" t="s">
        <v>6031</v>
      </c>
      <c r="C91" s="234"/>
      <c r="D91" s="238"/>
      <c r="E91" s="234"/>
      <c r="F91" s="242"/>
      <c r="G91" s="245" t="str">
        <f>IF(COUNTIF(H91:AU91,"&lt;&gt;")=0,"",SUMPRODUCT(((Recommendations[ImplStatus]="Implemented")+(Recommendations[ImplStatus]="Compensated"))*ISNUMBER(MATCH(Recommendations[Id],H91:AU91,0)))/COUNTIF(H91:AU91,"&lt;&gt;"))</f>
        <v/>
      </c>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60"/>
    </row>
    <row r="92" spans="1:47" ht="60" customHeight="1" x14ac:dyDescent="0.35">
      <c r="A92" s="257" t="s">
        <v>5848</v>
      </c>
      <c r="B92" s="235" t="s">
        <v>6031</v>
      </c>
      <c r="C92" s="236" t="s">
        <v>6032</v>
      </c>
      <c r="D92" s="239" t="s">
        <v>6033</v>
      </c>
      <c r="E92" s="240" t="s">
        <v>5852</v>
      </c>
      <c r="F92" s="243" t="s">
        <v>5984</v>
      </c>
      <c r="G92" s="246" t="str">
        <f>IF(COUNTIF(H92:AU92,"&lt;&gt;")=0,"",SUMPRODUCT(((Recommendations[ImplStatus]="Implemented")+(Recommendations[ImplStatus]="Compensated"))*ISNUMBER(MATCH(Recommendations[Id],H92:AU92,0)))/COUNTIF(H92:AU92,"&lt;&gt;"))</f>
        <v/>
      </c>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61"/>
    </row>
    <row r="93" spans="1:47" ht="60" customHeight="1" x14ac:dyDescent="0.35">
      <c r="A93" s="257" t="s">
        <v>5848</v>
      </c>
      <c r="B93" s="235" t="s">
        <v>6031</v>
      </c>
      <c r="C93" s="236" t="s">
        <v>6034</v>
      </c>
      <c r="D93" s="239" t="s">
        <v>6035</v>
      </c>
      <c r="E93" s="240" t="s">
        <v>5852</v>
      </c>
      <c r="F93" s="243" t="s">
        <v>5984</v>
      </c>
      <c r="G93" s="246" t="str">
        <f>IF(COUNTIF(H93:AU93,"&lt;&gt;")=0,"",SUMPRODUCT(((Recommendations[ImplStatus]="Implemented")+(Recommendations[ImplStatus]="Compensated"))*ISNUMBER(MATCH(Recommendations[Id],H93:AU93,0)))/COUNTIF(H93:AU93,"&lt;&gt;"))</f>
        <v/>
      </c>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61"/>
    </row>
    <row r="94" spans="1:47" ht="60" customHeight="1" x14ac:dyDescent="0.35">
      <c r="A94" s="257" t="s">
        <v>5848</v>
      </c>
      <c r="B94" s="235" t="s">
        <v>6031</v>
      </c>
      <c r="C94" s="236" t="s">
        <v>6036</v>
      </c>
      <c r="D94" s="239" t="s">
        <v>6037</v>
      </c>
      <c r="E94" s="240" t="s">
        <v>5852</v>
      </c>
      <c r="F94" s="243" t="s">
        <v>5984</v>
      </c>
      <c r="G94" s="246" t="str">
        <f>IF(COUNTIF(H94:AU94,"&lt;&gt;")=0,"",SUMPRODUCT(((Recommendations[ImplStatus]="Implemented")+(Recommendations[ImplStatus]="Compensated"))*ISNUMBER(MATCH(Recommendations[Id],H94:AU94,0)))/COUNTIF(H94:AU94,"&lt;&gt;"))</f>
        <v/>
      </c>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61"/>
    </row>
    <row r="95" spans="1:47" ht="60" customHeight="1" x14ac:dyDescent="0.35">
      <c r="A95" s="257" t="s">
        <v>5848</v>
      </c>
      <c r="B95" s="235" t="s">
        <v>6031</v>
      </c>
      <c r="C95" s="236" t="s">
        <v>6038</v>
      </c>
      <c r="D95" s="239" t="s">
        <v>6039</v>
      </c>
      <c r="E95" s="240" t="s">
        <v>5852</v>
      </c>
      <c r="F95" s="243" t="s">
        <v>5984</v>
      </c>
      <c r="G95" s="246" t="str">
        <f>IF(COUNTIF(H95:AU95,"&lt;&gt;")=0,"",SUMPRODUCT(((Recommendations[ImplStatus]="Implemented")+(Recommendations[ImplStatus]="Compensated"))*ISNUMBER(MATCH(Recommendations[Id],H95:AU95,0)))/COUNTIF(H95:AU95,"&lt;&gt;"))</f>
        <v/>
      </c>
      <c r="H95" s="247"/>
      <c r="I95" s="247"/>
      <c r="J95" s="247"/>
      <c r="K95" s="247"/>
      <c r="L95" s="247"/>
      <c r="M95" s="247"/>
      <c r="N95" s="247"/>
      <c r="O95" s="247"/>
      <c r="P95" s="247"/>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61"/>
    </row>
    <row r="96" spans="1:47" ht="60" customHeight="1" x14ac:dyDescent="0.35">
      <c r="A96" s="257" t="s">
        <v>5848</v>
      </c>
      <c r="B96" s="235" t="s">
        <v>6031</v>
      </c>
      <c r="C96" s="236" t="s">
        <v>6040</v>
      </c>
      <c r="D96" s="239" t="s">
        <v>6041</v>
      </c>
      <c r="E96" s="240" t="s">
        <v>5852</v>
      </c>
      <c r="F96" s="243" t="s">
        <v>5984</v>
      </c>
      <c r="G96" s="246" t="str">
        <f>IF(COUNTIF(H96:AU96,"&lt;&gt;")=0,"",SUMPRODUCT(((Recommendations[ImplStatus]="Implemented")+(Recommendations[ImplStatus]="Compensated"))*ISNUMBER(MATCH(Recommendations[Id],H96:AU96,0)))/COUNTIF(H96:AU96,"&lt;&gt;"))</f>
        <v/>
      </c>
      <c r="H96" s="247"/>
      <c r="I96" s="247"/>
      <c r="J96" s="247"/>
      <c r="K96" s="247"/>
      <c r="L96" s="247"/>
      <c r="M96" s="247"/>
      <c r="N96" s="247"/>
      <c r="O96" s="247"/>
      <c r="P96" s="247"/>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61"/>
    </row>
    <row r="97" spans="1:47" ht="60" customHeight="1" x14ac:dyDescent="0.35">
      <c r="A97" s="257" t="s">
        <v>5848</v>
      </c>
      <c r="B97" s="235" t="s">
        <v>6031</v>
      </c>
      <c r="C97" s="236" t="s">
        <v>6042</v>
      </c>
      <c r="D97" s="239" t="s">
        <v>6043</v>
      </c>
      <c r="E97" s="240" t="s">
        <v>5852</v>
      </c>
      <c r="F97" s="243" t="s">
        <v>6044</v>
      </c>
      <c r="G97" s="246" t="str">
        <f>IF(COUNTIF(H97:AU97,"&lt;&gt;")=0,"",SUMPRODUCT(((Recommendations[ImplStatus]="Implemented")+(Recommendations[ImplStatus]="Compensated"))*ISNUMBER(MATCH(Recommendations[Id],H97:AU97,0)))/COUNTIF(H97:AU97,"&lt;&gt;"))</f>
        <v/>
      </c>
      <c r="H97" s="247"/>
      <c r="I97" s="247"/>
      <c r="J97" s="247"/>
      <c r="K97" s="247"/>
      <c r="L97" s="247"/>
      <c r="M97" s="247"/>
      <c r="N97" s="247"/>
      <c r="O97" s="247"/>
      <c r="P97" s="247"/>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61"/>
    </row>
    <row r="98" spans="1:47" ht="60" customHeight="1" x14ac:dyDescent="0.35">
      <c r="A98" s="257" t="s">
        <v>5848</v>
      </c>
      <c r="B98" s="235" t="s">
        <v>6031</v>
      </c>
      <c r="C98" s="236" t="s">
        <v>6045</v>
      </c>
      <c r="D98" s="239" t="s">
        <v>6046</v>
      </c>
      <c r="E98" s="240" t="s">
        <v>5852</v>
      </c>
      <c r="F98" s="243" t="s">
        <v>6044</v>
      </c>
      <c r="G98" s="246" t="str">
        <f>IF(COUNTIF(H98:AU98,"&lt;&gt;")=0,"",SUMPRODUCT(((Recommendations[ImplStatus]="Implemented")+(Recommendations[ImplStatus]="Compensated"))*ISNUMBER(MATCH(Recommendations[Id],H98:AU98,0)))/COUNTIF(H98:AU98,"&lt;&gt;"))</f>
        <v/>
      </c>
      <c r="H98" s="247"/>
      <c r="I98" s="247"/>
      <c r="J98" s="247"/>
      <c r="K98" s="247"/>
      <c r="L98" s="247"/>
      <c r="M98" s="247"/>
      <c r="N98" s="247"/>
      <c r="O98" s="247"/>
      <c r="P98" s="247"/>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61"/>
    </row>
    <row r="99" spans="1:47" ht="60" customHeight="1" x14ac:dyDescent="0.35">
      <c r="A99" s="257" t="s">
        <v>5848</v>
      </c>
      <c r="B99" s="235" t="s">
        <v>6031</v>
      </c>
      <c r="C99" s="236" t="s">
        <v>6047</v>
      </c>
      <c r="D99" s="239" t="s">
        <v>6048</v>
      </c>
      <c r="E99" s="240" t="s">
        <v>5852</v>
      </c>
      <c r="F99" s="243" t="s">
        <v>6044</v>
      </c>
      <c r="G99" s="246" t="str">
        <f>IF(COUNTIF(H99:AU99,"&lt;&gt;")=0,"",SUMPRODUCT(((Recommendations[ImplStatus]="Implemented")+(Recommendations[ImplStatus]="Compensated"))*ISNUMBER(MATCH(Recommendations[Id],H99:AU99,0)))/COUNTIF(H99:AU99,"&lt;&gt;"))</f>
        <v/>
      </c>
      <c r="H99" s="247"/>
      <c r="I99" s="247"/>
      <c r="J99" s="247"/>
      <c r="K99" s="247"/>
      <c r="L99" s="247"/>
      <c r="M99" s="247"/>
      <c r="N99" s="247"/>
      <c r="O99" s="247"/>
      <c r="P99" s="247"/>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61"/>
    </row>
    <row r="100" spans="1:47" ht="60" customHeight="1" x14ac:dyDescent="0.35">
      <c r="A100" s="257" t="s">
        <v>5848</v>
      </c>
      <c r="B100" s="235" t="s">
        <v>6031</v>
      </c>
      <c r="C100" s="236" t="s">
        <v>6049</v>
      </c>
      <c r="D100" s="239" t="s">
        <v>6050</v>
      </c>
      <c r="E100" s="240" t="s">
        <v>5852</v>
      </c>
      <c r="F100" s="243" t="s">
        <v>6044</v>
      </c>
      <c r="G100" s="246" t="str">
        <f>IF(COUNTIF(H100:AU100,"&lt;&gt;")=0,"",SUMPRODUCT(((Recommendations[ImplStatus]="Implemented")+(Recommendations[ImplStatus]="Compensated"))*ISNUMBER(MATCH(Recommendations[Id],H100:AU100,0)))/COUNTIF(H100:AU100,"&lt;&gt;"))</f>
        <v/>
      </c>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61"/>
    </row>
    <row r="101" spans="1:47" ht="60" customHeight="1" x14ac:dyDescent="0.35">
      <c r="A101" s="257" t="s">
        <v>5848</v>
      </c>
      <c r="B101" s="235" t="s">
        <v>6031</v>
      </c>
      <c r="C101" s="236" t="s">
        <v>6051</v>
      </c>
      <c r="D101" s="239" t="s">
        <v>6052</v>
      </c>
      <c r="E101" s="240" t="s">
        <v>5852</v>
      </c>
      <c r="F101" s="243" t="s">
        <v>5984</v>
      </c>
      <c r="G101" s="246" t="str">
        <f>IF(COUNTIF(H101:AU101,"&lt;&gt;")=0,"",SUMPRODUCT(((Recommendations[ImplStatus]="Implemented")+(Recommendations[ImplStatus]="Compensated"))*ISNUMBER(MATCH(Recommendations[Id],H101:AU101,0)))/COUNTIF(H101:AU101,"&lt;&gt;"))</f>
        <v/>
      </c>
      <c r="H101" s="247"/>
      <c r="I101" s="247"/>
      <c r="J101" s="247"/>
      <c r="K101" s="247"/>
      <c r="L101" s="247"/>
      <c r="M101" s="247"/>
      <c r="N101" s="247"/>
      <c r="O101" s="247"/>
      <c r="P101" s="247"/>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61"/>
    </row>
    <row r="102" spans="1:47" ht="60" customHeight="1" x14ac:dyDescent="0.35">
      <c r="A102" s="257" t="s">
        <v>5848</v>
      </c>
      <c r="B102" s="235" t="s">
        <v>6031</v>
      </c>
      <c r="C102" s="236" t="s">
        <v>6053</v>
      </c>
      <c r="D102" s="239" t="s">
        <v>6054</v>
      </c>
      <c r="E102" s="240" t="s">
        <v>5996</v>
      </c>
      <c r="F102" s="243" t="s">
        <v>5984</v>
      </c>
      <c r="G102" s="246" t="str">
        <f>IF(COUNTIF(H102:AU102,"&lt;&gt;")=0,"",SUMPRODUCT(((Recommendations[ImplStatus]="Implemented")+(Recommendations[ImplStatus]="Compensated"))*ISNUMBER(MATCH(Recommendations[Id],H102:AU102,0)))/COUNTIF(H102:AU102,"&lt;&gt;"))</f>
        <v/>
      </c>
      <c r="H102" s="247"/>
      <c r="I102" s="247"/>
      <c r="J102" s="247"/>
      <c r="K102" s="247"/>
      <c r="L102" s="247"/>
      <c r="M102" s="247"/>
      <c r="N102" s="247"/>
      <c r="O102" s="247"/>
      <c r="P102" s="247"/>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61"/>
    </row>
    <row r="103" spans="1:47" ht="60" customHeight="1" x14ac:dyDescent="0.35">
      <c r="A103" s="257" t="s">
        <v>5848</v>
      </c>
      <c r="B103" s="235" t="s">
        <v>6031</v>
      </c>
      <c r="C103" s="236" t="s">
        <v>6055</v>
      </c>
      <c r="D103" s="239" t="s">
        <v>6056</v>
      </c>
      <c r="E103" s="240" t="s">
        <v>5996</v>
      </c>
      <c r="F103" s="243" t="s">
        <v>5984</v>
      </c>
      <c r="G103" s="246" t="str">
        <f>IF(COUNTIF(H103:AU103,"&lt;&gt;")=0,"",SUMPRODUCT(((Recommendations[ImplStatus]="Implemented")+(Recommendations[ImplStatus]="Compensated"))*ISNUMBER(MATCH(Recommendations[Id],H103:AU103,0)))/COUNTIF(H103:AU103,"&lt;&gt;"))</f>
        <v/>
      </c>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61"/>
    </row>
    <row r="104" spans="1:47" ht="60" customHeight="1" x14ac:dyDescent="0.35">
      <c r="A104" s="257" t="s">
        <v>5848</v>
      </c>
      <c r="B104" s="235" t="s">
        <v>6031</v>
      </c>
      <c r="C104" s="236" t="s">
        <v>6057</v>
      </c>
      <c r="D104" s="239" t="s">
        <v>6058</v>
      </c>
      <c r="E104" s="240" t="s">
        <v>5996</v>
      </c>
      <c r="F104" s="243" t="s">
        <v>5984</v>
      </c>
      <c r="G104" s="246" t="str">
        <f>IF(COUNTIF(H104:AU104,"&lt;&gt;")=0,"",SUMPRODUCT(((Recommendations[ImplStatus]="Implemented")+(Recommendations[ImplStatus]="Compensated"))*ISNUMBER(MATCH(Recommendations[Id],H104:AU104,0)))/COUNTIF(H104:AU104,"&lt;&gt;"))</f>
        <v/>
      </c>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61"/>
    </row>
    <row r="105" spans="1:47" ht="60" customHeight="1" x14ac:dyDescent="0.35">
      <c r="A105" s="257" t="s">
        <v>5848</v>
      </c>
      <c r="B105" s="235" t="s">
        <v>6031</v>
      </c>
      <c r="C105" s="236" t="s">
        <v>6059</v>
      </c>
      <c r="D105" s="239" t="s">
        <v>6060</v>
      </c>
      <c r="E105" s="240" t="s">
        <v>5881</v>
      </c>
      <c r="F105" s="243" t="s">
        <v>5984</v>
      </c>
      <c r="G105" s="246" t="str">
        <f>IF(COUNTIF(H105:AU105,"&lt;&gt;")=0,"",SUMPRODUCT(((Recommendations[ImplStatus]="Implemented")+(Recommendations[ImplStatus]="Compensated"))*ISNUMBER(MATCH(Recommendations[Id],H105:AU105,0)))/COUNTIF(H105:AU105,"&lt;&gt;"))</f>
        <v/>
      </c>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61"/>
    </row>
    <row r="106" spans="1:47" ht="60" customHeight="1" outlineLevel="2" x14ac:dyDescent="0.35">
      <c r="A106" s="256" t="s">
        <v>5848</v>
      </c>
      <c r="B106" s="234" t="s">
        <v>6061</v>
      </c>
      <c r="C106" s="234"/>
      <c r="D106" s="238"/>
      <c r="E106" s="234"/>
      <c r="F106" s="242"/>
      <c r="G106" s="245" t="str">
        <f>IF(COUNTIF(H106:AU106,"&lt;&gt;")=0,"",SUMPRODUCT(((Recommendations[ImplStatus]="Implemented")+(Recommendations[ImplStatus]="Compensated"))*ISNUMBER(MATCH(Recommendations[Id],H106:AU106,0)))/COUNTIF(H106:AU106,"&lt;&gt;"))</f>
        <v/>
      </c>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60"/>
    </row>
    <row r="107" spans="1:47" ht="60" customHeight="1" x14ac:dyDescent="0.35">
      <c r="A107" s="257" t="s">
        <v>5848</v>
      </c>
      <c r="B107" s="235" t="s">
        <v>6061</v>
      </c>
      <c r="C107" s="236" t="s">
        <v>6062</v>
      </c>
      <c r="D107" s="239" t="s">
        <v>6063</v>
      </c>
      <c r="E107" s="240" t="s">
        <v>5996</v>
      </c>
      <c r="F107" s="243" t="s">
        <v>5984</v>
      </c>
      <c r="G107" s="246" t="str">
        <f>IF(COUNTIF(H107:AU107,"&lt;&gt;")=0,"",SUMPRODUCT(((Recommendations[ImplStatus]="Implemented")+(Recommendations[ImplStatus]="Compensated"))*ISNUMBER(MATCH(Recommendations[Id],H107:AU107,0)))/COUNTIF(H107:AU107,"&lt;&gt;"))</f>
        <v/>
      </c>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61"/>
    </row>
    <row r="108" spans="1:47" ht="60" customHeight="1" x14ac:dyDescent="0.35">
      <c r="A108" s="257" t="s">
        <v>5848</v>
      </c>
      <c r="B108" s="235" t="s">
        <v>6061</v>
      </c>
      <c r="C108" s="236" t="s">
        <v>6064</v>
      </c>
      <c r="D108" s="239" t="s">
        <v>6065</v>
      </c>
      <c r="E108" s="240" t="s">
        <v>5996</v>
      </c>
      <c r="F108" s="243" t="s">
        <v>5984</v>
      </c>
      <c r="G108" s="246" t="str">
        <f>IF(COUNTIF(H108:AU108,"&lt;&gt;")=0,"",SUMPRODUCT(((Recommendations[ImplStatus]="Implemented")+(Recommendations[ImplStatus]="Compensated"))*ISNUMBER(MATCH(Recommendations[Id],H108:AU108,0)))/COUNTIF(H108:AU108,"&lt;&gt;"))</f>
        <v/>
      </c>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61"/>
    </row>
    <row r="109" spans="1:47" ht="60" customHeight="1" x14ac:dyDescent="0.35">
      <c r="A109" s="257" t="s">
        <v>5848</v>
      </c>
      <c r="B109" s="235" t="s">
        <v>6061</v>
      </c>
      <c r="C109" s="236" t="s">
        <v>6066</v>
      </c>
      <c r="D109" s="239" t="s">
        <v>6067</v>
      </c>
      <c r="E109" s="240" t="s">
        <v>5996</v>
      </c>
      <c r="F109" s="243" t="s">
        <v>5984</v>
      </c>
      <c r="G109" s="246" t="str">
        <f>IF(COUNTIF(H109:AU109,"&lt;&gt;")=0,"",SUMPRODUCT(((Recommendations[ImplStatus]="Implemented")+(Recommendations[ImplStatus]="Compensated"))*ISNUMBER(MATCH(Recommendations[Id],H109:AU109,0)))/COUNTIF(H109:AU109,"&lt;&gt;"))</f>
        <v/>
      </c>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61"/>
    </row>
    <row r="110" spans="1:47" ht="60" customHeight="1" x14ac:dyDescent="0.35">
      <c r="A110" s="257" t="s">
        <v>5848</v>
      </c>
      <c r="B110" s="235" t="s">
        <v>6061</v>
      </c>
      <c r="C110" s="236" t="s">
        <v>6068</v>
      </c>
      <c r="D110" s="239" t="s">
        <v>6069</v>
      </c>
      <c r="E110" s="240" t="s">
        <v>5996</v>
      </c>
      <c r="F110" s="243" t="s">
        <v>5984</v>
      </c>
      <c r="G110" s="246" t="str">
        <f>IF(COUNTIF(H110:AU110,"&lt;&gt;")=0,"",SUMPRODUCT(((Recommendations[ImplStatus]="Implemented")+(Recommendations[ImplStatus]="Compensated"))*ISNUMBER(MATCH(Recommendations[Id],H110:AU110,0)))/COUNTIF(H110:AU110,"&lt;&gt;"))</f>
        <v/>
      </c>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61"/>
    </row>
    <row r="111" spans="1:47" ht="60" customHeight="1" x14ac:dyDescent="0.35">
      <c r="A111" s="257" t="s">
        <v>5848</v>
      </c>
      <c r="B111" s="235" t="s">
        <v>6061</v>
      </c>
      <c r="C111" s="236" t="s">
        <v>6070</v>
      </c>
      <c r="D111" s="239" t="s">
        <v>6071</v>
      </c>
      <c r="E111" s="240" t="s">
        <v>5996</v>
      </c>
      <c r="F111" s="243" t="s">
        <v>5984</v>
      </c>
      <c r="G111" s="246" t="str">
        <f>IF(COUNTIF(H111:AU111,"&lt;&gt;")=0,"",SUMPRODUCT(((Recommendations[ImplStatus]="Implemented")+(Recommendations[ImplStatus]="Compensated"))*ISNUMBER(MATCH(Recommendations[Id],H111:AU111,0)))/COUNTIF(H111:AU111,"&lt;&gt;"))</f>
        <v/>
      </c>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61"/>
    </row>
    <row r="112" spans="1:47" ht="60" customHeight="1" x14ac:dyDescent="0.35">
      <c r="A112" s="257" t="s">
        <v>5848</v>
      </c>
      <c r="B112" s="235" t="s">
        <v>6061</v>
      </c>
      <c r="C112" s="236" t="s">
        <v>6072</v>
      </c>
      <c r="D112" s="239" t="s">
        <v>6073</v>
      </c>
      <c r="E112" s="240" t="s">
        <v>5996</v>
      </c>
      <c r="F112" s="243" t="s">
        <v>5984</v>
      </c>
      <c r="G112" s="246" t="str">
        <f>IF(COUNTIF(H112:AU112,"&lt;&gt;")=0,"",SUMPRODUCT(((Recommendations[ImplStatus]="Implemented")+(Recommendations[ImplStatus]="Compensated"))*ISNUMBER(MATCH(Recommendations[Id],H112:AU112,0)))/COUNTIF(H112:AU112,"&lt;&gt;"))</f>
        <v/>
      </c>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61"/>
    </row>
    <row r="113" spans="1:47" ht="60" customHeight="1" x14ac:dyDescent="0.35">
      <c r="A113" s="257" t="s">
        <v>5848</v>
      </c>
      <c r="B113" s="235" t="s">
        <v>6061</v>
      </c>
      <c r="C113" s="236" t="s">
        <v>6074</v>
      </c>
      <c r="D113" s="239" t="s">
        <v>6075</v>
      </c>
      <c r="E113" s="240" t="s">
        <v>5996</v>
      </c>
      <c r="F113" s="243" t="s">
        <v>5984</v>
      </c>
      <c r="G113" s="246" t="str">
        <f>IF(COUNTIF(H113:AU113,"&lt;&gt;")=0,"",SUMPRODUCT(((Recommendations[ImplStatus]="Implemented")+(Recommendations[ImplStatus]="Compensated"))*ISNUMBER(MATCH(Recommendations[Id],H113:AU113,0)))/COUNTIF(H113:AU113,"&lt;&gt;"))</f>
        <v/>
      </c>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61"/>
    </row>
    <row r="114" spans="1:47" ht="60" customHeight="1" x14ac:dyDescent="0.35">
      <c r="A114" s="257" t="s">
        <v>5848</v>
      </c>
      <c r="B114" s="235" t="s">
        <v>6061</v>
      </c>
      <c r="C114" s="236" t="s">
        <v>6076</v>
      </c>
      <c r="D114" s="239" t="s">
        <v>6077</v>
      </c>
      <c r="E114" s="240" t="s">
        <v>5996</v>
      </c>
      <c r="F114" s="243" t="s">
        <v>5984</v>
      </c>
      <c r="G114" s="246" t="str">
        <f>IF(COUNTIF(H114:AU114,"&lt;&gt;")=0,"",SUMPRODUCT(((Recommendations[ImplStatus]="Implemented")+(Recommendations[ImplStatus]="Compensated"))*ISNUMBER(MATCH(Recommendations[Id],H114:AU114,0)))/COUNTIF(H114:AU114,"&lt;&gt;"))</f>
        <v/>
      </c>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61"/>
    </row>
    <row r="115" spans="1:47" ht="60" customHeight="1" x14ac:dyDescent="0.35">
      <c r="A115" s="257" t="s">
        <v>5848</v>
      </c>
      <c r="B115" s="235" t="s">
        <v>6061</v>
      </c>
      <c r="C115" s="236" t="s">
        <v>6078</v>
      </c>
      <c r="D115" s="239" t="s">
        <v>6079</v>
      </c>
      <c r="E115" s="240" t="s">
        <v>5996</v>
      </c>
      <c r="F115" s="243" t="s">
        <v>5984</v>
      </c>
      <c r="G115" s="246" t="str">
        <f>IF(COUNTIF(H115:AU115,"&lt;&gt;")=0,"",SUMPRODUCT(((Recommendations[ImplStatus]="Implemented")+(Recommendations[ImplStatus]="Compensated"))*ISNUMBER(MATCH(Recommendations[Id],H115:AU115,0)))/COUNTIF(H115:AU115,"&lt;&gt;"))</f>
        <v/>
      </c>
      <c r="H115" s="247"/>
      <c r="I115" s="247"/>
      <c r="J115" s="247"/>
      <c r="K115" s="247"/>
      <c r="L115" s="247"/>
      <c r="M115" s="247"/>
      <c r="N115" s="247"/>
      <c r="O115" s="247"/>
      <c r="P115" s="247"/>
      <c r="Q115" s="24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61"/>
    </row>
    <row r="116" spans="1:47" ht="60" customHeight="1" x14ac:dyDescent="0.35">
      <c r="A116" s="257" t="s">
        <v>5848</v>
      </c>
      <c r="B116" s="235" t="s">
        <v>6061</v>
      </c>
      <c r="C116" s="236" t="s">
        <v>6080</v>
      </c>
      <c r="D116" s="239" t="s">
        <v>6081</v>
      </c>
      <c r="E116" s="240" t="s">
        <v>5996</v>
      </c>
      <c r="F116" s="243" t="s">
        <v>5984</v>
      </c>
      <c r="G116" s="246" t="str">
        <f>IF(COUNTIF(H116:AU116,"&lt;&gt;")=0,"",SUMPRODUCT(((Recommendations[ImplStatus]="Implemented")+(Recommendations[ImplStatus]="Compensated"))*ISNUMBER(MATCH(Recommendations[Id],H116:AU116,0)))/COUNTIF(H116:AU116,"&lt;&gt;"))</f>
        <v/>
      </c>
      <c r="H116" s="247"/>
      <c r="I116" s="247"/>
      <c r="J116" s="247"/>
      <c r="K116" s="247"/>
      <c r="L116" s="247"/>
      <c r="M116" s="247"/>
      <c r="N116" s="247"/>
      <c r="O116" s="247"/>
      <c r="P116" s="247"/>
      <c r="Q116" s="24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61"/>
    </row>
    <row r="117" spans="1:47" ht="60" customHeight="1" x14ac:dyDescent="0.35">
      <c r="A117" s="257" t="s">
        <v>5848</v>
      </c>
      <c r="B117" s="235" t="s">
        <v>6061</v>
      </c>
      <c r="C117" s="236" t="s">
        <v>6082</v>
      </c>
      <c r="D117" s="239" t="s">
        <v>6083</v>
      </c>
      <c r="E117" s="240" t="s">
        <v>5996</v>
      </c>
      <c r="F117" s="243" t="s">
        <v>5984</v>
      </c>
      <c r="G117" s="246" t="str">
        <f>IF(COUNTIF(H117:AU117,"&lt;&gt;")=0,"",SUMPRODUCT(((Recommendations[ImplStatus]="Implemented")+(Recommendations[ImplStatus]="Compensated"))*ISNUMBER(MATCH(Recommendations[Id],H117:AU117,0)))/COUNTIF(H117:AU117,"&lt;&gt;"))</f>
        <v/>
      </c>
      <c r="H117" s="247"/>
      <c r="I117" s="247"/>
      <c r="J117" s="247"/>
      <c r="K117" s="247"/>
      <c r="L117" s="247"/>
      <c r="M117" s="247"/>
      <c r="N117" s="247"/>
      <c r="O117" s="247"/>
      <c r="P117" s="247"/>
      <c r="Q117" s="24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61"/>
    </row>
    <row r="118" spans="1:47" ht="60" customHeight="1" outlineLevel="1" x14ac:dyDescent="0.35">
      <c r="A118" s="255" t="s">
        <v>6084</v>
      </c>
      <c r="B118" s="233"/>
      <c r="C118" s="233"/>
      <c r="D118" s="237"/>
      <c r="E118" s="233"/>
      <c r="F118" s="241"/>
      <c r="G118" s="244" t="str">
        <f>IF(COUNTIF(H118:AU118,"&lt;&gt;")=0,"",SUMPRODUCT(((Recommendations[ImplStatus]="Implemented")+(Recommendations[ImplStatus]="Compensated"))*ISNUMBER(MATCH(Recommendations[Id],H118:AU118,0)))/COUNTIF(H118:AU118,"&lt;&gt;"))</f>
        <v/>
      </c>
      <c r="H118" s="241"/>
      <c r="I118" s="241"/>
      <c r="J118" s="241"/>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59"/>
    </row>
    <row r="119" spans="1:47" ht="60" customHeight="1" outlineLevel="2" x14ac:dyDescent="0.35">
      <c r="A119" s="256" t="s">
        <v>6084</v>
      </c>
      <c r="B119" s="234" t="s">
        <v>6085</v>
      </c>
      <c r="C119" s="234"/>
      <c r="D119" s="238"/>
      <c r="E119" s="234"/>
      <c r="F119" s="242"/>
      <c r="G119" s="245" t="str">
        <f>IF(COUNTIF(H119:AU119,"&lt;&gt;")=0,"",SUMPRODUCT(((Recommendations[ImplStatus]="Implemented")+(Recommendations[ImplStatus]="Compensated"))*ISNUMBER(MATCH(Recommendations[Id],H119:AU119,0)))/COUNTIF(H119:AU119,"&lt;&gt;"))</f>
        <v/>
      </c>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60"/>
    </row>
    <row r="120" spans="1:47" ht="60" customHeight="1" x14ac:dyDescent="0.35">
      <c r="A120" s="257" t="s">
        <v>6084</v>
      </c>
      <c r="B120" s="235" t="s">
        <v>6085</v>
      </c>
      <c r="C120" s="236" t="s">
        <v>6086</v>
      </c>
      <c r="D120" s="239" t="s">
        <v>6087</v>
      </c>
      <c r="E120" s="240" t="s">
        <v>5852</v>
      </c>
      <c r="F120" s="243" t="s">
        <v>6088</v>
      </c>
      <c r="G120" s="246" t="str">
        <f>IF(COUNTIF(H120:AU120,"&lt;&gt;")=0,"",SUMPRODUCT(((Recommendations[ImplStatus]="Implemented")+(Recommendations[ImplStatus]="Compensated"))*ISNUMBER(MATCH(Recommendations[Id],H120:AU120,0)))/COUNTIF(H120:AU120,"&lt;&gt;"))</f>
        <v/>
      </c>
      <c r="H120" s="247"/>
      <c r="I120" s="247"/>
      <c r="J120" s="247"/>
      <c r="K120" s="247"/>
      <c r="L120" s="247"/>
      <c r="M120" s="247"/>
      <c r="N120" s="247"/>
      <c r="O120" s="247"/>
      <c r="P120" s="247"/>
      <c r="Q120" s="24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61"/>
    </row>
    <row r="121" spans="1:47" ht="60" customHeight="1" x14ac:dyDescent="0.35">
      <c r="A121" s="257" t="s">
        <v>6084</v>
      </c>
      <c r="B121" s="235" t="s">
        <v>6085</v>
      </c>
      <c r="C121" s="236" t="s">
        <v>6089</v>
      </c>
      <c r="D121" s="239" t="s">
        <v>6090</v>
      </c>
      <c r="E121" s="240" t="s">
        <v>5852</v>
      </c>
      <c r="F121" s="243" t="s">
        <v>6088</v>
      </c>
      <c r="G121" s="246" t="str">
        <f>IF(COUNTIF(H121:AU121,"&lt;&gt;")=0,"",SUMPRODUCT(((Recommendations[ImplStatus]="Implemented")+(Recommendations[ImplStatus]="Compensated"))*ISNUMBER(MATCH(Recommendations[Id],H121:AU121,0)))/COUNTIF(H121:AU121,"&lt;&gt;"))</f>
        <v/>
      </c>
      <c r="H121" s="247"/>
      <c r="I121" s="247"/>
      <c r="J121" s="247"/>
      <c r="K121" s="247"/>
      <c r="L121" s="247"/>
      <c r="M121" s="247"/>
      <c r="N121" s="247"/>
      <c r="O121" s="247"/>
      <c r="P121" s="247"/>
      <c r="Q121" s="24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61"/>
    </row>
    <row r="122" spans="1:47" ht="60" customHeight="1" x14ac:dyDescent="0.35">
      <c r="A122" s="257" t="s">
        <v>6084</v>
      </c>
      <c r="B122" s="235" t="s">
        <v>6085</v>
      </c>
      <c r="C122" s="236" t="s">
        <v>6091</v>
      </c>
      <c r="D122" s="239" t="s">
        <v>6092</v>
      </c>
      <c r="E122" s="240" t="s">
        <v>5852</v>
      </c>
      <c r="F122" s="243" t="s">
        <v>6088</v>
      </c>
      <c r="G122" s="246" t="str">
        <f>IF(COUNTIF(H122:AU122,"&lt;&gt;")=0,"",SUMPRODUCT(((Recommendations[ImplStatus]="Implemented")+(Recommendations[ImplStatus]="Compensated"))*ISNUMBER(MATCH(Recommendations[Id],H122:AU122,0)))/COUNTIF(H122:AU122,"&lt;&gt;"))</f>
        <v/>
      </c>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61"/>
    </row>
    <row r="123" spans="1:47" ht="60" customHeight="1" x14ac:dyDescent="0.35">
      <c r="A123" s="257" t="s">
        <v>6084</v>
      </c>
      <c r="B123" s="235" t="s">
        <v>6085</v>
      </c>
      <c r="C123" s="236" t="s">
        <v>6093</v>
      </c>
      <c r="D123" s="239" t="s">
        <v>6094</v>
      </c>
      <c r="E123" s="240" t="s">
        <v>5852</v>
      </c>
      <c r="F123" s="243" t="s">
        <v>6088</v>
      </c>
      <c r="G123" s="246" t="str">
        <f>IF(COUNTIF(H123:AU123,"&lt;&gt;")=0,"",SUMPRODUCT(((Recommendations[ImplStatus]="Implemented")+(Recommendations[ImplStatus]="Compensated"))*ISNUMBER(MATCH(Recommendations[Id],H123:AU123,0)))/COUNTIF(H123:AU123,"&lt;&gt;"))</f>
        <v/>
      </c>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61"/>
    </row>
    <row r="124" spans="1:47" ht="60" customHeight="1" x14ac:dyDescent="0.35">
      <c r="A124" s="257" t="s">
        <v>6084</v>
      </c>
      <c r="B124" s="235" t="s">
        <v>6085</v>
      </c>
      <c r="C124" s="236" t="s">
        <v>6095</v>
      </c>
      <c r="D124" s="239" t="s">
        <v>6096</v>
      </c>
      <c r="E124" s="240" t="s">
        <v>5852</v>
      </c>
      <c r="F124" s="243" t="s">
        <v>6088</v>
      </c>
      <c r="G124" s="246" t="str">
        <f>IF(COUNTIF(H124:AU124,"&lt;&gt;")=0,"",SUMPRODUCT(((Recommendations[ImplStatus]="Implemented")+(Recommendations[ImplStatus]="Compensated"))*ISNUMBER(MATCH(Recommendations[Id],H124:AU124,0)))/COUNTIF(H124:AU124,"&lt;&gt;"))</f>
        <v/>
      </c>
      <c r="H124" s="247"/>
      <c r="I124" s="247"/>
      <c r="J124" s="247"/>
      <c r="K124" s="247"/>
      <c r="L124" s="247"/>
      <c r="M124" s="247"/>
      <c r="N124" s="247"/>
      <c r="O124" s="247"/>
      <c r="P124" s="247"/>
      <c r="Q124" s="24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61"/>
    </row>
    <row r="125" spans="1:47" ht="60" customHeight="1" x14ac:dyDescent="0.35">
      <c r="A125" s="257" t="s">
        <v>6084</v>
      </c>
      <c r="B125" s="235" t="s">
        <v>6085</v>
      </c>
      <c r="C125" s="236" t="s">
        <v>6097</v>
      </c>
      <c r="D125" s="239" t="s">
        <v>6098</v>
      </c>
      <c r="E125" s="240" t="s">
        <v>5852</v>
      </c>
      <c r="F125" s="243" t="s">
        <v>6088</v>
      </c>
      <c r="G125" s="246" t="str">
        <f>IF(COUNTIF(H125:AU125,"&lt;&gt;")=0,"",SUMPRODUCT(((Recommendations[ImplStatus]="Implemented")+(Recommendations[ImplStatus]="Compensated"))*ISNUMBER(MATCH(Recommendations[Id],H125:AU125,0)))/COUNTIF(H125:AU125,"&lt;&gt;"))</f>
        <v/>
      </c>
      <c r="H125" s="247"/>
      <c r="I125" s="247"/>
      <c r="J125" s="247"/>
      <c r="K125" s="247"/>
      <c r="L125" s="247"/>
      <c r="M125" s="247"/>
      <c r="N125" s="247"/>
      <c r="O125" s="247"/>
      <c r="P125" s="247"/>
      <c r="Q125" s="24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61"/>
    </row>
    <row r="126" spans="1:47" ht="60" customHeight="1" x14ac:dyDescent="0.35">
      <c r="A126" s="257" t="s">
        <v>6084</v>
      </c>
      <c r="B126" s="235" t="s">
        <v>6085</v>
      </c>
      <c r="C126" s="236" t="s">
        <v>6099</v>
      </c>
      <c r="D126" s="239" t="s">
        <v>6100</v>
      </c>
      <c r="E126" s="240" t="s">
        <v>5852</v>
      </c>
      <c r="F126" s="243" t="s">
        <v>6088</v>
      </c>
      <c r="G126" s="246" t="str">
        <f>IF(COUNTIF(H126:AU126,"&lt;&gt;")=0,"",SUMPRODUCT(((Recommendations[ImplStatus]="Implemented")+(Recommendations[ImplStatus]="Compensated"))*ISNUMBER(MATCH(Recommendations[Id],H126:AU126,0)))/COUNTIF(H126:AU126,"&lt;&gt;"))</f>
        <v/>
      </c>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61"/>
    </row>
    <row r="127" spans="1:47" ht="60" customHeight="1" x14ac:dyDescent="0.35">
      <c r="A127" s="257" t="s">
        <v>6084</v>
      </c>
      <c r="B127" s="235" t="s">
        <v>6085</v>
      </c>
      <c r="C127" s="236" t="s">
        <v>6101</v>
      </c>
      <c r="D127" s="239" t="s">
        <v>6102</v>
      </c>
      <c r="E127" s="240" t="s">
        <v>5852</v>
      </c>
      <c r="F127" s="243" t="s">
        <v>6088</v>
      </c>
      <c r="G127" s="246" t="str">
        <f>IF(COUNTIF(H127:AU127,"&lt;&gt;")=0,"",SUMPRODUCT(((Recommendations[ImplStatus]="Implemented")+(Recommendations[ImplStatus]="Compensated"))*ISNUMBER(MATCH(Recommendations[Id],H127:AU127,0)))/COUNTIF(H127:AU127,"&lt;&gt;"))</f>
        <v/>
      </c>
      <c r="H127" s="247"/>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61"/>
    </row>
    <row r="128" spans="1:47" ht="60" customHeight="1" x14ac:dyDescent="0.35">
      <c r="A128" s="257" t="s">
        <v>6084</v>
      </c>
      <c r="B128" s="235" t="s">
        <v>6085</v>
      </c>
      <c r="C128" s="236" t="s">
        <v>6103</v>
      </c>
      <c r="D128" s="239" t="s">
        <v>6104</v>
      </c>
      <c r="E128" s="240" t="s">
        <v>5852</v>
      </c>
      <c r="F128" s="243" t="s">
        <v>6088</v>
      </c>
      <c r="G128" s="246" t="str">
        <f>IF(COUNTIF(H128:AU128,"&lt;&gt;")=0,"",SUMPRODUCT(((Recommendations[ImplStatus]="Implemented")+(Recommendations[ImplStatus]="Compensated"))*ISNUMBER(MATCH(Recommendations[Id],H128:AU128,0)))/COUNTIF(H128:AU128,"&lt;&gt;"))</f>
        <v/>
      </c>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61"/>
    </row>
    <row r="129" spans="1:47" ht="60" customHeight="1" x14ac:dyDescent="0.35">
      <c r="A129" s="257" t="s">
        <v>6084</v>
      </c>
      <c r="B129" s="235" t="s">
        <v>6085</v>
      </c>
      <c r="C129" s="236" t="s">
        <v>6105</v>
      </c>
      <c r="D129" s="239" t="s">
        <v>6106</v>
      </c>
      <c r="E129" s="240" t="s">
        <v>5852</v>
      </c>
      <c r="F129" s="243" t="s">
        <v>6088</v>
      </c>
      <c r="G129" s="246" t="str">
        <f>IF(COUNTIF(H129:AU129,"&lt;&gt;")=0,"",SUMPRODUCT(((Recommendations[ImplStatus]="Implemented")+(Recommendations[ImplStatus]="Compensated"))*ISNUMBER(MATCH(Recommendations[Id],H129:AU129,0)))/COUNTIF(H129:AU129,"&lt;&gt;"))</f>
        <v/>
      </c>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61"/>
    </row>
    <row r="130" spans="1:47" ht="60" customHeight="1" x14ac:dyDescent="0.35">
      <c r="A130" s="257" t="s">
        <v>6084</v>
      </c>
      <c r="B130" s="235" t="s">
        <v>6085</v>
      </c>
      <c r="C130" s="236" t="s">
        <v>6107</v>
      </c>
      <c r="D130" s="239" t="s">
        <v>6108</v>
      </c>
      <c r="E130" s="240" t="s">
        <v>5852</v>
      </c>
      <c r="F130" s="243" t="s">
        <v>6088</v>
      </c>
      <c r="G130" s="246" t="str">
        <f>IF(COUNTIF(H130:AU130,"&lt;&gt;")=0,"",SUMPRODUCT(((Recommendations[ImplStatus]="Implemented")+(Recommendations[ImplStatus]="Compensated"))*ISNUMBER(MATCH(Recommendations[Id],H130:AU130,0)))/COUNTIF(H130:AU130,"&lt;&gt;"))</f>
        <v/>
      </c>
      <c r="H130" s="247"/>
      <c r="I130" s="247"/>
      <c r="J130" s="247"/>
      <c r="K130" s="247"/>
      <c r="L130" s="247"/>
      <c r="M130" s="247"/>
      <c r="N130" s="247"/>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61"/>
    </row>
    <row r="131" spans="1:47" ht="60" customHeight="1" x14ac:dyDescent="0.35">
      <c r="A131" s="257" t="s">
        <v>6084</v>
      </c>
      <c r="B131" s="235" t="s">
        <v>6085</v>
      </c>
      <c r="C131" s="236" t="s">
        <v>6109</v>
      </c>
      <c r="D131" s="239" t="s">
        <v>6110</v>
      </c>
      <c r="E131" s="240" t="s">
        <v>5852</v>
      </c>
      <c r="F131" s="243" t="s">
        <v>6088</v>
      </c>
      <c r="G131" s="246" t="str">
        <f>IF(COUNTIF(H131:AU131,"&lt;&gt;")=0,"",SUMPRODUCT(((Recommendations[ImplStatus]="Implemented")+(Recommendations[ImplStatus]="Compensated"))*ISNUMBER(MATCH(Recommendations[Id],H131:AU131,0)))/COUNTIF(H131:AU131,"&lt;&gt;"))</f>
        <v/>
      </c>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61"/>
    </row>
    <row r="132" spans="1:47" ht="60" customHeight="1" x14ac:dyDescent="0.35">
      <c r="A132" s="257" t="s">
        <v>6084</v>
      </c>
      <c r="B132" s="235" t="s">
        <v>6085</v>
      </c>
      <c r="C132" s="236" t="s">
        <v>6111</v>
      </c>
      <c r="D132" s="239" t="s">
        <v>6112</v>
      </c>
      <c r="E132" s="240" t="s">
        <v>5852</v>
      </c>
      <c r="F132" s="243" t="s">
        <v>6088</v>
      </c>
      <c r="G132" s="246" t="str">
        <f>IF(COUNTIF(H132:AU132,"&lt;&gt;")=0,"",SUMPRODUCT(((Recommendations[ImplStatus]="Implemented")+(Recommendations[ImplStatus]="Compensated"))*ISNUMBER(MATCH(Recommendations[Id],H132:AU132,0)))/COUNTIF(H132:AU132,"&lt;&gt;"))</f>
        <v/>
      </c>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61"/>
    </row>
    <row r="133" spans="1:47" ht="60" customHeight="1" x14ac:dyDescent="0.35">
      <c r="A133" s="257" t="s">
        <v>6084</v>
      </c>
      <c r="B133" s="235" t="s">
        <v>6085</v>
      </c>
      <c r="C133" s="236" t="s">
        <v>6113</v>
      </c>
      <c r="D133" s="239" t="s">
        <v>6114</v>
      </c>
      <c r="E133" s="240" t="s">
        <v>5881</v>
      </c>
      <c r="F133" s="243" t="s">
        <v>6088</v>
      </c>
      <c r="G133" s="246" t="str">
        <f>IF(COUNTIF(H133:AU133,"&lt;&gt;")=0,"",SUMPRODUCT(((Recommendations[ImplStatus]="Implemented")+(Recommendations[ImplStatus]="Compensated"))*ISNUMBER(MATCH(Recommendations[Id],H133:AU133,0)))/COUNTIF(H133:AU133,"&lt;&gt;"))</f>
        <v/>
      </c>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61"/>
    </row>
    <row r="134" spans="1:47" ht="60" customHeight="1" x14ac:dyDescent="0.35">
      <c r="A134" s="257" t="s">
        <v>6084</v>
      </c>
      <c r="B134" s="235" t="s">
        <v>6085</v>
      </c>
      <c r="C134" s="236" t="s">
        <v>6115</v>
      </c>
      <c r="D134" s="239" t="s">
        <v>6116</v>
      </c>
      <c r="E134" s="240" t="s">
        <v>5881</v>
      </c>
      <c r="F134" s="243" t="s">
        <v>6088</v>
      </c>
      <c r="G134" s="246" t="str">
        <f>IF(COUNTIF(H134:AU134,"&lt;&gt;")=0,"",SUMPRODUCT(((Recommendations[ImplStatus]="Implemented")+(Recommendations[ImplStatus]="Compensated"))*ISNUMBER(MATCH(Recommendations[Id],H134:AU134,0)))/COUNTIF(H134:AU134,"&lt;&gt;"))</f>
        <v/>
      </c>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61"/>
    </row>
    <row r="135" spans="1:47" ht="60" customHeight="1" x14ac:dyDescent="0.35">
      <c r="A135" s="257" t="s">
        <v>6084</v>
      </c>
      <c r="B135" s="235" t="s">
        <v>6085</v>
      </c>
      <c r="C135" s="236" t="s">
        <v>6117</v>
      </c>
      <c r="D135" s="239" t="s">
        <v>6118</v>
      </c>
      <c r="E135" s="240" t="s">
        <v>5996</v>
      </c>
      <c r="F135" s="243" t="s">
        <v>6088</v>
      </c>
      <c r="G135" s="246" t="str">
        <f>IF(COUNTIF(H135:AU135,"&lt;&gt;")=0,"",SUMPRODUCT(((Recommendations[ImplStatus]="Implemented")+(Recommendations[ImplStatus]="Compensated"))*ISNUMBER(MATCH(Recommendations[Id],H135:AU135,0)))/COUNTIF(H135:AU135,"&lt;&gt;"))</f>
        <v/>
      </c>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61"/>
    </row>
    <row r="136" spans="1:47" ht="60" customHeight="1" x14ac:dyDescent="0.35">
      <c r="A136" s="257" t="s">
        <v>6084</v>
      </c>
      <c r="B136" s="235" t="s">
        <v>6085</v>
      </c>
      <c r="C136" s="236" t="s">
        <v>6119</v>
      </c>
      <c r="D136" s="239" t="s">
        <v>6120</v>
      </c>
      <c r="E136" s="240" t="s">
        <v>5881</v>
      </c>
      <c r="F136" s="243" t="s">
        <v>6088</v>
      </c>
      <c r="G136" s="246" t="str">
        <f>IF(COUNTIF(H136:AU136,"&lt;&gt;")=0,"",SUMPRODUCT(((Recommendations[ImplStatus]="Implemented")+(Recommendations[ImplStatus]="Compensated"))*ISNUMBER(MATCH(Recommendations[Id],H136:AU136,0)))/COUNTIF(H136:AU136,"&lt;&gt;"))</f>
        <v/>
      </c>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61"/>
    </row>
    <row r="137" spans="1:47" ht="60" customHeight="1" x14ac:dyDescent="0.35">
      <c r="A137" s="257" t="s">
        <v>6084</v>
      </c>
      <c r="B137" s="235" t="s">
        <v>6085</v>
      </c>
      <c r="C137" s="236" t="s">
        <v>6121</v>
      </c>
      <c r="D137" s="239" t="s">
        <v>6122</v>
      </c>
      <c r="E137" s="240" t="s">
        <v>5881</v>
      </c>
      <c r="F137" s="243" t="s">
        <v>6088</v>
      </c>
      <c r="G137" s="246" t="str">
        <f>IF(COUNTIF(H137:AU137,"&lt;&gt;")=0,"",SUMPRODUCT(((Recommendations[ImplStatus]="Implemented")+(Recommendations[ImplStatus]="Compensated"))*ISNUMBER(MATCH(Recommendations[Id],H137:AU137,0)))/COUNTIF(H137:AU137,"&lt;&gt;"))</f>
        <v/>
      </c>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61"/>
    </row>
    <row r="138" spans="1:47" ht="60" customHeight="1" x14ac:dyDescent="0.35">
      <c r="A138" s="257" t="s">
        <v>6084</v>
      </c>
      <c r="B138" s="235" t="s">
        <v>6085</v>
      </c>
      <c r="C138" s="236" t="s">
        <v>6123</v>
      </c>
      <c r="D138" s="239" t="s">
        <v>6124</v>
      </c>
      <c r="E138" s="240" t="s">
        <v>5996</v>
      </c>
      <c r="F138" s="243" t="s">
        <v>6088</v>
      </c>
      <c r="G138" s="246" t="str">
        <f>IF(COUNTIF(H138:AU138,"&lt;&gt;")=0,"",SUMPRODUCT(((Recommendations[ImplStatus]="Implemented")+(Recommendations[ImplStatus]="Compensated"))*ISNUMBER(MATCH(Recommendations[Id],H138:AU138,0)))/COUNTIF(H138:AU138,"&lt;&gt;"))</f>
        <v/>
      </c>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61"/>
    </row>
    <row r="139" spans="1:47" ht="60" customHeight="1" x14ac:dyDescent="0.35">
      <c r="A139" s="257" t="s">
        <v>6084</v>
      </c>
      <c r="B139" s="235" t="s">
        <v>6085</v>
      </c>
      <c r="C139" s="236" t="s">
        <v>6125</v>
      </c>
      <c r="D139" s="239" t="s">
        <v>6126</v>
      </c>
      <c r="E139" s="240" t="s">
        <v>5996</v>
      </c>
      <c r="F139" s="243" t="s">
        <v>6088</v>
      </c>
      <c r="G139" s="246" t="str">
        <f>IF(COUNTIF(H139:AU139,"&lt;&gt;")=0,"",SUMPRODUCT(((Recommendations[ImplStatus]="Implemented")+(Recommendations[ImplStatus]="Compensated"))*ISNUMBER(MATCH(Recommendations[Id],H139:AU139,0)))/COUNTIF(H139:AU139,"&lt;&gt;"))</f>
        <v/>
      </c>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61"/>
    </row>
    <row r="140" spans="1:47" ht="60" customHeight="1" x14ac:dyDescent="0.35">
      <c r="A140" s="257" t="s">
        <v>6084</v>
      </c>
      <c r="B140" s="235" t="s">
        <v>6085</v>
      </c>
      <c r="C140" s="236" t="s">
        <v>6127</v>
      </c>
      <c r="D140" s="239" t="s">
        <v>6128</v>
      </c>
      <c r="E140" s="240" t="s">
        <v>5852</v>
      </c>
      <c r="F140" s="243" t="s">
        <v>6088</v>
      </c>
      <c r="G140" s="246" t="str">
        <f>IF(COUNTIF(H140:AU140,"&lt;&gt;")=0,"",SUMPRODUCT(((Recommendations[ImplStatus]="Implemented")+(Recommendations[ImplStatus]="Compensated"))*ISNUMBER(MATCH(Recommendations[Id],H140:AU140,0)))/COUNTIF(H140:AU140,"&lt;&gt;"))</f>
        <v/>
      </c>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61"/>
    </row>
    <row r="141" spans="1:47" ht="60" customHeight="1" x14ac:dyDescent="0.35">
      <c r="A141" s="257" t="s">
        <v>6084</v>
      </c>
      <c r="B141" s="235" t="s">
        <v>6085</v>
      </c>
      <c r="C141" s="236" t="s">
        <v>6129</v>
      </c>
      <c r="D141" s="239" t="s">
        <v>6130</v>
      </c>
      <c r="E141" s="240" t="s">
        <v>6131</v>
      </c>
      <c r="F141" s="243" t="s">
        <v>6132</v>
      </c>
      <c r="G141" s="246" t="str">
        <f>IF(COUNTIF(H141:AU141,"&lt;&gt;")=0,"",SUMPRODUCT(((Recommendations[ImplStatus]="Implemented")+(Recommendations[ImplStatus]="Compensated"))*ISNUMBER(MATCH(Recommendations[Id],H141:AU141,0)))/COUNTIF(H141:AU141,"&lt;&gt;"))</f>
        <v/>
      </c>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61"/>
    </row>
    <row r="142" spans="1:47" ht="60" customHeight="1" x14ac:dyDescent="0.35">
      <c r="A142" s="257" t="s">
        <v>6084</v>
      </c>
      <c r="B142" s="235" t="s">
        <v>6085</v>
      </c>
      <c r="C142" s="236" t="s">
        <v>6133</v>
      </c>
      <c r="D142" s="239" t="s">
        <v>6134</v>
      </c>
      <c r="E142" s="240" t="s">
        <v>6131</v>
      </c>
      <c r="F142" s="243" t="s">
        <v>6132</v>
      </c>
      <c r="G142" s="246" t="str">
        <f>IF(COUNTIF(H142:AU142,"&lt;&gt;")=0,"",SUMPRODUCT(((Recommendations[ImplStatus]="Implemented")+(Recommendations[ImplStatus]="Compensated"))*ISNUMBER(MATCH(Recommendations[Id],H142:AU142,0)))/COUNTIF(H142:AU142,"&lt;&gt;"))</f>
        <v/>
      </c>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61"/>
    </row>
    <row r="143" spans="1:47" ht="60" customHeight="1" x14ac:dyDescent="0.35">
      <c r="A143" s="257" t="s">
        <v>6084</v>
      </c>
      <c r="B143" s="235" t="s">
        <v>6085</v>
      </c>
      <c r="C143" s="236" t="s">
        <v>6135</v>
      </c>
      <c r="D143" s="239" t="s">
        <v>6136</v>
      </c>
      <c r="E143" s="240" t="s">
        <v>6131</v>
      </c>
      <c r="F143" s="243" t="s">
        <v>6132</v>
      </c>
      <c r="G143" s="246" t="str">
        <f>IF(COUNTIF(H143:AU143,"&lt;&gt;")=0,"",SUMPRODUCT(((Recommendations[ImplStatus]="Implemented")+(Recommendations[ImplStatus]="Compensated"))*ISNUMBER(MATCH(Recommendations[Id],H143:AU143,0)))/COUNTIF(H143:AU143,"&lt;&gt;"))</f>
        <v/>
      </c>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61"/>
    </row>
    <row r="144" spans="1:47" ht="60" customHeight="1" x14ac:dyDescent="0.35">
      <c r="A144" s="257" t="s">
        <v>6084</v>
      </c>
      <c r="B144" s="235" t="s">
        <v>6085</v>
      </c>
      <c r="C144" s="236" t="s">
        <v>6137</v>
      </c>
      <c r="D144" s="239" t="s">
        <v>6138</v>
      </c>
      <c r="E144" s="240" t="s">
        <v>5948</v>
      </c>
      <c r="F144" s="243" t="s">
        <v>6132</v>
      </c>
      <c r="G144" s="246" t="str">
        <f>IF(COUNTIF(H144:AU144,"&lt;&gt;")=0,"",SUMPRODUCT(((Recommendations[ImplStatus]="Implemented")+(Recommendations[ImplStatus]="Compensated"))*ISNUMBER(MATCH(Recommendations[Id],H144:AU144,0)))/COUNTIF(H144:AU144,"&lt;&gt;"))</f>
        <v/>
      </c>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61"/>
    </row>
    <row r="145" spans="1:47" ht="60" customHeight="1" x14ac:dyDescent="0.35">
      <c r="A145" s="257" t="s">
        <v>6084</v>
      </c>
      <c r="B145" s="235" t="s">
        <v>6085</v>
      </c>
      <c r="C145" s="236" t="s">
        <v>6139</v>
      </c>
      <c r="D145" s="239" t="s">
        <v>6140</v>
      </c>
      <c r="E145" s="240" t="s">
        <v>5948</v>
      </c>
      <c r="F145" s="243" t="s">
        <v>6132</v>
      </c>
      <c r="G145" s="246" t="str">
        <f>IF(COUNTIF(H145:AU145,"&lt;&gt;")=0,"",SUMPRODUCT(((Recommendations[ImplStatus]="Implemented")+(Recommendations[ImplStatus]="Compensated"))*ISNUMBER(MATCH(Recommendations[Id],H145:AU145,0)))/COUNTIF(H145:AU145,"&lt;&gt;"))</f>
        <v/>
      </c>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61"/>
    </row>
    <row r="146" spans="1:47" ht="60" customHeight="1" x14ac:dyDescent="0.35">
      <c r="A146" s="257" t="s">
        <v>6084</v>
      </c>
      <c r="B146" s="235" t="s">
        <v>6085</v>
      </c>
      <c r="C146" s="236" t="s">
        <v>6141</v>
      </c>
      <c r="D146" s="239" t="s">
        <v>6142</v>
      </c>
      <c r="E146" s="240" t="s">
        <v>5948</v>
      </c>
      <c r="F146" s="243" t="s">
        <v>6132</v>
      </c>
      <c r="G146" s="246" t="str">
        <f>IF(COUNTIF(H146:AU146,"&lt;&gt;")=0,"",SUMPRODUCT(((Recommendations[ImplStatus]="Implemented")+(Recommendations[ImplStatus]="Compensated"))*ISNUMBER(MATCH(Recommendations[Id],H146:AU146,0)))/COUNTIF(H146:AU146,"&lt;&gt;"))</f>
        <v/>
      </c>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61"/>
    </row>
    <row r="147" spans="1:47" ht="60" customHeight="1" outlineLevel="2" x14ac:dyDescent="0.35">
      <c r="A147" s="256" t="s">
        <v>6084</v>
      </c>
      <c r="B147" s="234" t="s">
        <v>6143</v>
      </c>
      <c r="C147" s="234"/>
      <c r="D147" s="238"/>
      <c r="E147" s="234"/>
      <c r="F147" s="242"/>
      <c r="G147" s="245" t="str">
        <f>IF(COUNTIF(H147:AU147,"&lt;&gt;")=0,"",SUMPRODUCT(((Recommendations[ImplStatus]="Implemented")+(Recommendations[ImplStatus]="Compensated"))*ISNUMBER(MATCH(Recommendations[Id],H147:AU147,0)))/COUNTIF(H147:AU147,"&lt;&gt;"))</f>
        <v/>
      </c>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60"/>
    </row>
    <row r="148" spans="1:47" ht="60" customHeight="1" x14ac:dyDescent="0.35">
      <c r="A148" s="257" t="s">
        <v>6084</v>
      </c>
      <c r="B148" s="235" t="s">
        <v>6143</v>
      </c>
      <c r="C148" s="236" t="s">
        <v>6144</v>
      </c>
      <c r="D148" s="239" t="s">
        <v>6145</v>
      </c>
      <c r="E148" s="240" t="s">
        <v>5881</v>
      </c>
      <c r="F148" s="243" t="s">
        <v>6146</v>
      </c>
      <c r="G148" s="246" t="str">
        <f>IF(COUNTIF(H148:AU148,"&lt;&gt;")=0,"",SUMPRODUCT(((Recommendations[ImplStatus]="Implemented")+(Recommendations[ImplStatus]="Compensated"))*ISNUMBER(MATCH(Recommendations[Id],H148:AU148,0)))/COUNTIF(H148:AU148,"&lt;&gt;"))</f>
        <v/>
      </c>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61"/>
    </row>
    <row r="149" spans="1:47" ht="60" customHeight="1" x14ac:dyDescent="0.35">
      <c r="A149" s="257" t="s">
        <v>6084</v>
      </c>
      <c r="B149" s="235" t="s">
        <v>6143</v>
      </c>
      <c r="C149" s="236" t="s">
        <v>6147</v>
      </c>
      <c r="D149" s="239" t="s">
        <v>6148</v>
      </c>
      <c r="E149" s="240" t="s">
        <v>5881</v>
      </c>
      <c r="F149" s="243" t="s">
        <v>6146</v>
      </c>
      <c r="G149" s="246" t="str">
        <f>IF(COUNTIF(H149:AU149,"&lt;&gt;")=0,"",SUMPRODUCT(((Recommendations[ImplStatus]="Implemented")+(Recommendations[ImplStatus]="Compensated"))*ISNUMBER(MATCH(Recommendations[Id],H149:AU149,0)))/COUNTIF(H149:AU149,"&lt;&gt;"))</f>
        <v/>
      </c>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61"/>
    </row>
    <row r="150" spans="1:47" ht="60" customHeight="1" x14ac:dyDescent="0.35">
      <c r="A150" s="257" t="s">
        <v>6084</v>
      </c>
      <c r="B150" s="235" t="s">
        <v>6143</v>
      </c>
      <c r="C150" s="236" t="s">
        <v>6149</v>
      </c>
      <c r="D150" s="239" t="s">
        <v>6150</v>
      </c>
      <c r="E150" s="240" t="s">
        <v>5881</v>
      </c>
      <c r="F150" s="243" t="s">
        <v>6146</v>
      </c>
      <c r="G150" s="246" t="str">
        <f>IF(COUNTIF(H150:AU150,"&lt;&gt;")=0,"",SUMPRODUCT(((Recommendations[ImplStatus]="Implemented")+(Recommendations[ImplStatus]="Compensated"))*ISNUMBER(MATCH(Recommendations[Id],H150:AU150,0)))/COUNTIF(H150:AU150,"&lt;&gt;"))</f>
        <v/>
      </c>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61"/>
    </row>
    <row r="151" spans="1:47" ht="60" customHeight="1" x14ac:dyDescent="0.35">
      <c r="A151" s="257" t="s">
        <v>6084</v>
      </c>
      <c r="B151" s="235" t="s">
        <v>6143</v>
      </c>
      <c r="C151" s="236" t="s">
        <v>6151</v>
      </c>
      <c r="D151" s="239" t="s">
        <v>6152</v>
      </c>
      <c r="E151" s="240" t="s">
        <v>5881</v>
      </c>
      <c r="F151" s="243" t="s">
        <v>6146</v>
      </c>
      <c r="G151" s="246" t="str">
        <f>IF(COUNTIF(H151:AU151,"&lt;&gt;")=0,"",SUMPRODUCT(((Recommendations[ImplStatus]="Implemented")+(Recommendations[ImplStatus]="Compensated"))*ISNUMBER(MATCH(Recommendations[Id],H151:AU151,0)))/COUNTIF(H151:AU151,"&lt;&gt;"))</f>
        <v/>
      </c>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61"/>
    </row>
    <row r="152" spans="1:47" ht="60" customHeight="1" x14ac:dyDescent="0.35">
      <c r="A152" s="257" t="s">
        <v>6084</v>
      </c>
      <c r="B152" s="235" t="s">
        <v>6143</v>
      </c>
      <c r="C152" s="236" t="s">
        <v>6153</v>
      </c>
      <c r="D152" s="239" t="s">
        <v>6154</v>
      </c>
      <c r="E152" s="240" t="s">
        <v>5881</v>
      </c>
      <c r="F152" s="243" t="s">
        <v>6146</v>
      </c>
      <c r="G152" s="246" t="str">
        <f>IF(COUNTIF(H152:AU152,"&lt;&gt;")=0,"",SUMPRODUCT(((Recommendations[ImplStatus]="Implemented")+(Recommendations[ImplStatus]="Compensated"))*ISNUMBER(MATCH(Recommendations[Id],H152:AU152,0)))/COUNTIF(H152:AU152,"&lt;&gt;"))</f>
        <v/>
      </c>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61"/>
    </row>
    <row r="153" spans="1:47" ht="60" customHeight="1" x14ac:dyDescent="0.35">
      <c r="A153" s="257" t="s">
        <v>6084</v>
      </c>
      <c r="B153" s="235" t="s">
        <v>6143</v>
      </c>
      <c r="C153" s="236" t="s">
        <v>6155</v>
      </c>
      <c r="D153" s="239" t="s">
        <v>6156</v>
      </c>
      <c r="E153" s="240" t="s">
        <v>5881</v>
      </c>
      <c r="F153" s="243" t="s">
        <v>6146</v>
      </c>
      <c r="G153" s="246" t="str">
        <f>IF(COUNTIF(H153:AU153,"&lt;&gt;")=0,"",SUMPRODUCT(((Recommendations[ImplStatus]="Implemented")+(Recommendations[ImplStatus]="Compensated"))*ISNUMBER(MATCH(Recommendations[Id],H153:AU153,0)))/COUNTIF(H153:AU153,"&lt;&gt;"))</f>
        <v/>
      </c>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61"/>
    </row>
    <row r="154" spans="1:47" ht="60" customHeight="1" x14ac:dyDescent="0.35">
      <c r="A154" s="257" t="s">
        <v>6084</v>
      </c>
      <c r="B154" s="235" t="s">
        <v>6143</v>
      </c>
      <c r="C154" s="236" t="s">
        <v>6157</v>
      </c>
      <c r="D154" s="239" t="s">
        <v>6158</v>
      </c>
      <c r="E154" s="240" t="s">
        <v>5881</v>
      </c>
      <c r="F154" s="243" t="s">
        <v>6146</v>
      </c>
      <c r="G154" s="246" t="str">
        <f>IF(COUNTIF(H154:AU154,"&lt;&gt;")=0,"",SUMPRODUCT(((Recommendations[ImplStatus]="Implemented")+(Recommendations[ImplStatus]="Compensated"))*ISNUMBER(MATCH(Recommendations[Id],H154:AU154,0)))/COUNTIF(H154:AU154,"&lt;&gt;"))</f>
        <v/>
      </c>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61"/>
    </row>
    <row r="155" spans="1:47" ht="60" customHeight="1" x14ac:dyDescent="0.35">
      <c r="A155" s="257" t="s">
        <v>6084</v>
      </c>
      <c r="B155" s="235" t="s">
        <v>6143</v>
      </c>
      <c r="C155" s="236" t="s">
        <v>6159</v>
      </c>
      <c r="D155" s="239" t="s">
        <v>6160</v>
      </c>
      <c r="E155" s="240" t="s">
        <v>5881</v>
      </c>
      <c r="F155" s="243" t="s">
        <v>6146</v>
      </c>
      <c r="G155" s="246" t="str">
        <f>IF(COUNTIF(H155:AU155,"&lt;&gt;")=0,"",SUMPRODUCT(((Recommendations[ImplStatus]="Implemented")+(Recommendations[ImplStatus]="Compensated"))*ISNUMBER(MATCH(Recommendations[Id],H155:AU155,0)))/COUNTIF(H155:AU155,"&lt;&gt;"))</f>
        <v/>
      </c>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61"/>
    </row>
    <row r="156" spans="1:47" ht="60" customHeight="1" x14ac:dyDescent="0.35">
      <c r="A156" s="257" t="s">
        <v>6084</v>
      </c>
      <c r="B156" s="235" t="s">
        <v>6143</v>
      </c>
      <c r="C156" s="236" t="s">
        <v>6161</v>
      </c>
      <c r="D156" s="239" t="s">
        <v>6162</v>
      </c>
      <c r="E156" s="240" t="s">
        <v>5881</v>
      </c>
      <c r="F156" s="243" t="s">
        <v>6146</v>
      </c>
      <c r="G156" s="246" t="str">
        <f>IF(COUNTIF(H156:AU156,"&lt;&gt;")=0,"",SUMPRODUCT(((Recommendations[ImplStatus]="Implemented")+(Recommendations[ImplStatus]="Compensated"))*ISNUMBER(MATCH(Recommendations[Id],H156:AU156,0)))/COUNTIF(H156:AU156,"&lt;&gt;"))</f>
        <v/>
      </c>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61"/>
    </row>
    <row r="157" spans="1:47" ht="60" customHeight="1" x14ac:dyDescent="0.35">
      <c r="A157" s="257" t="s">
        <v>6084</v>
      </c>
      <c r="B157" s="235" t="s">
        <v>6143</v>
      </c>
      <c r="C157" s="236" t="s">
        <v>6163</v>
      </c>
      <c r="D157" s="239" t="s">
        <v>6164</v>
      </c>
      <c r="E157" s="240" t="s">
        <v>5881</v>
      </c>
      <c r="F157" s="243" t="s">
        <v>6146</v>
      </c>
      <c r="G157" s="246" t="str">
        <f>IF(COUNTIF(H157:AU157,"&lt;&gt;")=0,"",SUMPRODUCT(((Recommendations[ImplStatus]="Implemented")+(Recommendations[ImplStatus]="Compensated"))*ISNUMBER(MATCH(Recommendations[Id],H157:AU157,0)))/COUNTIF(H157:AU157,"&lt;&gt;"))</f>
        <v/>
      </c>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61"/>
    </row>
    <row r="158" spans="1:47" ht="60" customHeight="1" x14ac:dyDescent="0.35">
      <c r="A158" s="257" t="s">
        <v>6084</v>
      </c>
      <c r="B158" s="235" t="s">
        <v>6143</v>
      </c>
      <c r="C158" s="236" t="s">
        <v>6165</v>
      </c>
      <c r="D158" s="239" t="s">
        <v>6166</v>
      </c>
      <c r="E158" s="240" t="s">
        <v>5881</v>
      </c>
      <c r="F158" s="243" t="s">
        <v>6146</v>
      </c>
      <c r="G158" s="246" t="str">
        <f>IF(COUNTIF(H158:AU158,"&lt;&gt;")=0,"",SUMPRODUCT(((Recommendations[ImplStatus]="Implemented")+(Recommendations[ImplStatus]="Compensated"))*ISNUMBER(MATCH(Recommendations[Id],H158:AU158,0)))/COUNTIF(H158:AU158,"&lt;&gt;"))</f>
        <v/>
      </c>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61"/>
    </row>
    <row r="159" spans="1:47" ht="60" customHeight="1" x14ac:dyDescent="0.35">
      <c r="A159" s="257" t="s">
        <v>6084</v>
      </c>
      <c r="B159" s="235" t="s">
        <v>6143</v>
      </c>
      <c r="C159" s="236" t="s">
        <v>6167</v>
      </c>
      <c r="D159" s="239" t="s">
        <v>6168</v>
      </c>
      <c r="E159" s="240" t="s">
        <v>5881</v>
      </c>
      <c r="F159" s="243" t="s">
        <v>6146</v>
      </c>
      <c r="G159" s="246" t="str">
        <f>IF(COUNTIF(H159:AU159,"&lt;&gt;")=0,"",SUMPRODUCT(((Recommendations[ImplStatus]="Implemented")+(Recommendations[ImplStatus]="Compensated"))*ISNUMBER(MATCH(Recommendations[Id],H159:AU159,0)))/COUNTIF(H159:AU159,"&lt;&gt;"))</f>
        <v/>
      </c>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61"/>
    </row>
    <row r="160" spans="1:47" ht="60" customHeight="1" x14ac:dyDescent="0.35">
      <c r="A160" s="257" t="s">
        <v>6084</v>
      </c>
      <c r="B160" s="235" t="s">
        <v>6143</v>
      </c>
      <c r="C160" s="236" t="s">
        <v>6169</v>
      </c>
      <c r="D160" s="239" t="s">
        <v>6170</v>
      </c>
      <c r="E160" s="240" t="s">
        <v>5881</v>
      </c>
      <c r="F160" s="243" t="s">
        <v>6171</v>
      </c>
      <c r="G160" s="246" t="str">
        <f>IF(COUNTIF(H160:AU160,"&lt;&gt;")=0,"",SUMPRODUCT(((Recommendations[ImplStatus]="Implemented")+(Recommendations[ImplStatus]="Compensated"))*ISNUMBER(MATCH(Recommendations[Id],H160:AU160,0)))/COUNTIF(H160:AU160,"&lt;&gt;"))</f>
        <v/>
      </c>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61"/>
    </row>
    <row r="161" spans="1:47" ht="60" customHeight="1" x14ac:dyDescent="0.35">
      <c r="A161" s="257" t="s">
        <v>6084</v>
      </c>
      <c r="B161" s="235" t="s">
        <v>6143</v>
      </c>
      <c r="C161" s="236" t="s">
        <v>6172</v>
      </c>
      <c r="D161" s="239" t="s">
        <v>6173</v>
      </c>
      <c r="E161" s="240" t="s">
        <v>5881</v>
      </c>
      <c r="F161" s="243" t="s">
        <v>6171</v>
      </c>
      <c r="G161" s="246" t="str">
        <f>IF(COUNTIF(H161:AU161,"&lt;&gt;")=0,"",SUMPRODUCT(((Recommendations[ImplStatus]="Implemented")+(Recommendations[ImplStatus]="Compensated"))*ISNUMBER(MATCH(Recommendations[Id],H161:AU161,0)))/COUNTIF(H161:AU161,"&lt;&gt;"))</f>
        <v/>
      </c>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61"/>
    </row>
    <row r="162" spans="1:47" ht="60" customHeight="1" x14ac:dyDescent="0.35">
      <c r="A162" s="257" t="s">
        <v>6084</v>
      </c>
      <c r="B162" s="235" t="s">
        <v>6143</v>
      </c>
      <c r="C162" s="236" t="s">
        <v>6174</v>
      </c>
      <c r="D162" s="239" t="s">
        <v>6175</v>
      </c>
      <c r="E162" s="240" t="s">
        <v>5881</v>
      </c>
      <c r="F162" s="243" t="s">
        <v>6171</v>
      </c>
      <c r="G162" s="246" t="str">
        <f>IF(COUNTIF(H162:AU162,"&lt;&gt;")=0,"",SUMPRODUCT(((Recommendations[ImplStatus]="Implemented")+(Recommendations[ImplStatus]="Compensated"))*ISNUMBER(MATCH(Recommendations[Id],H162:AU162,0)))/COUNTIF(H162:AU162,"&lt;&gt;"))</f>
        <v/>
      </c>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61"/>
    </row>
    <row r="163" spans="1:47" ht="60" customHeight="1" x14ac:dyDescent="0.35">
      <c r="A163" s="257" t="s">
        <v>6084</v>
      </c>
      <c r="B163" s="235" t="s">
        <v>6143</v>
      </c>
      <c r="C163" s="236" t="s">
        <v>6176</v>
      </c>
      <c r="D163" s="239" t="s">
        <v>6177</v>
      </c>
      <c r="E163" s="240" t="s">
        <v>5881</v>
      </c>
      <c r="F163" s="243" t="s">
        <v>6171</v>
      </c>
      <c r="G163" s="246" t="str">
        <f>IF(COUNTIF(H163:AU163,"&lt;&gt;")=0,"",SUMPRODUCT(((Recommendations[ImplStatus]="Implemented")+(Recommendations[ImplStatus]="Compensated"))*ISNUMBER(MATCH(Recommendations[Id],H163:AU163,0)))/COUNTIF(H163:AU163,"&lt;&gt;"))</f>
        <v/>
      </c>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61"/>
    </row>
    <row r="164" spans="1:47" ht="60" customHeight="1" x14ac:dyDescent="0.35">
      <c r="A164" s="257" t="s">
        <v>6084</v>
      </c>
      <c r="B164" s="235" t="s">
        <v>6143</v>
      </c>
      <c r="C164" s="236" t="s">
        <v>6178</v>
      </c>
      <c r="D164" s="239" t="s">
        <v>6179</v>
      </c>
      <c r="E164" s="240" t="s">
        <v>5881</v>
      </c>
      <c r="F164" s="243" t="s">
        <v>6171</v>
      </c>
      <c r="G164" s="246" t="str">
        <f>IF(COUNTIF(H164:AU164,"&lt;&gt;")=0,"",SUMPRODUCT(((Recommendations[ImplStatus]="Implemented")+(Recommendations[ImplStatus]="Compensated"))*ISNUMBER(MATCH(Recommendations[Id],H164:AU164,0)))/COUNTIF(H164:AU164,"&lt;&gt;"))</f>
        <v/>
      </c>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61"/>
    </row>
    <row r="165" spans="1:47" ht="60" customHeight="1" outlineLevel="2" x14ac:dyDescent="0.35">
      <c r="A165" s="256" t="s">
        <v>6084</v>
      </c>
      <c r="B165" s="234" t="s">
        <v>6180</v>
      </c>
      <c r="C165" s="234"/>
      <c r="D165" s="238"/>
      <c r="E165" s="234"/>
      <c r="F165" s="242"/>
      <c r="G165" s="245" t="str">
        <f>IF(COUNTIF(H165:AU165,"&lt;&gt;")=0,"",SUMPRODUCT(((Recommendations[ImplStatus]="Implemented")+(Recommendations[ImplStatus]="Compensated"))*ISNUMBER(MATCH(Recommendations[Id],H165:AU165,0)))/COUNTIF(H165:AU165,"&lt;&gt;"))</f>
        <v/>
      </c>
      <c r="H165" s="242"/>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2"/>
      <c r="AJ165" s="242"/>
      <c r="AK165" s="242"/>
      <c r="AL165" s="242"/>
      <c r="AM165" s="242"/>
      <c r="AN165" s="242"/>
      <c r="AO165" s="242"/>
      <c r="AP165" s="242"/>
      <c r="AQ165" s="242"/>
      <c r="AR165" s="242"/>
      <c r="AS165" s="242"/>
      <c r="AT165" s="242"/>
      <c r="AU165" s="260"/>
    </row>
    <row r="166" spans="1:47" ht="60" customHeight="1" x14ac:dyDescent="0.35">
      <c r="A166" s="257" t="s">
        <v>6084</v>
      </c>
      <c r="B166" s="235" t="s">
        <v>6180</v>
      </c>
      <c r="C166" s="236" t="s">
        <v>6181</v>
      </c>
      <c r="D166" s="239" t="s">
        <v>6182</v>
      </c>
      <c r="E166" s="240" t="s">
        <v>5852</v>
      </c>
      <c r="F166" s="243" t="s">
        <v>6183</v>
      </c>
      <c r="G166" s="246" t="str">
        <f>IF(COUNTIF(H166:AU166,"&lt;&gt;")=0,"",SUMPRODUCT(((Recommendations[ImplStatus]="Implemented")+(Recommendations[ImplStatus]="Compensated"))*ISNUMBER(MATCH(Recommendations[Id],H166:AU166,0)))/COUNTIF(H166:AU166,"&lt;&gt;"))</f>
        <v/>
      </c>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61"/>
    </row>
    <row r="167" spans="1:47" ht="60" customHeight="1" x14ac:dyDescent="0.35">
      <c r="A167" s="257" t="s">
        <v>6084</v>
      </c>
      <c r="B167" s="235" t="s">
        <v>6180</v>
      </c>
      <c r="C167" s="236" t="s">
        <v>6184</v>
      </c>
      <c r="D167" s="239" t="s">
        <v>6185</v>
      </c>
      <c r="E167" s="240" t="s">
        <v>5996</v>
      </c>
      <c r="F167" s="243" t="s">
        <v>6183</v>
      </c>
      <c r="G167" s="246" t="str">
        <f>IF(COUNTIF(H167:AU167,"&lt;&gt;")=0,"",SUMPRODUCT(((Recommendations[ImplStatus]="Implemented")+(Recommendations[ImplStatus]="Compensated"))*ISNUMBER(MATCH(Recommendations[Id],H167:AU167,0)))/COUNTIF(H167:AU167,"&lt;&gt;"))</f>
        <v/>
      </c>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61"/>
    </row>
    <row r="168" spans="1:47" ht="60" customHeight="1" x14ac:dyDescent="0.35">
      <c r="A168" s="257" t="s">
        <v>6084</v>
      </c>
      <c r="B168" s="235" t="s">
        <v>6180</v>
      </c>
      <c r="C168" s="236" t="s">
        <v>6186</v>
      </c>
      <c r="D168" s="239" t="s">
        <v>6187</v>
      </c>
      <c r="E168" s="240" t="s">
        <v>5948</v>
      </c>
      <c r="F168" s="243" t="s">
        <v>6183</v>
      </c>
      <c r="G168" s="246" t="str">
        <f>IF(COUNTIF(H168:AU168,"&lt;&gt;")=0,"",SUMPRODUCT(((Recommendations[ImplStatus]="Implemented")+(Recommendations[ImplStatus]="Compensated"))*ISNUMBER(MATCH(Recommendations[Id],H168:AU168,0)))/COUNTIF(H168:AU168,"&lt;&gt;"))</f>
        <v/>
      </c>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61"/>
    </row>
    <row r="169" spans="1:47" ht="60" customHeight="1" x14ac:dyDescent="0.35">
      <c r="A169" s="257" t="s">
        <v>6084</v>
      </c>
      <c r="B169" s="235" t="s">
        <v>6180</v>
      </c>
      <c r="C169" s="236" t="s">
        <v>6188</v>
      </c>
      <c r="D169" s="239" t="s">
        <v>6189</v>
      </c>
      <c r="E169" s="240" t="s">
        <v>5948</v>
      </c>
      <c r="F169" s="243" t="s">
        <v>6183</v>
      </c>
      <c r="G169" s="246" t="str">
        <f>IF(COUNTIF(H169:AU169,"&lt;&gt;")=0,"",SUMPRODUCT(((Recommendations[ImplStatus]="Implemented")+(Recommendations[ImplStatus]="Compensated"))*ISNUMBER(MATCH(Recommendations[Id],H169:AU169,0)))/COUNTIF(H169:AU169,"&lt;&gt;"))</f>
        <v/>
      </c>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61"/>
    </row>
    <row r="170" spans="1:47" ht="60" customHeight="1" x14ac:dyDescent="0.35">
      <c r="A170" s="257" t="s">
        <v>6084</v>
      </c>
      <c r="B170" s="235" t="s">
        <v>6180</v>
      </c>
      <c r="C170" s="236" t="s">
        <v>6190</v>
      </c>
      <c r="D170" s="239" t="s">
        <v>6191</v>
      </c>
      <c r="E170" s="240" t="s">
        <v>5996</v>
      </c>
      <c r="F170" s="243" t="s">
        <v>6183</v>
      </c>
      <c r="G170" s="246" t="str">
        <f>IF(COUNTIF(H170:AU170,"&lt;&gt;")=0,"",SUMPRODUCT(((Recommendations[ImplStatus]="Implemented")+(Recommendations[ImplStatus]="Compensated"))*ISNUMBER(MATCH(Recommendations[Id],H170:AU170,0)))/COUNTIF(H170:AU170,"&lt;&gt;"))</f>
        <v/>
      </c>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61"/>
    </row>
    <row r="171" spans="1:47" ht="60" customHeight="1" x14ac:dyDescent="0.35">
      <c r="A171" s="257" t="s">
        <v>6084</v>
      </c>
      <c r="B171" s="235" t="s">
        <v>6180</v>
      </c>
      <c r="C171" s="236" t="s">
        <v>6192</v>
      </c>
      <c r="D171" s="239" t="s">
        <v>6193</v>
      </c>
      <c r="E171" s="240" t="s">
        <v>5881</v>
      </c>
      <c r="F171" s="243" t="s">
        <v>6183</v>
      </c>
      <c r="G171" s="246" t="str">
        <f>IF(COUNTIF(H171:AU171,"&lt;&gt;")=0,"",SUMPRODUCT(((Recommendations[ImplStatus]="Implemented")+(Recommendations[ImplStatus]="Compensated"))*ISNUMBER(MATCH(Recommendations[Id],H171:AU171,0)))/COUNTIF(H171:AU171,"&lt;&gt;"))</f>
        <v/>
      </c>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61"/>
    </row>
    <row r="172" spans="1:47" ht="60" customHeight="1" x14ac:dyDescent="0.35">
      <c r="A172" s="257" t="s">
        <v>6084</v>
      </c>
      <c r="B172" s="235" t="s">
        <v>6180</v>
      </c>
      <c r="C172" s="236" t="s">
        <v>6194</v>
      </c>
      <c r="D172" s="239" t="s">
        <v>6195</v>
      </c>
      <c r="E172" s="240" t="s">
        <v>5948</v>
      </c>
      <c r="F172" s="243" t="s">
        <v>6183</v>
      </c>
      <c r="G172" s="246" t="str">
        <f>IF(COUNTIF(H172:AU172,"&lt;&gt;")=0,"",SUMPRODUCT(((Recommendations[ImplStatus]="Implemented")+(Recommendations[ImplStatus]="Compensated"))*ISNUMBER(MATCH(Recommendations[Id],H172:AU172,0)))/COUNTIF(H172:AU172,"&lt;&gt;"))</f>
        <v/>
      </c>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61"/>
    </row>
    <row r="173" spans="1:47" ht="60" customHeight="1" x14ac:dyDescent="0.35">
      <c r="A173" s="257" t="s">
        <v>6084</v>
      </c>
      <c r="B173" s="235" t="s">
        <v>6180</v>
      </c>
      <c r="C173" s="236" t="s">
        <v>6196</v>
      </c>
      <c r="D173" s="239" t="s">
        <v>6197</v>
      </c>
      <c r="E173" s="240" t="s">
        <v>5881</v>
      </c>
      <c r="F173" s="243" t="s">
        <v>6183</v>
      </c>
      <c r="G173" s="246" t="str">
        <f>IF(COUNTIF(H173:AU173,"&lt;&gt;")=0,"",SUMPRODUCT(((Recommendations[ImplStatus]="Implemented")+(Recommendations[ImplStatus]="Compensated"))*ISNUMBER(MATCH(Recommendations[Id],H173:AU173,0)))/COUNTIF(H173:AU173,"&lt;&gt;"))</f>
        <v/>
      </c>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61"/>
    </row>
    <row r="174" spans="1:47" ht="60" customHeight="1" x14ac:dyDescent="0.35">
      <c r="A174" s="257" t="s">
        <v>6084</v>
      </c>
      <c r="B174" s="235" t="s">
        <v>6180</v>
      </c>
      <c r="C174" s="236" t="s">
        <v>6198</v>
      </c>
      <c r="D174" s="239" t="s">
        <v>6199</v>
      </c>
      <c r="E174" s="240" t="s">
        <v>5948</v>
      </c>
      <c r="F174" s="243" t="s">
        <v>6183</v>
      </c>
      <c r="G174" s="246" t="str">
        <f>IF(COUNTIF(H174:AU174,"&lt;&gt;")=0,"",SUMPRODUCT(((Recommendations[ImplStatus]="Implemented")+(Recommendations[ImplStatus]="Compensated"))*ISNUMBER(MATCH(Recommendations[Id],H174:AU174,0)))/COUNTIF(H174:AU174,"&lt;&gt;"))</f>
        <v/>
      </c>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61"/>
    </row>
    <row r="175" spans="1:47" ht="60" customHeight="1" x14ac:dyDescent="0.35">
      <c r="A175" s="257" t="s">
        <v>6084</v>
      </c>
      <c r="B175" s="235" t="s">
        <v>6180</v>
      </c>
      <c r="C175" s="236" t="s">
        <v>6200</v>
      </c>
      <c r="D175" s="239" t="s">
        <v>6201</v>
      </c>
      <c r="E175" s="240" t="s">
        <v>5881</v>
      </c>
      <c r="F175" s="243" t="s">
        <v>6183</v>
      </c>
      <c r="G175" s="246" t="str">
        <f>IF(COUNTIF(H175:AU175,"&lt;&gt;")=0,"",SUMPRODUCT(((Recommendations[ImplStatus]="Implemented")+(Recommendations[ImplStatus]="Compensated"))*ISNUMBER(MATCH(Recommendations[Id],H175:AU175,0)))/COUNTIF(H175:AU175,"&lt;&gt;"))</f>
        <v/>
      </c>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61"/>
    </row>
    <row r="176" spans="1:47" ht="60" customHeight="1" x14ac:dyDescent="0.35">
      <c r="A176" s="257" t="s">
        <v>6084</v>
      </c>
      <c r="B176" s="235" t="s">
        <v>6180</v>
      </c>
      <c r="C176" s="236" t="s">
        <v>6202</v>
      </c>
      <c r="D176" s="239" t="s">
        <v>6203</v>
      </c>
      <c r="E176" s="240" t="s">
        <v>5852</v>
      </c>
      <c r="F176" s="243" t="s">
        <v>6183</v>
      </c>
      <c r="G176" s="246" t="str">
        <f>IF(COUNTIF(H176:AU176,"&lt;&gt;")=0,"",SUMPRODUCT(((Recommendations[ImplStatus]="Implemented")+(Recommendations[ImplStatus]="Compensated"))*ISNUMBER(MATCH(Recommendations[Id],H176:AU176,0)))/COUNTIF(H176:AU176,"&lt;&gt;"))</f>
        <v/>
      </c>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61"/>
    </row>
    <row r="177" spans="1:47" ht="60" customHeight="1" x14ac:dyDescent="0.35">
      <c r="A177" s="257" t="s">
        <v>6084</v>
      </c>
      <c r="B177" s="235" t="s">
        <v>6180</v>
      </c>
      <c r="C177" s="236" t="s">
        <v>6204</v>
      </c>
      <c r="D177" s="239" t="s">
        <v>6205</v>
      </c>
      <c r="E177" s="240" t="s">
        <v>5852</v>
      </c>
      <c r="F177" s="243" t="s">
        <v>6183</v>
      </c>
      <c r="G177" s="246" t="str">
        <f>IF(COUNTIF(H177:AU177,"&lt;&gt;")=0,"",SUMPRODUCT(((Recommendations[ImplStatus]="Implemented")+(Recommendations[ImplStatus]="Compensated"))*ISNUMBER(MATCH(Recommendations[Id],H177:AU177,0)))/COUNTIF(H177:AU177,"&lt;&gt;"))</f>
        <v/>
      </c>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61"/>
    </row>
    <row r="178" spans="1:47" ht="60" customHeight="1" x14ac:dyDescent="0.35">
      <c r="A178" s="257" t="s">
        <v>6084</v>
      </c>
      <c r="B178" s="235" t="s">
        <v>6180</v>
      </c>
      <c r="C178" s="236" t="s">
        <v>6206</v>
      </c>
      <c r="D178" s="239" t="s">
        <v>6207</v>
      </c>
      <c r="E178" s="240" t="s">
        <v>5881</v>
      </c>
      <c r="F178" s="243" t="s">
        <v>6183</v>
      </c>
      <c r="G178" s="246" t="str">
        <f>IF(COUNTIF(H178:AU178,"&lt;&gt;")=0,"",SUMPRODUCT(((Recommendations[ImplStatus]="Implemented")+(Recommendations[ImplStatus]="Compensated"))*ISNUMBER(MATCH(Recommendations[Id],H178:AU178,0)))/COUNTIF(H178:AU178,"&lt;&gt;"))</f>
        <v/>
      </c>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61"/>
    </row>
    <row r="179" spans="1:47" ht="60" customHeight="1" x14ac:dyDescent="0.35">
      <c r="A179" s="257" t="s">
        <v>6084</v>
      </c>
      <c r="B179" s="235" t="s">
        <v>6180</v>
      </c>
      <c r="C179" s="236" t="s">
        <v>6208</v>
      </c>
      <c r="D179" s="239" t="s">
        <v>6209</v>
      </c>
      <c r="E179" s="240" t="s">
        <v>5996</v>
      </c>
      <c r="F179" s="243" t="s">
        <v>6183</v>
      </c>
      <c r="G179" s="246" t="str">
        <f>IF(COUNTIF(H179:AU179,"&lt;&gt;")=0,"",SUMPRODUCT(((Recommendations[ImplStatus]="Implemented")+(Recommendations[ImplStatus]="Compensated"))*ISNUMBER(MATCH(Recommendations[Id],H179:AU179,0)))/COUNTIF(H179:AU179,"&lt;&gt;"))</f>
        <v/>
      </c>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61"/>
    </row>
    <row r="180" spans="1:47" ht="60" customHeight="1" x14ac:dyDescent="0.35">
      <c r="A180" s="257" t="s">
        <v>6084</v>
      </c>
      <c r="B180" s="235" t="s">
        <v>6180</v>
      </c>
      <c r="C180" s="236" t="s">
        <v>6210</v>
      </c>
      <c r="D180" s="239" t="s">
        <v>6211</v>
      </c>
      <c r="E180" s="240" t="s">
        <v>5996</v>
      </c>
      <c r="F180" s="243" t="s">
        <v>6183</v>
      </c>
      <c r="G180" s="246" t="str">
        <f>IF(COUNTIF(H180:AU180,"&lt;&gt;")=0,"",SUMPRODUCT(((Recommendations[ImplStatus]="Implemented")+(Recommendations[ImplStatus]="Compensated"))*ISNUMBER(MATCH(Recommendations[Id],H180:AU180,0)))/COUNTIF(H180:AU180,"&lt;&gt;"))</f>
        <v/>
      </c>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61"/>
    </row>
    <row r="181" spans="1:47" ht="60" customHeight="1" outlineLevel="2" x14ac:dyDescent="0.35">
      <c r="A181" s="256" t="s">
        <v>6084</v>
      </c>
      <c r="B181" s="234" t="s">
        <v>6212</v>
      </c>
      <c r="C181" s="234"/>
      <c r="D181" s="238"/>
      <c r="E181" s="234"/>
      <c r="F181" s="242"/>
      <c r="G181" s="245" t="str">
        <f>IF(COUNTIF(H181:AU181,"&lt;&gt;")=0,"",SUMPRODUCT(((Recommendations[ImplStatus]="Implemented")+(Recommendations[ImplStatus]="Compensated"))*ISNUMBER(MATCH(Recommendations[Id],H181:AU181,0)))/COUNTIF(H181:AU181,"&lt;&gt;"))</f>
        <v/>
      </c>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60"/>
    </row>
    <row r="182" spans="1:47" ht="60" customHeight="1" x14ac:dyDescent="0.35">
      <c r="A182" s="257" t="s">
        <v>6084</v>
      </c>
      <c r="B182" s="235" t="s">
        <v>6212</v>
      </c>
      <c r="C182" s="236" t="s">
        <v>6213</v>
      </c>
      <c r="D182" s="239" t="s">
        <v>6214</v>
      </c>
      <c r="E182" s="240" t="s">
        <v>5852</v>
      </c>
      <c r="F182" s="243" t="s">
        <v>6215</v>
      </c>
      <c r="G182" s="246" t="str">
        <f>IF(COUNTIF(H182:AU182,"&lt;&gt;")=0,"",SUMPRODUCT(((Recommendations[ImplStatus]="Implemented")+(Recommendations[ImplStatus]="Compensated"))*ISNUMBER(MATCH(Recommendations[Id],H182:AU182,0)))/COUNTIF(H182:AU182,"&lt;&gt;"))</f>
        <v/>
      </c>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61"/>
    </row>
    <row r="183" spans="1:47" ht="60" customHeight="1" x14ac:dyDescent="0.35">
      <c r="A183" s="257" t="s">
        <v>6084</v>
      </c>
      <c r="B183" s="235" t="s">
        <v>6212</v>
      </c>
      <c r="C183" s="236" t="s">
        <v>6216</v>
      </c>
      <c r="D183" s="239" t="s">
        <v>6217</v>
      </c>
      <c r="E183" s="240" t="s">
        <v>5852</v>
      </c>
      <c r="F183" s="243" t="s">
        <v>6215</v>
      </c>
      <c r="G183" s="246" t="str">
        <f>IF(COUNTIF(H183:AU183,"&lt;&gt;")=0,"",SUMPRODUCT(((Recommendations[ImplStatus]="Implemented")+(Recommendations[ImplStatus]="Compensated"))*ISNUMBER(MATCH(Recommendations[Id],H183:AU183,0)))/COUNTIF(H183:AU183,"&lt;&gt;"))</f>
        <v/>
      </c>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61"/>
    </row>
    <row r="184" spans="1:47" ht="60" customHeight="1" x14ac:dyDescent="0.35">
      <c r="A184" s="257" t="s">
        <v>6084</v>
      </c>
      <c r="B184" s="235" t="s">
        <v>6212</v>
      </c>
      <c r="C184" s="236" t="s">
        <v>6218</v>
      </c>
      <c r="D184" s="239" t="s">
        <v>6219</v>
      </c>
      <c r="E184" s="240" t="s">
        <v>5852</v>
      </c>
      <c r="F184" s="243" t="s">
        <v>6215</v>
      </c>
      <c r="G184" s="246" t="str">
        <f>IF(COUNTIF(H184:AU184,"&lt;&gt;")=0,"",SUMPRODUCT(((Recommendations[ImplStatus]="Implemented")+(Recommendations[ImplStatus]="Compensated"))*ISNUMBER(MATCH(Recommendations[Id],H184:AU184,0)))/COUNTIF(H184:AU184,"&lt;&gt;"))</f>
        <v/>
      </c>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61"/>
    </row>
    <row r="185" spans="1:47" ht="60" customHeight="1" x14ac:dyDescent="0.35">
      <c r="A185" s="257" t="s">
        <v>6084</v>
      </c>
      <c r="B185" s="235" t="s">
        <v>6212</v>
      </c>
      <c r="C185" s="236" t="s">
        <v>6220</v>
      </c>
      <c r="D185" s="239" t="s">
        <v>6221</v>
      </c>
      <c r="E185" s="240" t="s">
        <v>5852</v>
      </c>
      <c r="F185" s="243" t="s">
        <v>6215</v>
      </c>
      <c r="G185" s="246" t="str">
        <f>IF(COUNTIF(H185:AU185,"&lt;&gt;")=0,"",SUMPRODUCT(((Recommendations[ImplStatus]="Implemented")+(Recommendations[ImplStatus]="Compensated"))*ISNUMBER(MATCH(Recommendations[Id],H185:AU185,0)))/COUNTIF(H185:AU185,"&lt;&gt;"))</f>
        <v/>
      </c>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61"/>
    </row>
    <row r="186" spans="1:47" ht="60" customHeight="1" x14ac:dyDescent="0.35">
      <c r="A186" s="257" t="s">
        <v>6084</v>
      </c>
      <c r="B186" s="235" t="s">
        <v>6212</v>
      </c>
      <c r="C186" s="236" t="s">
        <v>6222</v>
      </c>
      <c r="D186" s="239" t="s">
        <v>6223</v>
      </c>
      <c r="E186" s="240" t="s">
        <v>5852</v>
      </c>
      <c r="F186" s="243" t="s">
        <v>6215</v>
      </c>
      <c r="G186" s="246" t="str">
        <f>IF(COUNTIF(H186:AU186,"&lt;&gt;")=0,"",SUMPRODUCT(((Recommendations[ImplStatus]="Implemented")+(Recommendations[ImplStatus]="Compensated"))*ISNUMBER(MATCH(Recommendations[Id],H186:AU186,0)))/COUNTIF(H186:AU186,"&lt;&gt;"))</f>
        <v/>
      </c>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61"/>
    </row>
    <row r="187" spans="1:47" ht="60" customHeight="1" x14ac:dyDescent="0.35">
      <c r="A187" s="257" t="s">
        <v>6084</v>
      </c>
      <c r="B187" s="235" t="s">
        <v>6212</v>
      </c>
      <c r="C187" s="236" t="s">
        <v>6224</v>
      </c>
      <c r="D187" s="239" t="s">
        <v>6225</v>
      </c>
      <c r="E187" s="240" t="s">
        <v>5881</v>
      </c>
      <c r="F187" s="243" t="s">
        <v>6215</v>
      </c>
      <c r="G187" s="246" t="str">
        <f>IF(COUNTIF(H187:AU187,"&lt;&gt;")=0,"",SUMPRODUCT(((Recommendations[ImplStatus]="Implemented")+(Recommendations[ImplStatus]="Compensated"))*ISNUMBER(MATCH(Recommendations[Id],H187:AU187,0)))/COUNTIF(H187:AU187,"&lt;&gt;"))</f>
        <v/>
      </c>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61"/>
    </row>
    <row r="188" spans="1:47" ht="60" customHeight="1" x14ac:dyDescent="0.35">
      <c r="A188" s="257" t="s">
        <v>6084</v>
      </c>
      <c r="B188" s="235" t="s">
        <v>6212</v>
      </c>
      <c r="C188" s="236" t="s">
        <v>6226</v>
      </c>
      <c r="D188" s="239" t="s">
        <v>6227</v>
      </c>
      <c r="E188" s="240" t="s">
        <v>5881</v>
      </c>
      <c r="F188" s="243" t="s">
        <v>6215</v>
      </c>
      <c r="G188" s="246" t="str">
        <f>IF(COUNTIF(H188:AU188,"&lt;&gt;")=0,"",SUMPRODUCT(((Recommendations[ImplStatus]="Implemented")+(Recommendations[ImplStatus]="Compensated"))*ISNUMBER(MATCH(Recommendations[Id],H188:AU188,0)))/COUNTIF(H188:AU188,"&lt;&gt;"))</f>
        <v/>
      </c>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61"/>
    </row>
    <row r="189" spans="1:47" ht="60" customHeight="1" x14ac:dyDescent="0.35">
      <c r="A189" s="257" t="s">
        <v>6084</v>
      </c>
      <c r="B189" s="235" t="s">
        <v>6212</v>
      </c>
      <c r="C189" s="236" t="s">
        <v>6228</v>
      </c>
      <c r="D189" s="239" t="s">
        <v>6229</v>
      </c>
      <c r="E189" s="240" t="s">
        <v>5881</v>
      </c>
      <c r="F189" s="243" t="s">
        <v>6215</v>
      </c>
      <c r="G189" s="246" t="str">
        <f>IF(COUNTIF(H189:AU189,"&lt;&gt;")=0,"",SUMPRODUCT(((Recommendations[ImplStatus]="Implemented")+(Recommendations[ImplStatus]="Compensated"))*ISNUMBER(MATCH(Recommendations[Id],H189:AU189,0)))/COUNTIF(H189:AU189,"&lt;&gt;"))</f>
        <v/>
      </c>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61"/>
    </row>
    <row r="190" spans="1:47" ht="60" customHeight="1" x14ac:dyDescent="0.35">
      <c r="A190" s="257" t="s">
        <v>6084</v>
      </c>
      <c r="B190" s="235" t="s">
        <v>6212</v>
      </c>
      <c r="C190" s="236" t="s">
        <v>6230</v>
      </c>
      <c r="D190" s="239" t="s">
        <v>6231</v>
      </c>
      <c r="E190" s="240" t="s">
        <v>5881</v>
      </c>
      <c r="F190" s="243" t="s">
        <v>6215</v>
      </c>
      <c r="G190" s="246" t="str">
        <f>IF(COUNTIF(H190:AU190,"&lt;&gt;")=0,"",SUMPRODUCT(((Recommendations[ImplStatus]="Implemented")+(Recommendations[ImplStatus]="Compensated"))*ISNUMBER(MATCH(Recommendations[Id],H190:AU190,0)))/COUNTIF(H190:AU190,"&lt;&gt;"))</f>
        <v/>
      </c>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61"/>
    </row>
    <row r="191" spans="1:47" ht="60" customHeight="1" x14ac:dyDescent="0.35">
      <c r="A191" s="257" t="s">
        <v>6084</v>
      </c>
      <c r="B191" s="235" t="s">
        <v>6212</v>
      </c>
      <c r="C191" s="236" t="s">
        <v>6232</v>
      </c>
      <c r="D191" s="239" t="s">
        <v>6233</v>
      </c>
      <c r="E191" s="240" t="s">
        <v>5852</v>
      </c>
      <c r="F191" s="243" t="s">
        <v>6215</v>
      </c>
      <c r="G191" s="246" t="str">
        <f>IF(COUNTIF(H191:AU191,"&lt;&gt;")=0,"",SUMPRODUCT(((Recommendations[ImplStatus]="Implemented")+(Recommendations[ImplStatus]="Compensated"))*ISNUMBER(MATCH(Recommendations[Id],H191:AU191,0)))/COUNTIF(H191:AU191,"&lt;&gt;"))</f>
        <v/>
      </c>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61"/>
    </row>
    <row r="192" spans="1:47" ht="60" customHeight="1" x14ac:dyDescent="0.35">
      <c r="A192" s="257" t="s">
        <v>6084</v>
      </c>
      <c r="B192" s="235" t="s">
        <v>6212</v>
      </c>
      <c r="C192" s="236" t="s">
        <v>6234</v>
      </c>
      <c r="D192" s="239" t="s">
        <v>6235</v>
      </c>
      <c r="E192" s="240" t="s">
        <v>5852</v>
      </c>
      <c r="F192" s="243" t="s">
        <v>6215</v>
      </c>
      <c r="G192" s="246" t="str">
        <f>IF(COUNTIF(H192:AU192,"&lt;&gt;")=0,"",SUMPRODUCT(((Recommendations[ImplStatus]="Implemented")+(Recommendations[ImplStatus]="Compensated"))*ISNUMBER(MATCH(Recommendations[Id],H192:AU192,0)))/COUNTIF(H192:AU192,"&lt;&gt;"))</f>
        <v/>
      </c>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61"/>
    </row>
    <row r="193" spans="1:47" ht="60" customHeight="1" x14ac:dyDescent="0.35">
      <c r="A193" s="257" t="s">
        <v>6084</v>
      </c>
      <c r="B193" s="235" t="s">
        <v>6212</v>
      </c>
      <c r="C193" s="236" t="s">
        <v>6236</v>
      </c>
      <c r="D193" s="239" t="s">
        <v>6237</v>
      </c>
      <c r="E193" s="240" t="s">
        <v>5852</v>
      </c>
      <c r="F193" s="243" t="s">
        <v>6215</v>
      </c>
      <c r="G193" s="246" t="str">
        <f>IF(COUNTIF(H193:AU193,"&lt;&gt;")=0,"",SUMPRODUCT(((Recommendations[ImplStatus]="Implemented")+(Recommendations[ImplStatus]="Compensated"))*ISNUMBER(MATCH(Recommendations[Id],H193:AU193,0)))/COUNTIF(H193:AU193,"&lt;&gt;"))</f>
        <v/>
      </c>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61"/>
    </row>
    <row r="194" spans="1:47" ht="60" customHeight="1" x14ac:dyDescent="0.35">
      <c r="A194" s="257" t="s">
        <v>6084</v>
      </c>
      <c r="B194" s="235" t="s">
        <v>6212</v>
      </c>
      <c r="C194" s="236" t="s">
        <v>6238</v>
      </c>
      <c r="D194" s="239" t="s">
        <v>6239</v>
      </c>
      <c r="E194" s="240" t="s">
        <v>5852</v>
      </c>
      <c r="F194" s="243" t="s">
        <v>6215</v>
      </c>
      <c r="G194" s="246" t="str">
        <f>IF(COUNTIF(H194:AU194,"&lt;&gt;")=0,"",SUMPRODUCT(((Recommendations[ImplStatus]="Implemented")+(Recommendations[ImplStatus]="Compensated"))*ISNUMBER(MATCH(Recommendations[Id],H194:AU194,0)))/COUNTIF(H194:AU194,"&lt;&gt;"))</f>
        <v/>
      </c>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61"/>
    </row>
    <row r="195" spans="1:47" ht="60" customHeight="1" x14ac:dyDescent="0.35">
      <c r="A195" s="257" t="s">
        <v>6084</v>
      </c>
      <c r="B195" s="235" t="s">
        <v>6212</v>
      </c>
      <c r="C195" s="236" t="s">
        <v>6240</v>
      </c>
      <c r="D195" s="239" t="s">
        <v>6241</v>
      </c>
      <c r="E195" s="240" t="s">
        <v>5852</v>
      </c>
      <c r="F195" s="243" t="s">
        <v>6215</v>
      </c>
      <c r="G195" s="246" t="str">
        <f>IF(COUNTIF(H195:AU195,"&lt;&gt;")=0,"",SUMPRODUCT(((Recommendations[ImplStatus]="Implemented")+(Recommendations[ImplStatus]="Compensated"))*ISNUMBER(MATCH(Recommendations[Id],H195:AU195,0)))/COUNTIF(H195:AU195,"&lt;&gt;"))</f>
        <v/>
      </c>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61"/>
    </row>
    <row r="196" spans="1:47" ht="60" customHeight="1" x14ac:dyDescent="0.35">
      <c r="A196" s="257" t="s">
        <v>6084</v>
      </c>
      <c r="B196" s="235" t="s">
        <v>6212</v>
      </c>
      <c r="C196" s="236" t="s">
        <v>6242</v>
      </c>
      <c r="D196" s="239" t="s">
        <v>6243</v>
      </c>
      <c r="E196" s="240" t="s">
        <v>5852</v>
      </c>
      <c r="F196" s="243" t="s">
        <v>6244</v>
      </c>
      <c r="G196" s="246" t="str">
        <f>IF(COUNTIF(H196:AU196,"&lt;&gt;")=0,"",SUMPRODUCT(((Recommendations[ImplStatus]="Implemented")+(Recommendations[ImplStatus]="Compensated"))*ISNUMBER(MATCH(Recommendations[Id],H196:AU196,0)))/COUNTIF(H196:AU196,"&lt;&gt;"))</f>
        <v/>
      </c>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61"/>
    </row>
    <row r="197" spans="1:47" ht="60" customHeight="1" x14ac:dyDescent="0.35">
      <c r="A197" s="257" t="s">
        <v>6084</v>
      </c>
      <c r="B197" s="235" t="s">
        <v>6212</v>
      </c>
      <c r="C197" s="236" t="s">
        <v>6245</v>
      </c>
      <c r="D197" s="239" t="s">
        <v>6246</v>
      </c>
      <c r="E197" s="240" t="s">
        <v>5852</v>
      </c>
      <c r="F197" s="243" t="s">
        <v>6244</v>
      </c>
      <c r="G197" s="246" t="str">
        <f>IF(COUNTIF(H197:AU197,"&lt;&gt;")=0,"",SUMPRODUCT(((Recommendations[ImplStatus]="Implemented")+(Recommendations[ImplStatus]="Compensated"))*ISNUMBER(MATCH(Recommendations[Id],H197:AU197,0)))/COUNTIF(H197:AU197,"&lt;&gt;"))</f>
        <v/>
      </c>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61"/>
    </row>
    <row r="198" spans="1:47" ht="60" customHeight="1" x14ac:dyDescent="0.35">
      <c r="A198" s="257" t="s">
        <v>6084</v>
      </c>
      <c r="B198" s="235" t="s">
        <v>6212</v>
      </c>
      <c r="C198" s="236" t="s">
        <v>6247</v>
      </c>
      <c r="D198" s="239" t="s">
        <v>6248</v>
      </c>
      <c r="E198" s="240" t="s">
        <v>5852</v>
      </c>
      <c r="F198" s="243" t="s">
        <v>6244</v>
      </c>
      <c r="G198" s="246" t="str">
        <f>IF(COUNTIF(H198:AU198,"&lt;&gt;")=0,"",SUMPRODUCT(((Recommendations[ImplStatus]="Implemented")+(Recommendations[ImplStatus]="Compensated"))*ISNUMBER(MATCH(Recommendations[Id],H198:AU198,0)))/COUNTIF(H198:AU198,"&lt;&gt;"))</f>
        <v/>
      </c>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61"/>
    </row>
    <row r="199" spans="1:47" ht="60" customHeight="1" x14ac:dyDescent="0.35">
      <c r="A199" s="257" t="s">
        <v>6084</v>
      </c>
      <c r="B199" s="235" t="s">
        <v>6212</v>
      </c>
      <c r="C199" s="236" t="s">
        <v>6249</v>
      </c>
      <c r="D199" s="239" t="s">
        <v>6250</v>
      </c>
      <c r="E199" s="240" t="s">
        <v>5852</v>
      </c>
      <c r="F199" s="243" t="s">
        <v>6244</v>
      </c>
      <c r="G199" s="246" t="str">
        <f>IF(COUNTIF(H199:AU199,"&lt;&gt;")=0,"",SUMPRODUCT(((Recommendations[ImplStatus]="Implemented")+(Recommendations[ImplStatus]="Compensated"))*ISNUMBER(MATCH(Recommendations[Id],H199:AU199,0)))/COUNTIF(H199:AU199,"&lt;&gt;"))</f>
        <v/>
      </c>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61"/>
    </row>
    <row r="200" spans="1:47" ht="60" customHeight="1" outlineLevel="1" x14ac:dyDescent="0.35">
      <c r="A200" s="255" t="s">
        <v>6251</v>
      </c>
      <c r="B200" s="233"/>
      <c r="C200" s="233"/>
      <c r="D200" s="237"/>
      <c r="E200" s="233"/>
      <c r="F200" s="241"/>
      <c r="G200" s="244" t="str">
        <f>IF(COUNTIF(H200:AU200,"&lt;&gt;")=0,"",SUMPRODUCT(((Recommendations[ImplStatus]="Implemented")+(Recommendations[ImplStatus]="Compensated"))*ISNUMBER(MATCH(Recommendations[Id],H200:AU200,0)))/COUNTIF(H200:AU200,"&lt;&gt;"))</f>
        <v/>
      </c>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59"/>
    </row>
    <row r="201" spans="1:47" ht="60" customHeight="1" outlineLevel="2" x14ac:dyDescent="0.35">
      <c r="A201" s="256" t="s">
        <v>6251</v>
      </c>
      <c r="B201" s="234" t="s">
        <v>6252</v>
      </c>
      <c r="C201" s="234"/>
      <c r="D201" s="238"/>
      <c r="E201" s="234"/>
      <c r="F201" s="242"/>
      <c r="G201" s="245" t="str">
        <f>IF(COUNTIF(H201:AU201,"&lt;&gt;")=0,"",SUMPRODUCT(((Recommendations[ImplStatus]="Implemented")+(Recommendations[ImplStatus]="Compensated"))*ISNUMBER(MATCH(Recommendations[Id],H201:AU201,0)))/COUNTIF(H201:AU201,"&lt;&gt;"))</f>
        <v/>
      </c>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60"/>
    </row>
    <row r="202" spans="1:47" ht="60" customHeight="1" x14ac:dyDescent="0.35">
      <c r="A202" s="257" t="s">
        <v>6251</v>
      </c>
      <c r="B202" s="235" t="s">
        <v>6252</v>
      </c>
      <c r="C202" s="236" t="s">
        <v>6253</v>
      </c>
      <c r="D202" s="239" t="s">
        <v>6254</v>
      </c>
      <c r="E202" s="240" t="s">
        <v>6131</v>
      </c>
      <c r="F202" s="243" t="s">
        <v>6255</v>
      </c>
      <c r="G202" s="246">
        <f>IF(COUNTIF(H202:AU202,"&lt;&gt;")=0,"",SUMPRODUCT(((Recommendations[ImplStatus]="Implemented")+(Recommendations[ImplStatus]="Compensated"))*ISNUMBER(MATCH(Recommendations[Id],H202:AU202,0)))/COUNTIF(H202:AU202,"&lt;&gt;"))</f>
        <v>0</v>
      </c>
      <c r="H202" s="247" t="s">
        <v>274</v>
      </c>
      <c r="I202" s="247" t="s">
        <v>1457</v>
      </c>
      <c r="J202" s="247" t="s">
        <v>1482</v>
      </c>
      <c r="K202" s="247" t="s">
        <v>1488</v>
      </c>
      <c r="L202" s="247" t="s">
        <v>1861</v>
      </c>
      <c r="M202" s="247" t="s">
        <v>1873</v>
      </c>
      <c r="N202" s="247" t="s">
        <v>1901</v>
      </c>
      <c r="O202" s="247" t="s">
        <v>1910</v>
      </c>
      <c r="P202" s="247" t="s">
        <v>1918</v>
      </c>
      <c r="Q202" s="247" t="s">
        <v>1994</v>
      </c>
      <c r="R202" s="247" t="s">
        <v>2010</v>
      </c>
      <c r="S202" s="247" t="s">
        <v>2018</v>
      </c>
      <c r="T202" s="247" t="s">
        <v>2042</v>
      </c>
      <c r="U202" s="247" t="s">
        <v>2048</v>
      </c>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61"/>
    </row>
    <row r="203" spans="1:47" ht="60" customHeight="1" x14ac:dyDescent="0.35">
      <c r="A203" s="257" t="s">
        <v>6251</v>
      </c>
      <c r="B203" s="235" t="s">
        <v>6252</v>
      </c>
      <c r="C203" s="236" t="s">
        <v>6256</v>
      </c>
      <c r="D203" s="239" t="s">
        <v>6257</v>
      </c>
      <c r="E203" s="240" t="s">
        <v>6131</v>
      </c>
      <c r="F203" s="243" t="s">
        <v>6255</v>
      </c>
      <c r="G203" s="246" t="str">
        <f>IF(COUNTIF(H203:AU203,"&lt;&gt;")=0,"",SUMPRODUCT(((Recommendations[ImplStatus]="Implemented")+(Recommendations[ImplStatus]="Compensated"))*ISNUMBER(MATCH(Recommendations[Id],H203:AU203,0)))/COUNTIF(H203:AU203,"&lt;&gt;"))</f>
        <v/>
      </c>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61"/>
    </row>
    <row r="204" spans="1:47" ht="60" customHeight="1" x14ac:dyDescent="0.35">
      <c r="A204" s="257" t="s">
        <v>6251</v>
      </c>
      <c r="B204" s="235" t="s">
        <v>6252</v>
      </c>
      <c r="C204" s="236" t="s">
        <v>6258</v>
      </c>
      <c r="D204" s="239" t="s">
        <v>6259</v>
      </c>
      <c r="E204" s="240" t="s">
        <v>6131</v>
      </c>
      <c r="F204" s="243" t="s">
        <v>6255</v>
      </c>
      <c r="G204" s="246" t="str">
        <f>IF(COUNTIF(H204:AU204,"&lt;&gt;")=0,"",SUMPRODUCT(((Recommendations[ImplStatus]="Implemented")+(Recommendations[ImplStatus]="Compensated"))*ISNUMBER(MATCH(Recommendations[Id],H204:AU204,0)))/COUNTIF(H204:AU204,"&lt;&gt;"))</f>
        <v/>
      </c>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61"/>
    </row>
    <row r="205" spans="1:47" ht="60" customHeight="1" x14ac:dyDescent="0.35">
      <c r="A205" s="257" t="s">
        <v>6251</v>
      </c>
      <c r="B205" s="235" t="s">
        <v>6252</v>
      </c>
      <c r="C205" s="236" t="s">
        <v>6260</v>
      </c>
      <c r="D205" s="239" t="s">
        <v>6261</v>
      </c>
      <c r="E205" s="240" t="s">
        <v>6131</v>
      </c>
      <c r="F205" s="243" t="s">
        <v>6255</v>
      </c>
      <c r="G205" s="246">
        <f>IF(COUNTIF(H205:AU205,"&lt;&gt;")=0,"",SUMPRODUCT(((Recommendations[ImplStatus]="Implemented")+(Recommendations[ImplStatus]="Compensated"))*ISNUMBER(MATCH(Recommendations[Id],H205:AU205,0)))/COUNTIF(H205:AU205,"&lt;&gt;"))</f>
        <v>0</v>
      </c>
      <c r="H205" s="247" t="s">
        <v>1457</v>
      </c>
      <c r="I205" s="247" t="s">
        <v>1470</v>
      </c>
      <c r="J205" s="247" t="s">
        <v>1482</v>
      </c>
      <c r="K205" s="247" t="s">
        <v>1873</v>
      </c>
      <c r="L205" s="247" t="s">
        <v>1884</v>
      </c>
      <c r="M205" s="247" t="s">
        <v>1901</v>
      </c>
      <c r="N205" s="247" t="s">
        <v>1910</v>
      </c>
      <c r="O205" s="247" t="s">
        <v>1964</v>
      </c>
      <c r="P205" s="247" t="s">
        <v>2018</v>
      </c>
      <c r="Q205" s="247" t="s">
        <v>2022</v>
      </c>
      <c r="R205" s="247" t="s">
        <v>2036</v>
      </c>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61"/>
    </row>
    <row r="206" spans="1:47" ht="60" customHeight="1" x14ac:dyDescent="0.35">
      <c r="A206" s="257" t="s">
        <v>6251</v>
      </c>
      <c r="B206" s="235" t="s">
        <v>6252</v>
      </c>
      <c r="C206" s="236" t="s">
        <v>6262</v>
      </c>
      <c r="D206" s="239" t="s">
        <v>6263</v>
      </c>
      <c r="E206" s="240" t="s">
        <v>6131</v>
      </c>
      <c r="F206" s="243" t="s">
        <v>6255</v>
      </c>
      <c r="G206" s="246">
        <f>IF(COUNTIF(H206:AU206,"&lt;&gt;")=0,"",SUMPRODUCT(((Recommendations[ImplStatus]="Implemented")+(Recommendations[ImplStatus]="Compensated"))*ISNUMBER(MATCH(Recommendations[Id],H206:AU206,0)))/COUNTIF(H206:AU206,"&lt;&gt;"))</f>
        <v>0</v>
      </c>
      <c r="H206" s="247" t="s">
        <v>1892</v>
      </c>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61"/>
    </row>
    <row r="207" spans="1:47" ht="60" customHeight="1" x14ac:dyDescent="0.35">
      <c r="A207" s="257" t="s">
        <v>6251</v>
      </c>
      <c r="B207" s="235" t="s">
        <v>6252</v>
      </c>
      <c r="C207" s="236" t="s">
        <v>6264</v>
      </c>
      <c r="D207" s="239" t="s">
        <v>6265</v>
      </c>
      <c r="E207" s="240" t="s">
        <v>5996</v>
      </c>
      <c r="F207" s="243" t="s">
        <v>6255</v>
      </c>
      <c r="G207" s="246">
        <f>IF(COUNTIF(H207:AU207,"&lt;&gt;")=0,"",SUMPRODUCT(((Recommendations[ImplStatus]="Implemented")+(Recommendations[ImplStatus]="Compensated"))*ISNUMBER(MATCH(Recommendations[Id],H207:AU207,0)))/COUNTIF(H207:AU207,"&lt;&gt;"))</f>
        <v>0</v>
      </c>
      <c r="H207" s="247" t="s">
        <v>320</v>
      </c>
      <c r="I207" s="247" t="s">
        <v>2497</v>
      </c>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61"/>
    </row>
    <row r="208" spans="1:47" ht="60" customHeight="1" x14ac:dyDescent="0.35">
      <c r="A208" s="257" t="s">
        <v>6251</v>
      </c>
      <c r="B208" s="235" t="s">
        <v>6252</v>
      </c>
      <c r="C208" s="236" t="s">
        <v>6266</v>
      </c>
      <c r="D208" s="239" t="s">
        <v>6267</v>
      </c>
      <c r="E208" s="240" t="s">
        <v>5996</v>
      </c>
      <c r="F208" s="243" t="s">
        <v>6255</v>
      </c>
      <c r="G208" s="246" t="str">
        <f>IF(COUNTIF(H208:AU208,"&lt;&gt;")=0,"",SUMPRODUCT(((Recommendations[ImplStatus]="Implemented")+(Recommendations[ImplStatus]="Compensated"))*ISNUMBER(MATCH(Recommendations[Id],H208:AU208,0)))/COUNTIF(H208:AU208,"&lt;&gt;"))</f>
        <v/>
      </c>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61"/>
    </row>
    <row r="209" spans="1:47" ht="60" customHeight="1" x14ac:dyDescent="0.35">
      <c r="A209" s="257" t="s">
        <v>6251</v>
      </c>
      <c r="B209" s="235" t="s">
        <v>6252</v>
      </c>
      <c r="C209" s="236" t="s">
        <v>6268</v>
      </c>
      <c r="D209" s="239" t="s">
        <v>6269</v>
      </c>
      <c r="E209" s="240" t="s">
        <v>6131</v>
      </c>
      <c r="F209" s="243" t="s">
        <v>6255</v>
      </c>
      <c r="G209" s="246" t="str">
        <f>IF(COUNTIF(H209:AU209,"&lt;&gt;")=0,"",SUMPRODUCT(((Recommendations[ImplStatus]="Implemented")+(Recommendations[ImplStatus]="Compensated"))*ISNUMBER(MATCH(Recommendations[Id],H209:AU209,0)))/COUNTIF(H209:AU209,"&lt;&gt;"))</f>
        <v/>
      </c>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61"/>
    </row>
    <row r="210" spans="1:47" ht="60" customHeight="1" x14ac:dyDescent="0.35">
      <c r="A210" s="257" t="s">
        <v>6251</v>
      </c>
      <c r="B210" s="235" t="s">
        <v>6252</v>
      </c>
      <c r="C210" s="236" t="s">
        <v>6270</v>
      </c>
      <c r="D210" s="239" t="s">
        <v>6271</v>
      </c>
      <c r="E210" s="240" t="s">
        <v>5881</v>
      </c>
      <c r="F210" s="243" t="s">
        <v>6272</v>
      </c>
      <c r="G210" s="246">
        <f>IF(COUNTIF(H210:AU210,"&lt;&gt;")=0,"",SUMPRODUCT(((Recommendations[ImplStatus]="Implemented")+(Recommendations[ImplStatus]="Compensated"))*ISNUMBER(MATCH(Recommendations[Id],H210:AU210,0)))/COUNTIF(H210:AU210,"&lt;&gt;"))</f>
        <v>0</v>
      </c>
      <c r="H210" s="247" t="s">
        <v>2144</v>
      </c>
      <c r="I210" s="247" t="s">
        <v>2160</v>
      </c>
      <c r="J210" s="247" t="s">
        <v>2168</v>
      </c>
      <c r="K210" s="247" t="s">
        <v>2180</v>
      </c>
      <c r="L210" s="247" t="s">
        <v>2196</v>
      </c>
      <c r="M210" s="247" t="s">
        <v>2204</v>
      </c>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61"/>
    </row>
    <row r="211" spans="1:47" ht="60" customHeight="1" x14ac:dyDescent="0.35">
      <c r="A211" s="257" t="s">
        <v>6251</v>
      </c>
      <c r="B211" s="235" t="s">
        <v>6252</v>
      </c>
      <c r="C211" s="236" t="s">
        <v>6273</v>
      </c>
      <c r="D211" s="239" t="s">
        <v>6274</v>
      </c>
      <c r="E211" s="240" t="s">
        <v>5881</v>
      </c>
      <c r="F211" s="243" t="s">
        <v>6272</v>
      </c>
      <c r="G211" s="246">
        <f>IF(COUNTIF(H211:AU211,"&lt;&gt;")=0,"",SUMPRODUCT(((Recommendations[ImplStatus]="Implemented")+(Recommendations[ImplStatus]="Compensated"))*ISNUMBER(MATCH(Recommendations[Id],H211:AU211,0)))/COUNTIF(H211:AU211,"&lt;&gt;"))</f>
        <v>0</v>
      </c>
      <c r="H211" s="247" t="s">
        <v>2160</v>
      </c>
      <c r="I211" s="247" t="s">
        <v>2168</v>
      </c>
      <c r="J211" s="247" t="s">
        <v>2204</v>
      </c>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61"/>
    </row>
    <row r="212" spans="1:47" ht="60" customHeight="1" x14ac:dyDescent="0.35">
      <c r="A212" s="257" t="s">
        <v>6251</v>
      </c>
      <c r="B212" s="235" t="s">
        <v>6252</v>
      </c>
      <c r="C212" s="236" t="s">
        <v>6275</v>
      </c>
      <c r="D212" s="239" t="s">
        <v>6276</v>
      </c>
      <c r="E212" s="240" t="s">
        <v>5948</v>
      </c>
      <c r="F212" s="243" t="s">
        <v>6277</v>
      </c>
      <c r="G212" s="246">
        <f>IF(COUNTIF(H212:AU212,"&lt;&gt;")=0,"",SUMPRODUCT(((Recommendations[ImplStatus]="Implemented")+(Recommendations[ImplStatus]="Compensated"))*ISNUMBER(MATCH(Recommendations[Id],H212:AU212,0)))/COUNTIF(H212:AU212,"&lt;&gt;"))</f>
        <v>0</v>
      </c>
      <c r="H212" s="247" t="s">
        <v>456</v>
      </c>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61"/>
    </row>
    <row r="213" spans="1:47" ht="60" customHeight="1" x14ac:dyDescent="0.35">
      <c r="A213" s="257" t="s">
        <v>6251</v>
      </c>
      <c r="B213" s="235" t="s">
        <v>6252</v>
      </c>
      <c r="C213" s="236" t="s">
        <v>6278</v>
      </c>
      <c r="D213" s="239" t="s">
        <v>6279</v>
      </c>
      <c r="E213" s="240" t="s">
        <v>5881</v>
      </c>
      <c r="F213" s="243" t="s">
        <v>6280</v>
      </c>
      <c r="G213" s="246" t="str">
        <f>IF(COUNTIF(H213:AU213,"&lt;&gt;")=0,"",SUMPRODUCT(((Recommendations[ImplStatus]="Implemented")+(Recommendations[ImplStatus]="Compensated"))*ISNUMBER(MATCH(Recommendations[Id],H213:AU213,0)))/COUNTIF(H213:AU213,"&lt;&gt;"))</f>
        <v/>
      </c>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61"/>
    </row>
    <row r="214" spans="1:47" ht="60" customHeight="1" x14ac:dyDescent="0.35">
      <c r="A214" s="257" t="s">
        <v>6251</v>
      </c>
      <c r="B214" s="235" t="s">
        <v>6252</v>
      </c>
      <c r="C214" s="236" t="s">
        <v>6281</v>
      </c>
      <c r="D214" s="239" t="s">
        <v>6282</v>
      </c>
      <c r="E214" s="240" t="s">
        <v>5948</v>
      </c>
      <c r="F214" s="243" t="s">
        <v>6283</v>
      </c>
      <c r="G214" s="246">
        <f>IF(COUNTIF(H214:AU214,"&lt;&gt;")=0,"",SUMPRODUCT(((Recommendations[ImplStatus]="Implemented")+(Recommendations[ImplStatus]="Compensated"))*ISNUMBER(MATCH(Recommendations[Id],H214:AU214,0)))/COUNTIF(H214:AU214,"&lt;&gt;"))</f>
        <v>0</v>
      </c>
      <c r="H214" s="247" t="s">
        <v>1755</v>
      </c>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61"/>
    </row>
    <row r="215" spans="1:47" ht="60" customHeight="1" x14ac:dyDescent="0.35">
      <c r="A215" s="257" t="s">
        <v>6251</v>
      </c>
      <c r="B215" s="235" t="s">
        <v>6252</v>
      </c>
      <c r="C215" s="236" t="s">
        <v>6284</v>
      </c>
      <c r="D215" s="239" t="s">
        <v>6285</v>
      </c>
      <c r="E215" s="240" t="s">
        <v>5852</v>
      </c>
      <c r="F215" s="243" t="s">
        <v>6283</v>
      </c>
      <c r="G215" s="246" t="str">
        <f>IF(COUNTIF(H215:AU215,"&lt;&gt;")=0,"",SUMPRODUCT(((Recommendations[ImplStatus]="Implemented")+(Recommendations[ImplStatus]="Compensated"))*ISNUMBER(MATCH(Recommendations[Id],H215:AU215,0)))/COUNTIF(H215:AU215,"&lt;&gt;"))</f>
        <v/>
      </c>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61"/>
    </row>
    <row r="216" spans="1:47" ht="60" customHeight="1" x14ac:dyDescent="0.35">
      <c r="A216" s="257" t="s">
        <v>6251</v>
      </c>
      <c r="B216" s="235" t="s">
        <v>6252</v>
      </c>
      <c r="C216" s="236" t="s">
        <v>6286</v>
      </c>
      <c r="D216" s="239" t="s">
        <v>6287</v>
      </c>
      <c r="E216" s="240" t="s">
        <v>5852</v>
      </c>
      <c r="F216" s="243" t="s">
        <v>6283</v>
      </c>
      <c r="G216" s="246" t="str">
        <f>IF(COUNTIF(H216:AU216,"&lt;&gt;")=0,"",SUMPRODUCT(((Recommendations[ImplStatus]="Implemented")+(Recommendations[ImplStatus]="Compensated"))*ISNUMBER(MATCH(Recommendations[Id],H216:AU216,0)))/COUNTIF(H216:AU216,"&lt;&gt;"))</f>
        <v/>
      </c>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61"/>
    </row>
    <row r="217" spans="1:47" ht="60" customHeight="1" x14ac:dyDescent="0.35">
      <c r="A217" s="257" t="s">
        <v>6251</v>
      </c>
      <c r="B217" s="235" t="s">
        <v>6252</v>
      </c>
      <c r="C217" s="236" t="s">
        <v>6288</v>
      </c>
      <c r="D217" s="239" t="s">
        <v>6289</v>
      </c>
      <c r="E217" s="240" t="s">
        <v>5881</v>
      </c>
      <c r="F217" s="243" t="s">
        <v>6283</v>
      </c>
      <c r="G217" s="246" t="str">
        <f>IF(COUNTIF(H217:AU217,"&lt;&gt;")=0,"",SUMPRODUCT(((Recommendations[ImplStatus]="Implemented")+(Recommendations[ImplStatus]="Compensated"))*ISNUMBER(MATCH(Recommendations[Id],H217:AU217,0)))/COUNTIF(H217:AU217,"&lt;&gt;"))</f>
        <v/>
      </c>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61"/>
    </row>
    <row r="218" spans="1:47" ht="60" customHeight="1" x14ac:dyDescent="0.35">
      <c r="A218" s="257" t="s">
        <v>6251</v>
      </c>
      <c r="B218" s="235" t="s">
        <v>6252</v>
      </c>
      <c r="C218" s="236" t="s">
        <v>6290</v>
      </c>
      <c r="D218" s="239" t="s">
        <v>6291</v>
      </c>
      <c r="E218" s="240" t="s">
        <v>5881</v>
      </c>
      <c r="F218" s="243" t="s">
        <v>6283</v>
      </c>
      <c r="G218" s="246" t="str">
        <f>IF(COUNTIF(H218:AU218,"&lt;&gt;")=0,"",SUMPRODUCT(((Recommendations[ImplStatus]="Implemented")+(Recommendations[ImplStatus]="Compensated"))*ISNUMBER(MATCH(Recommendations[Id],H218:AU218,0)))/COUNTIF(H218:AU218,"&lt;&gt;"))</f>
        <v/>
      </c>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61"/>
    </row>
    <row r="219" spans="1:47" ht="60" customHeight="1" x14ac:dyDescent="0.35">
      <c r="A219" s="257" t="s">
        <v>6251</v>
      </c>
      <c r="B219" s="235" t="s">
        <v>6252</v>
      </c>
      <c r="C219" s="236" t="s">
        <v>6292</v>
      </c>
      <c r="D219" s="239" t="s">
        <v>6293</v>
      </c>
      <c r="E219" s="240" t="s">
        <v>5881</v>
      </c>
      <c r="F219" s="243" t="s">
        <v>6283</v>
      </c>
      <c r="G219" s="246" t="str">
        <f>IF(COUNTIF(H219:AU219,"&lt;&gt;")=0,"",SUMPRODUCT(((Recommendations[ImplStatus]="Implemented")+(Recommendations[ImplStatus]="Compensated"))*ISNUMBER(MATCH(Recommendations[Id],H219:AU219,0)))/COUNTIF(H219:AU219,"&lt;&gt;"))</f>
        <v/>
      </c>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61"/>
    </row>
    <row r="220" spans="1:47" ht="60" customHeight="1" x14ac:dyDescent="0.35">
      <c r="A220" s="257" t="s">
        <v>6251</v>
      </c>
      <c r="B220" s="235" t="s">
        <v>6252</v>
      </c>
      <c r="C220" s="236" t="s">
        <v>6294</v>
      </c>
      <c r="D220" s="239" t="s">
        <v>6295</v>
      </c>
      <c r="E220" s="240" t="s">
        <v>5881</v>
      </c>
      <c r="F220" s="243" t="s">
        <v>6283</v>
      </c>
      <c r="G220" s="246" t="str">
        <f>IF(COUNTIF(H220:AU220,"&lt;&gt;")=0,"",SUMPRODUCT(((Recommendations[ImplStatus]="Implemented")+(Recommendations[ImplStatus]="Compensated"))*ISNUMBER(MATCH(Recommendations[Id],H220:AU220,0)))/COUNTIF(H220:AU220,"&lt;&gt;"))</f>
        <v/>
      </c>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61"/>
    </row>
    <row r="221" spans="1:47" ht="60" customHeight="1" outlineLevel="2" x14ac:dyDescent="0.35">
      <c r="A221" s="256" t="s">
        <v>6251</v>
      </c>
      <c r="B221" s="234" t="s">
        <v>6296</v>
      </c>
      <c r="C221" s="234"/>
      <c r="D221" s="238"/>
      <c r="E221" s="234"/>
      <c r="F221" s="242"/>
      <c r="G221" s="245" t="str">
        <f>IF(COUNTIF(H221:AU221,"&lt;&gt;")=0,"",SUMPRODUCT(((Recommendations[ImplStatus]="Implemented")+(Recommendations[ImplStatus]="Compensated"))*ISNUMBER(MATCH(Recommendations[Id],H221:AU221,0)))/COUNTIF(H221:AU221,"&lt;&gt;"))</f>
        <v/>
      </c>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60"/>
    </row>
    <row r="222" spans="1:47" ht="60" customHeight="1" x14ac:dyDescent="0.35">
      <c r="A222" s="257" t="s">
        <v>6251</v>
      </c>
      <c r="B222" s="235" t="s">
        <v>6296</v>
      </c>
      <c r="C222" s="236" t="s">
        <v>6297</v>
      </c>
      <c r="D222" s="239" t="s">
        <v>6298</v>
      </c>
      <c r="E222" s="240" t="s">
        <v>5948</v>
      </c>
      <c r="F222" s="243" t="s">
        <v>6299</v>
      </c>
      <c r="G222" s="246" t="str">
        <f>IF(COUNTIF(H222:AU222,"&lt;&gt;")=0,"",SUMPRODUCT(((Recommendations[ImplStatus]="Implemented")+(Recommendations[ImplStatus]="Compensated"))*ISNUMBER(MATCH(Recommendations[Id],H222:AU222,0)))/COUNTIF(H222:AU222,"&lt;&gt;"))</f>
        <v/>
      </c>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61"/>
    </row>
    <row r="223" spans="1:47" ht="60" customHeight="1" x14ac:dyDescent="0.35">
      <c r="A223" s="257" t="s">
        <v>6251</v>
      </c>
      <c r="B223" s="235" t="s">
        <v>6296</v>
      </c>
      <c r="C223" s="236" t="s">
        <v>6300</v>
      </c>
      <c r="D223" s="239" t="s">
        <v>6301</v>
      </c>
      <c r="E223" s="240" t="s">
        <v>5948</v>
      </c>
      <c r="F223" s="243" t="s">
        <v>6299</v>
      </c>
      <c r="G223" s="246" t="str">
        <f>IF(COUNTIF(H223:AU223,"&lt;&gt;")=0,"",SUMPRODUCT(((Recommendations[ImplStatus]="Implemented")+(Recommendations[ImplStatus]="Compensated"))*ISNUMBER(MATCH(Recommendations[Id],H223:AU223,0)))/COUNTIF(H223:AU223,"&lt;&gt;"))</f>
        <v/>
      </c>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61"/>
    </row>
    <row r="224" spans="1:47" ht="60" customHeight="1" x14ac:dyDescent="0.35">
      <c r="A224" s="257" t="s">
        <v>6251</v>
      </c>
      <c r="B224" s="235" t="s">
        <v>6296</v>
      </c>
      <c r="C224" s="236" t="s">
        <v>6302</v>
      </c>
      <c r="D224" s="239" t="s">
        <v>6303</v>
      </c>
      <c r="E224" s="240" t="s">
        <v>5948</v>
      </c>
      <c r="F224" s="243" t="s">
        <v>6299</v>
      </c>
      <c r="G224" s="246" t="str">
        <f>IF(COUNTIF(H224:AU224,"&lt;&gt;")=0,"",SUMPRODUCT(((Recommendations[ImplStatus]="Implemented")+(Recommendations[ImplStatus]="Compensated"))*ISNUMBER(MATCH(Recommendations[Id],H224:AU224,0)))/COUNTIF(H224:AU224,"&lt;&gt;"))</f>
        <v/>
      </c>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61"/>
    </row>
    <row r="225" spans="1:47" ht="60" customHeight="1" x14ac:dyDescent="0.35">
      <c r="A225" s="257" t="s">
        <v>6251</v>
      </c>
      <c r="B225" s="235" t="s">
        <v>6296</v>
      </c>
      <c r="C225" s="236" t="s">
        <v>6304</v>
      </c>
      <c r="D225" s="239" t="s">
        <v>6305</v>
      </c>
      <c r="E225" s="240" t="s">
        <v>5948</v>
      </c>
      <c r="F225" s="243" t="s">
        <v>6299</v>
      </c>
      <c r="G225" s="246" t="str">
        <f>IF(COUNTIF(H225:AU225,"&lt;&gt;")=0,"",SUMPRODUCT(((Recommendations[ImplStatus]="Implemented")+(Recommendations[ImplStatus]="Compensated"))*ISNUMBER(MATCH(Recommendations[Id],H225:AU225,0)))/COUNTIF(H225:AU225,"&lt;&gt;"))</f>
        <v/>
      </c>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61"/>
    </row>
    <row r="226" spans="1:47" ht="60" customHeight="1" x14ac:dyDescent="0.35">
      <c r="A226" s="257" t="s">
        <v>6251</v>
      </c>
      <c r="B226" s="235" t="s">
        <v>6296</v>
      </c>
      <c r="C226" s="236" t="s">
        <v>6306</v>
      </c>
      <c r="D226" s="239" t="s">
        <v>6307</v>
      </c>
      <c r="E226" s="240" t="s">
        <v>5948</v>
      </c>
      <c r="F226" s="243" t="s">
        <v>6299</v>
      </c>
      <c r="G226" s="246" t="str">
        <f>IF(COUNTIF(H226:AU226,"&lt;&gt;")=0,"",SUMPRODUCT(((Recommendations[ImplStatus]="Implemented")+(Recommendations[ImplStatus]="Compensated"))*ISNUMBER(MATCH(Recommendations[Id],H226:AU226,0)))/COUNTIF(H226:AU226,"&lt;&gt;"))</f>
        <v/>
      </c>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61"/>
    </row>
    <row r="227" spans="1:47" ht="60" customHeight="1" x14ac:dyDescent="0.35">
      <c r="A227" s="257" t="s">
        <v>6251</v>
      </c>
      <c r="B227" s="235" t="s">
        <v>6296</v>
      </c>
      <c r="C227" s="236" t="s">
        <v>6308</v>
      </c>
      <c r="D227" s="239" t="s">
        <v>6309</v>
      </c>
      <c r="E227" s="240" t="s">
        <v>5948</v>
      </c>
      <c r="F227" s="243" t="s">
        <v>6299</v>
      </c>
      <c r="G227" s="246" t="str">
        <f>IF(COUNTIF(H227:AU227,"&lt;&gt;")=0,"",SUMPRODUCT(((Recommendations[ImplStatus]="Implemented")+(Recommendations[ImplStatus]="Compensated"))*ISNUMBER(MATCH(Recommendations[Id],H227:AU227,0)))/COUNTIF(H227:AU227,"&lt;&gt;"))</f>
        <v/>
      </c>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61"/>
    </row>
    <row r="228" spans="1:47" ht="60" customHeight="1" x14ac:dyDescent="0.35">
      <c r="A228" s="257" t="s">
        <v>6251</v>
      </c>
      <c r="B228" s="235" t="s">
        <v>6296</v>
      </c>
      <c r="C228" s="236" t="s">
        <v>6310</v>
      </c>
      <c r="D228" s="239" t="s">
        <v>6311</v>
      </c>
      <c r="E228" s="240" t="s">
        <v>5948</v>
      </c>
      <c r="F228" s="243" t="s">
        <v>6299</v>
      </c>
      <c r="G228" s="246" t="str">
        <f>IF(COUNTIF(H228:AU228,"&lt;&gt;")=0,"",SUMPRODUCT(((Recommendations[ImplStatus]="Implemented")+(Recommendations[ImplStatus]="Compensated"))*ISNUMBER(MATCH(Recommendations[Id],H228:AU228,0)))/COUNTIF(H228:AU228,"&lt;&gt;"))</f>
        <v/>
      </c>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61"/>
    </row>
    <row r="229" spans="1:47" ht="60" customHeight="1" x14ac:dyDescent="0.35">
      <c r="A229" s="257" t="s">
        <v>6251</v>
      </c>
      <c r="B229" s="235" t="s">
        <v>6296</v>
      </c>
      <c r="C229" s="236" t="s">
        <v>6312</v>
      </c>
      <c r="D229" s="239" t="s">
        <v>6313</v>
      </c>
      <c r="E229" s="240" t="s">
        <v>5852</v>
      </c>
      <c r="F229" s="243" t="s">
        <v>6299</v>
      </c>
      <c r="G229" s="246" t="str">
        <f>IF(COUNTIF(H229:AU229,"&lt;&gt;")=0,"",SUMPRODUCT(((Recommendations[ImplStatus]="Implemented")+(Recommendations[ImplStatus]="Compensated"))*ISNUMBER(MATCH(Recommendations[Id],H229:AU229,0)))/COUNTIF(H229:AU229,"&lt;&gt;"))</f>
        <v/>
      </c>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61"/>
    </row>
    <row r="230" spans="1:47" ht="60" customHeight="1" x14ac:dyDescent="0.35">
      <c r="A230" s="257" t="s">
        <v>6251</v>
      </c>
      <c r="B230" s="235" t="s">
        <v>6296</v>
      </c>
      <c r="C230" s="236" t="s">
        <v>6314</v>
      </c>
      <c r="D230" s="239" t="s">
        <v>6315</v>
      </c>
      <c r="E230" s="240" t="s">
        <v>5852</v>
      </c>
      <c r="F230" s="243" t="s">
        <v>6299</v>
      </c>
      <c r="G230" s="246" t="str">
        <f>IF(COUNTIF(H230:AU230,"&lt;&gt;")=0,"",SUMPRODUCT(((Recommendations[ImplStatus]="Implemented")+(Recommendations[ImplStatus]="Compensated"))*ISNUMBER(MATCH(Recommendations[Id],H230:AU230,0)))/COUNTIF(H230:AU230,"&lt;&gt;"))</f>
        <v/>
      </c>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61"/>
    </row>
    <row r="231" spans="1:47" ht="60" customHeight="1" x14ac:dyDescent="0.35">
      <c r="A231" s="257" t="s">
        <v>6251</v>
      </c>
      <c r="B231" s="235" t="s">
        <v>6296</v>
      </c>
      <c r="C231" s="236" t="s">
        <v>6316</v>
      </c>
      <c r="D231" s="239" t="s">
        <v>6317</v>
      </c>
      <c r="E231" s="240" t="s">
        <v>5948</v>
      </c>
      <c r="F231" s="243" t="s">
        <v>6318</v>
      </c>
      <c r="G231" s="246">
        <f>IF(COUNTIF(H231:AU231,"&lt;&gt;")=0,"",SUMPRODUCT(((Recommendations[ImplStatus]="Implemented")+(Recommendations[ImplStatus]="Compensated"))*ISNUMBER(MATCH(Recommendations[Id],H231:AU231,0)))/COUNTIF(H231:AU231,"&lt;&gt;"))</f>
        <v>0</v>
      </c>
      <c r="H231" s="247" t="s">
        <v>1927</v>
      </c>
      <c r="I231" s="247" t="s">
        <v>1931</v>
      </c>
      <c r="J231" s="247" t="s">
        <v>1934</v>
      </c>
      <c r="K231" s="247" t="s">
        <v>1937</v>
      </c>
      <c r="L231" s="247" t="s">
        <v>1940</v>
      </c>
      <c r="M231" s="247" t="s">
        <v>1943</v>
      </c>
      <c r="N231" s="247" t="s">
        <v>1946</v>
      </c>
      <c r="O231" s="247" t="s">
        <v>1949</v>
      </c>
      <c r="P231" s="247" t="s">
        <v>1952</v>
      </c>
      <c r="Q231" s="247" t="s">
        <v>1955</v>
      </c>
      <c r="R231" s="247" t="s">
        <v>1958</v>
      </c>
      <c r="S231" s="247" t="s">
        <v>1961</v>
      </c>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61"/>
    </row>
    <row r="232" spans="1:47" ht="60" customHeight="1" x14ac:dyDescent="0.35">
      <c r="A232" s="257" t="s">
        <v>6251</v>
      </c>
      <c r="B232" s="235" t="s">
        <v>6296</v>
      </c>
      <c r="C232" s="236" t="s">
        <v>6319</v>
      </c>
      <c r="D232" s="239" t="s">
        <v>6320</v>
      </c>
      <c r="E232" s="240" t="s">
        <v>5948</v>
      </c>
      <c r="F232" s="243" t="s">
        <v>6318</v>
      </c>
      <c r="G232" s="246" t="str">
        <f>IF(COUNTIF(H232:AU232,"&lt;&gt;")=0,"",SUMPRODUCT(((Recommendations[ImplStatus]="Implemented")+(Recommendations[ImplStatus]="Compensated"))*ISNUMBER(MATCH(Recommendations[Id],H232:AU232,0)))/COUNTIF(H232:AU232,"&lt;&gt;"))</f>
        <v/>
      </c>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61"/>
    </row>
    <row r="233" spans="1:47" ht="60" customHeight="1" x14ac:dyDescent="0.35">
      <c r="A233" s="257" t="s">
        <v>6251</v>
      </c>
      <c r="B233" s="235" t="s">
        <v>6296</v>
      </c>
      <c r="C233" s="236" t="s">
        <v>6321</v>
      </c>
      <c r="D233" s="239" t="s">
        <v>6322</v>
      </c>
      <c r="E233" s="240" t="s">
        <v>5881</v>
      </c>
      <c r="F233" s="243" t="s">
        <v>6318</v>
      </c>
      <c r="G233" s="246" t="str">
        <f>IF(COUNTIF(H233:AU233,"&lt;&gt;")=0,"",SUMPRODUCT(((Recommendations[ImplStatus]="Implemented")+(Recommendations[ImplStatus]="Compensated"))*ISNUMBER(MATCH(Recommendations[Id],H233:AU233,0)))/COUNTIF(H233:AU233,"&lt;&gt;"))</f>
        <v/>
      </c>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61"/>
    </row>
    <row r="234" spans="1:47" ht="60" customHeight="1" x14ac:dyDescent="0.35">
      <c r="A234" s="257" t="s">
        <v>6251</v>
      </c>
      <c r="B234" s="235" t="s">
        <v>6296</v>
      </c>
      <c r="C234" s="236" t="s">
        <v>6323</v>
      </c>
      <c r="D234" s="239" t="s">
        <v>6324</v>
      </c>
      <c r="E234" s="240" t="s">
        <v>5881</v>
      </c>
      <c r="F234" s="243" t="s">
        <v>6318</v>
      </c>
      <c r="G234" s="246" t="str">
        <f>IF(COUNTIF(H234:AU234,"&lt;&gt;")=0,"",SUMPRODUCT(((Recommendations[ImplStatus]="Implemented")+(Recommendations[ImplStatus]="Compensated"))*ISNUMBER(MATCH(Recommendations[Id],H234:AU234,0)))/COUNTIF(H234:AU234,"&lt;&gt;"))</f>
        <v/>
      </c>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61"/>
    </row>
    <row r="235" spans="1:47" ht="60" customHeight="1" x14ac:dyDescent="0.35">
      <c r="A235" s="257" t="s">
        <v>6251</v>
      </c>
      <c r="B235" s="235" t="s">
        <v>6296</v>
      </c>
      <c r="C235" s="236" t="s">
        <v>6325</v>
      </c>
      <c r="D235" s="239" t="s">
        <v>6326</v>
      </c>
      <c r="E235" s="240" t="s">
        <v>5948</v>
      </c>
      <c r="F235" s="243" t="s">
        <v>6318</v>
      </c>
      <c r="G235" s="246" t="str">
        <f>IF(COUNTIF(H235:AU235,"&lt;&gt;")=0,"",SUMPRODUCT(((Recommendations[ImplStatus]="Implemented")+(Recommendations[ImplStatus]="Compensated"))*ISNUMBER(MATCH(Recommendations[Id],H235:AU235,0)))/COUNTIF(H235:AU235,"&lt;&gt;"))</f>
        <v/>
      </c>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61"/>
    </row>
    <row r="236" spans="1:47" ht="60" customHeight="1" x14ac:dyDescent="0.35">
      <c r="A236" s="257" t="s">
        <v>6251</v>
      </c>
      <c r="B236" s="235" t="s">
        <v>6296</v>
      </c>
      <c r="C236" s="236" t="s">
        <v>6327</v>
      </c>
      <c r="D236" s="239" t="s">
        <v>6328</v>
      </c>
      <c r="E236" s="240" t="s">
        <v>5881</v>
      </c>
      <c r="F236" s="243" t="s">
        <v>6318</v>
      </c>
      <c r="G236" s="246" t="str">
        <f>IF(COUNTIF(H236:AU236,"&lt;&gt;")=0,"",SUMPRODUCT(((Recommendations[ImplStatus]="Implemented")+(Recommendations[ImplStatus]="Compensated"))*ISNUMBER(MATCH(Recommendations[Id],H236:AU236,0)))/COUNTIF(H236:AU236,"&lt;&gt;"))</f>
        <v/>
      </c>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61"/>
    </row>
    <row r="237" spans="1:47" ht="60" customHeight="1" outlineLevel="2" x14ac:dyDescent="0.35">
      <c r="A237" s="256" t="s">
        <v>6251</v>
      </c>
      <c r="B237" s="234" t="s">
        <v>4164</v>
      </c>
      <c r="C237" s="234"/>
      <c r="D237" s="238"/>
      <c r="E237" s="234"/>
      <c r="F237" s="242"/>
      <c r="G237" s="245" t="str">
        <f>IF(COUNTIF(H237:AU237,"&lt;&gt;")=0,"",SUMPRODUCT(((Recommendations[ImplStatus]="Implemented")+(Recommendations[ImplStatus]="Compensated"))*ISNUMBER(MATCH(Recommendations[Id],H237:AU237,0)))/COUNTIF(H237:AU237,"&lt;&gt;"))</f>
        <v/>
      </c>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242"/>
      <c r="AD237" s="242"/>
      <c r="AE237" s="242"/>
      <c r="AF237" s="242"/>
      <c r="AG237" s="242"/>
      <c r="AH237" s="242"/>
      <c r="AI237" s="242"/>
      <c r="AJ237" s="242"/>
      <c r="AK237" s="242"/>
      <c r="AL237" s="242"/>
      <c r="AM237" s="242"/>
      <c r="AN237" s="242"/>
      <c r="AO237" s="242"/>
      <c r="AP237" s="242"/>
      <c r="AQ237" s="242"/>
      <c r="AR237" s="242"/>
      <c r="AS237" s="242"/>
      <c r="AT237" s="242"/>
      <c r="AU237" s="260"/>
    </row>
    <row r="238" spans="1:47" ht="60" customHeight="1" x14ac:dyDescent="0.35">
      <c r="A238" s="257" t="s">
        <v>6251</v>
      </c>
      <c r="B238" s="235" t="s">
        <v>4164</v>
      </c>
      <c r="C238" s="236" t="s">
        <v>6329</v>
      </c>
      <c r="D238" s="239" t="s">
        <v>6330</v>
      </c>
      <c r="E238" s="240" t="s">
        <v>5852</v>
      </c>
      <c r="F238" s="243" t="s">
        <v>6331</v>
      </c>
      <c r="G238" s="246">
        <f>IF(COUNTIF(H238:AU238,"&lt;&gt;")=0,"",SUMPRODUCT(((Recommendations[ImplStatus]="Implemented")+(Recommendations[ImplStatus]="Compensated"))*ISNUMBER(MATCH(Recommendations[Id],H238:AU238,0)))/COUNTIF(H238:AU238,"&lt;&gt;"))</f>
        <v>0</v>
      </c>
      <c r="H238" s="247" t="s">
        <v>1982</v>
      </c>
      <c r="I238" s="247" t="s">
        <v>2004</v>
      </c>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61"/>
    </row>
    <row r="239" spans="1:47" ht="60" customHeight="1" x14ac:dyDescent="0.35">
      <c r="A239" s="257" t="s">
        <v>6251</v>
      </c>
      <c r="B239" s="235" t="s">
        <v>4164</v>
      </c>
      <c r="C239" s="236" t="s">
        <v>6332</v>
      </c>
      <c r="D239" s="239" t="s">
        <v>6333</v>
      </c>
      <c r="E239" s="240" t="s">
        <v>5852</v>
      </c>
      <c r="F239" s="243" t="s">
        <v>6331</v>
      </c>
      <c r="G239" s="246" t="str">
        <f>IF(COUNTIF(H239:AU239,"&lt;&gt;")=0,"",SUMPRODUCT(((Recommendations[ImplStatus]="Implemented")+(Recommendations[ImplStatus]="Compensated"))*ISNUMBER(MATCH(Recommendations[Id],H239:AU239,0)))/COUNTIF(H239:AU239,"&lt;&gt;"))</f>
        <v/>
      </c>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61"/>
    </row>
    <row r="240" spans="1:47" ht="60" customHeight="1" x14ac:dyDescent="0.35">
      <c r="A240" s="257" t="s">
        <v>6251</v>
      </c>
      <c r="B240" s="235" t="s">
        <v>4164</v>
      </c>
      <c r="C240" s="236" t="s">
        <v>6334</v>
      </c>
      <c r="D240" s="239" t="s">
        <v>6335</v>
      </c>
      <c r="E240" s="240" t="s">
        <v>5852</v>
      </c>
      <c r="F240" s="243" t="s">
        <v>6331</v>
      </c>
      <c r="G240" s="246" t="str">
        <f>IF(COUNTIF(H240:AU240,"&lt;&gt;")=0,"",SUMPRODUCT(((Recommendations[ImplStatus]="Implemented")+(Recommendations[ImplStatus]="Compensated"))*ISNUMBER(MATCH(Recommendations[Id],H240:AU240,0)))/COUNTIF(H240:AU240,"&lt;&gt;"))</f>
        <v/>
      </c>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61"/>
    </row>
    <row r="241" spans="1:47" ht="60" customHeight="1" x14ac:dyDescent="0.35">
      <c r="A241" s="257" t="s">
        <v>6251</v>
      </c>
      <c r="B241" s="235" t="s">
        <v>4164</v>
      </c>
      <c r="C241" s="236" t="s">
        <v>6336</v>
      </c>
      <c r="D241" s="239" t="s">
        <v>6337</v>
      </c>
      <c r="E241" s="240" t="s">
        <v>5852</v>
      </c>
      <c r="F241" s="243" t="s">
        <v>6331</v>
      </c>
      <c r="G241" s="246" t="str">
        <f>IF(COUNTIF(H241:AU241,"&lt;&gt;")=0,"",SUMPRODUCT(((Recommendations[ImplStatus]="Implemented")+(Recommendations[ImplStatus]="Compensated"))*ISNUMBER(MATCH(Recommendations[Id],H241:AU241,0)))/COUNTIF(H241:AU241,"&lt;&gt;"))</f>
        <v/>
      </c>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61"/>
    </row>
    <row r="242" spans="1:47" ht="60" customHeight="1" x14ac:dyDescent="0.35">
      <c r="A242" s="257" t="s">
        <v>6251</v>
      </c>
      <c r="B242" s="235" t="s">
        <v>4164</v>
      </c>
      <c r="C242" s="236" t="s">
        <v>6338</v>
      </c>
      <c r="D242" s="239" t="s">
        <v>6339</v>
      </c>
      <c r="E242" s="240" t="s">
        <v>5852</v>
      </c>
      <c r="F242" s="243" t="s">
        <v>6331</v>
      </c>
      <c r="G242" s="246">
        <f>IF(COUNTIF(H242:AU242,"&lt;&gt;")=0,"",SUMPRODUCT(((Recommendations[ImplStatus]="Implemented")+(Recommendations[ImplStatus]="Compensated"))*ISNUMBER(MATCH(Recommendations[Id],H242:AU242,0)))/COUNTIF(H242:AU242,"&lt;&gt;"))</f>
        <v>0</v>
      </c>
      <c r="H242" s="247" t="s">
        <v>59</v>
      </c>
      <c r="I242" s="247" t="s">
        <v>65</v>
      </c>
      <c r="J242" s="247" t="s">
        <v>2269</v>
      </c>
      <c r="K242" s="247" t="s">
        <v>2277</v>
      </c>
      <c r="L242" s="247" t="s">
        <v>2332</v>
      </c>
      <c r="M242" s="247" t="s">
        <v>2336</v>
      </c>
      <c r="N242" s="247" t="s">
        <v>2341</v>
      </c>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61"/>
    </row>
    <row r="243" spans="1:47" ht="60" customHeight="1" x14ac:dyDescent="0.35">
      <c r="A243" s="257" t="s">
        <v>6251</v>
      </c>
      <c r="B243" s="235" t="s">
        <v>4164</v>
      </c>
      <c r="C243" s="236" t="s">
        <v>6340</v>
      </c>
      <c r="D243" s="239" t="s">
        <v>6341</v>
      </c>
      <c r="E243" s="240" t="s">
        <v>5852</v>
      </c>
      <c r="F243" s="243" t="s">
        <v>6331</v>
      </c>
      <c r="G243" s="246" t="str">
        <f>IF(COUNTIF(H243:AU243,"&lt;&gt;")=0,"",SUMPRODUCT(((Recommendations[ImplStatus]="Implemented")+(Recommendations[ImplStatus]="Compensated"))*ISNUMBER(MATCH(Recommendations[Id],H243:AU243,0)))/COUNTIF(H243:AU243,"&lt;&gt;"))</f>
        <v/>
      </c>
      <c r="H243" s="247"/>
      <c r="I243" s="247"/>
      <c r="J243" s="247"/>
      <c r="K243" s="247"/>
      <c r="L243" s="247"/>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c r="AS243" s="247"/>
      <c r="AT243" s="247"/>
      <c r="AU243" s="261"/>
    </row>
    <row r="244" spans="1:47" ht="60" customHeight="1" x14ac:dyDescent="0.35">
      <c r="A244" s="257" t="s">
        <v>6251</v>
      </c>
      <c r="B244" s="235" t="s">
        <v>4164</v>
      </c>
      <c r="C244" s="236" t="s">
        <v>6342</v>
      </c>
      <c r="D244" s="239" t="s">
        <v>6343</v>
      </c>
      <c r="E244" s="240" t="s">
        <v>5852</v>
      </c>
      <c r="F244" s="243" t="s">
        <v>6331</v>
      </c>
      <c r="G244" s="246">
        <f>IF(COUNTIF(H244:AU244,"&lt;&gt;")=0,"",SUMPRODUCT(((Recommendations[ImplStatus]="Implemented")+(Recommendations[ImplStatus]="Compensated"))*ISNUMBER(MATCH(Recommendations[Id],H244:AU244,0)))/COUNTIF(H244:AU244,"&lt;&gt;"))</f>
        <v>0</v>
      </c>
      <c r="H244" s="247" t="s">
        <v>2067</v>
      </c>
      <c r="I244" s="247" t="s">
        <v>2073</v>
      </c>
      <c r="J244" s="247" t="s">
        <v>2762</v>
      </c>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61"/>
    </row>
    <row r="245" spans="1:47" ht="60" customHeight="1" x14ac:dyDescent="0.35">
      <c r="A245" s="257" t="s">
        <v>6251</v>
      </c>
      <c r="B245" s="235" t="s">
        <v>4164</v>
      </c>
      <c r="C245" s="236" t="s">
        <v>6344</v>
      </c>
      <c r="D245" s="239" t="s">
        <v>6345</v>
      </c>
      <c r="E245" s="240" t="s">
        <v>5852</v>
      </c>
      <c r="F245" s="243" t="s">
        <v>6331</v>
      </c>
      <c r="G245" s="246" t="str">
        <f>IF(COUNTIF(H245:AU245,"&lt;&gt;")=0,"",SUMPRODUCT(((Recommendations[ImplStatus]="Implemented")+(Recommendations[ImplStatus]="Compensated"))*ISNUMBER(MATCH(Recommendations[Id],H245:AU245,0)))/COUNTIF(H245:AU245,"&lt;&gt;"))</f>
        <v/>
      </c>
      <c r="H245" s="247"/>
      <c r="I245" s="247"/>
      <c r="J245" s="247"/>
      <c r="K245" s="247"/>
      <c r="L245" s="247"/>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61"/>
    </row>
    <row r="246" spans="1:47" ht="60" customHeight="1" x14ac:dyDescent="0.35">
      <c r="A246" s="257" t="s">
        <v>6251</v>
      </c>
      <c r="B246" s="235" t="s">
        <v>4164</v>
      </c>
      <c r="C246" s="236" t="s">
        <v>6346</v>
      </c>
      <c r="D246" s="239" t="s">
        <v>6347</v>
      </c>
      <c r="E246" s="240" t="s">
        <v>5852</v>
      </c>
      <c r="F246" s="243" t="s">
        <v>6331</v>
      </c>
      <c r="G246" s="246" t="str">
        <f>IF(COUNTIF(H246:AU246,"&lt;&gt;")=0,"",SUMPRODUCT(((Recommendations[ImplStatus]="Implemented")+(Recommendations[ImplStatus]="Compensated"))*ISNUMBER(MATCH(Recommendations[Id],H246:AU246,0)))/COUNTIF(H246:AU246,"&lt;&gt;"))</f>
        <v/>
      </c>
      <c r="H246" s="247"/>
      <c r="I246" s="247"/>
      <c r="J246" s="247"/>
      <c r="K246" s="247"/>
      <c r="L246" s="247"/>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61"/>
    </row>
    <row r="247" spans="1:47" ht="60" customHeight="1" x14ac:dyDescent="0.35">
      <c r="A247" s="257" t="s">
        <v>6251</v>
      </c>
      <c r="B247" s="235" t="s">
        <v>4164</v>
      </c>
      <c r="C247" s="236" t="s">
        <v>6348</v>
      </c>
      <c r="D247" s="239" t="s">
        <v>6349</v>
      </c>
      <c r="E247" s="240" t="s">
        <v>5852</v>
      </c>
      <c r="F247" s="243" t="s">
        <v>6331</v>
      </c>
      <c r="G247" s="246" t="str">
        <f>IF(COUNTIF(H247:AU247,"&lt;&gt;")=0,"",SUMPRODUCT(((Recommendations[ImplStatus]="Implemented")+(Recommendations[ImplStatus]="Compensated"))*ISNUMBER(MATCH(Recommendations[Id],H247:AU247,0)))/COUNTIF(H247:AU247,"&lt;&gt;"))</f>
        <v/>
      </c>
      <c r="H247" s="247"/>
      <c r="I247" s="247"/>
      <c r="J247" s="247"/>
      <c r="K247" s="247"/>
      <c r="L247" s="247"/>
      <c r="M247" s="247"/>
      <c r="N247" s="247"/>
      <c r="O247" s="247"/>
      <c r="P247" s="247"/>
      <c r="Q247" s="247"/>
      <c r="R247" s="247"/>
      <c r="S247" s="247"/>
      <c r="T247" s="247"/>
      <c r="U247" s="247"/>
      <c r="V247" s="247"/>
      <c r="W247" s="247"/>
      <c r="X247" s="247"/>
      <c r="Y247" s="247"/>
      <c r="Z247" s="247"/>
      <c r="AA247" s="247"/>
      <c r="AB247" s="247"/>
      <c r="AC247" s="247"/>
      <c r="AD247" s="247"/>
      <c r="AE247" s="247"/>
      <c r="AF247" s="247"/>
      <c r="AG247" s="247"/>
      <c r="AH247" s="247"/>
      <c r="AI247" s="247"/>
      <c r="AJ247" s="247"/>
      <c r="AK247" s="247"/>
      <c r="AL247" s="247"/>
      <c r="AM247" s="247"/>
      <c r="AN247" s="247"/>
      <c r="AO247" s="247"/>
      <c r="AP247" s="247"/>
      <c r="AQ247" s="247"/>
      <c r="AR247" s="247"/>
      <c r="AS247" s="247"/>
      <c r="AT247" s="247"/>
      <c r="AU247" s="261"/>
    </row>
    <row r="248" spans="1:47" ht="60" customHeight="1" x14ac:dyDescent="0.35">
      <c r="A248" s="257" t="s">
        <v>6251</v>
      </c>
      <c r="B248" s="235" t="s">
        <v>4164</v>
      </c>
      <c r="C248" s="236" t="s">
        <v>6350</v>
      </c>
      <c r="D248" s="239" t="s">
        <v>6351</v>
      </c>
      <c r="E248" s="240" t="s">
        <v>5881</v>
      </c>
      <c r="F248" s="243" t="s">
        <v>6331</v>
      </c>
      <c r="G248" s="246" t="str">
        <f>IF(COUNTIF(H248:AU248,"&lt;&gt;")=0,"",SUMPRODUCT(((Recommendations[ImplStatus]="Implemented")+(Recommendations[ImplStatus]="Compensated"))*ISNUMBER(MATCH(Recommendations[Id],H248:AU248,0)))/COUNTIF(H248:AU248,"&lt;&gt;"))</f>
        <v/>
      </c>
      <c r="H248" s="247"/>
      <c r="I248" s="247"/>
      <c r="J248" s="247"/>
      <c r="K248" s="247"/>
      <c r="L248" s="247"/>
      <c r="M248" s="247"/>
      <c r="N248" s="247"/>
      <c r="O248" s="247"/>
      <c r="P248" s="247"/>
      <c r="Q248" s="247"/>
      <c r="R248" s="247"/>
      <c r="S248" s="247"/>
      <c r="T248" s="247"/>
      <c r="U248" s="247"/>
      <c r="V248" s="247"/>
      <c r="W248" s="247"/>
      <c r="X248" s="247"/>
      <c r="Y248" s="247"/>
      <c r="Z248" s="247"/>
      <c r="AA248" s="247"/>
      <c r="AB248" s="247"/>
      <c r="AC248" s="247"/>
      <c r="AD248" s="247"/>
      <c r="AE248" s="247"/>
      <c r="AF248" s="247"/>
      <c r="AG248" s="247"/>
      <c r="AH248" s="247"/>
      <c r="AI248" s="247"/>
      <c r="AJ248" s="247"/>
      <c r="AK248" s="247"/>
      <c r="AL248" s="247"/>
      <c r="AM248" s="247"/>
      <c r="AN248" s="247"/>
      <c r="AO248" s="247"/>
      <c r="AP248" s="247"/>
      <c r="AQ248" s="247"/>
      <c r="AR248" s="247"/>
      <c r="AS248" s="247"/>
      <c r="AT248" s="247"/>
      <c r="AU248" s="261"/>
    </row>
    <row r="249" spans="1:47" ht="60" customHeight="1" x14ac:dyDescent="0.35">
      <c r="A249" s="257" t="s">
        <v>6251</v>
      </c>
      <c r="B249" s="235" t="s">
        <v>4164</v>
      </c>
      <c r="C249" s="236" t="s">
        <v>6352</v>
      </c>
      <c r="D249" s="239" t="s">
        <v>6353</v>
      </c>
      <c r="E249" s="240" t="s">
        <v>5881</v>
      </c>
      <c r="F249" s="243" t="s">
        <v>6354</v>
      </c>
      <c r="G249" s="246">
        <f>IF(COUNTIF(H249:AU249,"&lt;&gt;")=0,"",SUMPRODUCT(((Recommendations[ImplStatus]="Implemented")+(Recommendations[ImplStatus]="Compensated"))*ISNUMBER(MATCH(Recommendations[Id],H249:AU249,0)))/COUNTIF(H249:AU249,"&lt;&gt;"))</f>
        <v>0</v>
      </c>
      <c r="H249" s="247" t="s">
        <v>288</v>
      </c>
      <c r="I249" s="247" t="s">
        <v>293</v>
      </c>
      <c r="J249" s="247"/>
      <c r="K249" s="247"/>
      <c r="L249" s="247"/>
      <c r="M249" s="247"/>
      <c r="N249" s="247"/>
      <c r="O249" s="247"/>
      <c r="P249" s="247"/>
      <c r="Q249" s="247"/>
      <c r="R249" s="247"/>
      <c r="S249" s="247"/>
      <c r="T249" s="247"/>
      <c r="U249" s="247"/>
      <c r="V249" s="247"/>
      <c r="W249" s="247"/>
      <c r="X249" s="247"/>
      <c r="Y249" s="247"/>
      <c r="Z249" s="247"/>
      <c r="AA249" s="247"/>
      <c r="AB249" s="247"/>
      <c r="AC249" s="247"/>
      <c r="AD249" s="247"/>
      <c r="AE249" s="247"/>
      <c r="AF249" s="247"/>
      <c r="AG249" s="247"/>
      <c r="AH249" s="247"/>
      <c r="AI249" s="247"/>
      <c r="AJ249" s="247"/>
      <c r="AK249" s="247"/>
      <c r="AL249" s="247"/>
      <c r="AM249" s="247"/>
      <c r="AN249" s="247"/>
      <c r="AO249" s="247"/>
      <c r="AP249" s="247"/>
      <c r="AQ249" s="247"/>
      <c r="AR249" s="247"/>
      <c r="AS249" s="247"/>
      <c r="AT249" s="247"/>
      <c r="AU249" s="261"/>
    </row>
    <row r="250" spans="1:47" ht="60" customHeight="1" x14ac:dyDescent="0.35">
      <c r="A250" s="257" t="s">
        <v>6251</v>
      </c>
      <c r="B250" s="235" t="s">
        <v>4164</v>
      </c>
      <c r="C250" s="236" t="s">
        <v>6355</v>
      </c>
      <c r="D250" s="239" t="s">
        <v>6356</v>
      </c>
      <c r="E250" s="240" t="s">
        <v>5881</v>
      </c>
      <c r="F250" s="243" t="s">
        <v>6354</v>
      </c>
      <c r="G250" s="246" t="str">
        <f>IF(COUNTIF(H250:AU250,"&lt;&gt;")=0,"",SUMPRODUCT(((Recommendations[ImplStatus]="Implemented")+(Recommendations[ImplStatus]="Compensated"))*ISNUMBER(MATCH(Recommendations[Id],H250:AU250,0)))/COUNTIF(H250:AU250,"&lt;&gt;"))</f>
        <v/>
      </c>
      <c r="H250" s="247"/>
      <c r="I250" s="247"/>
      <c r="J250" s="247"/>
      <c r="K250" s="247"/>
      <c r="L250" s="247"/>
      <c r="M250" s="247"/>
      <c r="N250" s="247"/>
      <c r="O250" s="247"/>
      <c r="P250" s="247"/>
      <c r="Q250" s="247"/>
      <c r="R250" s="247"/>
      <c r="S250" s="247"/>
      <c r="T250" s="247"/>
      <c r="U250" s="247"/>
      <c r="V250" s="247"/>
      <c r="W250" s="247"/>
      <c r="X250" s="247"/>
      <c r="Y250" s="247"/>
      <c r="Z250" s="247"/>
      <c r="AA250" s="247"/>
      <c r="AB250" s="247"/>
      <c r="AC250" s="247"/>
      <c r="AD250" s="247"/>
      <c r="AE250" s="247"/>
      <c r="AF250" s="247"/>
      <c r="AG250" s="247"/>
      <c r="AH250" s="247"/>
      <c r="AI250" s="247"/>
      <c r="AJ250" s="247"/>
      <c r="AK250" s="247"/>
      <c r="AL250" s="247"/>
      <c r="AM250" s="247"/>
      <c r="AN250" s="247"/>
      <c r="AO250" s="247"/>
      <c r="AP250" s="247"/>
      <c r="AQ250" s="247"/>
      <c r="AR250" s="247"/>
      <c r="AS250" s="247"/>
      <c r="AT250" s="247"/>
      <c r="AU250" s="261"/>
    </row>
    <row r="251" spans="1:47" ht="60" customHeight="1" outlineLevel="2" x14ac:dyDescent="0.35">
      <c r="A251" s="256" t="s">
        <v>6251</v>
      </c>
      <c r="B251" s="234" t="s">
        <v>6357</v>
      </c>
      <c r="C251" s="234"/>
      <c r="D251" s="238"/>
      <c r="E251" s="234"/>
      <c r="F251" s="242"/>
      <c r="G251" s="245" t="str">
        <f>IF(COUNTIF(H251:AU251,"&lt;&gt;")=0,"",SUMPRODUCT(((Recommendations[ImplStatus]="Implemented")+(Recommendations[ImplStatus]="Compensated"))*ISNUMBER(MATCH(Recommendations[Id],H251:AU251,0)))/COUNTIF(H251:AU251,"&lt;&gt;"))</f>
        <v/>
      </c>
      <c r="H251" s="242"/>
      <c r="I251" s="242"/>
      <c r="J251" s="242"/>
      <c r="K251" s="242"/>
      <c r="L251" s="242"/>
      <c r="M251" s="242"/>
      <c r="N251" s="242"/>
      <c r="O251" s="242"/>
      <c r="P251" s="242"/>
      <c r="Q251" s="242"/>
      <c r="R251" s="242"/>
      <c r="S251" s="242"/>
      <c r="T251" s="242"/>
      <c r="U251" s="242"/>
      <c r="V251" s="242"/>
      <c r="W251" s="242"/>
      <c r="X251" s="242"/>
      <c r="Y251" s="242"/>
      <c r="Z251" s="242"/>
      <c r="AA251" s="242"/>
      <c r="AB251" s="242"/>
      <c r="AC251" s="242"/>
      <c r="AD251" s="242"/>
      <c r="AE251" s="242"/>
      <c r="AF251" s="242"/>
      <c r="AG251" s="242"/>
      <c r="AH251" s="242"/>
      <c r="AI251" s="242"/>
      <c r="AJ251" s="242"/>
      <c r="AK251" s="242"/>
      <c r="AL251" s="242"/>
      <c r="AM251" s="242"/>
      <c r="AN251" s="242"/>
      <c r="AO251" s="242"/>
      <c r="AP251" s="242"/>
      <c r="AQ251" s="242"/>
      <c r="AR251" s="242"/>
      <c r="AS251" s="242"/>
      <c r="AT251" s="242"/>
      <c r="AU251" s="260"/>
    </row>
    <row r="252" spans="1:47" ht="60" customHeight="1" x14ac:dyDescent="0.35">
      <c r="A252" s="257" t="s">
        <v>6251</v>
      </c>
      <c r="B252" s="235" t="s">
        <v>6357</v>
      </c>
      <c r="C252" s="236" t="s">
        <v>6358</v>
      </c>
      <c r="D252" s="239" t="s">
        <v>6359</v>
      </c>
      <c r="E252" s="240" t="s">
        <v>5948</v>
      </c>
      <c r="F252" s="243" t="s">
        <v>6360</v>
      </c>
      <c r="G252" s="246" t="str">
        <f>IF(COUNTIF(H252:AU252,"&lt;&gt;")=0,"",SUMPRODUCT(((Recommendations[ImplStatus]="Implemented")+(Recommendations[ImplStatus]="Compensated"))*ISNUMBER(MATCH(Recommendations[Id],H252:AU252,0)))/COUNTIF(H252:AU252,"&lt;&gt;"))</f>
        <v/>
      </c>
      <c r="H252" s="247"/>
      <c r="I252" s="247"/>
      <c r="J252" s="247"/>
      <c r="K252" s="247"/>
      <c r="L252" s="247"/>
      <c r="M252" s="247"/>
      <c r="N252" s="247"/>
      <c r="O252" s="247"/>
      <c r="P252" s="247"/>
      <c r="Q252" s="247"/>
      <c r="R252" s="247"/>
      <c r="S252" s="247"/>
      <c r="T252" s="247"/>
      <c r="U252" s="247"/>
      <c r="V252" s="247"/>
      <c r="W252" s="247"/>
      <c r="X252" s="247"/>
      <c r="Y252" s="247"/>
      <c r="Z252" s="247"/>
      <c r="AA252" s="247"/>
      <c r="AB252" s="247"/>
      <c r="AC252" s="247"/>
      <c r="AD252" s="247"/>
      <c r="AE252" s="247"/>
      <c r="AF252" s="247"/>
      <c r="AG252" s="247"/>
      <c r="AH252" s="247"/>
      <c r="AI252" s="247"/>
      <c r="AJ252" s="247"/>
      <c r="AK252" s="247"/>
      <c r="AL252" s="247"/>
      <c r="AM252" s="247"/>
      <c r="AN252" s="247"/>
      <c r="AO252" s="247"/>
      <c r="AP252" s="247"/>
      <c r="AQ252" s="247"/>
      <c r="AR252" s="247"/>
      <c r="AS252" s="247"/>
      <c r="AT252" s="247"/>
      <c r="AU252" s="261"/>
    </row>
    <row r="253" spans="1:47" ht="60" customHeight="1" x14ac:dyDescent="0.35">
      <c r="A253" s="257" t="s">
        <v>6251</v>
      </c>
      <c r="B253" s="235" t="s">
        <v>6357</v>
      </c>
      <c r="C253" s="236" t="s">
        <v>6361</v>
      </c>
      <c r="D253" s="239" t="s">
        <v>6362</v>
      </c>
      <c r="E253" s="240" t="s">
        <v>5948</v>
      </c>
      <c r="F253" s="243" t="s">
        <v>6360</v>
      </c>
      <c r="G253" s="246" t="str">
        <f>IF(COUNTIF(H253:AU253,"&lt;&gt;")=0,"",SUMPRODUCT(((Recommendations[ImplStatus]="Implemented")+(Recommendations[ImplStatus]="Compensated"))*ISNUMBER(MATCH(Recommendations[Id],H253:AU253,0)))/COUNTIF(H253:AU253,"&lt;&gt;"))</f>
        <v/>
      </c>
      <c r="H253" s="247"/>
      <c r="I253" s="247"/>
      <c r="J253" s="247"/>
      <c r="K253" s="247"/>
      <c r="L253" s="247"/>
      <c r="M253" s="247"/>
      <c r="N253" s="247"/>
      <c r="O253" s="247"/>
      <c r="P253" s="247"/>
      <c r="Q253" s="247"/>
      <c r="R253" s="247"/>
      <c r="S253" s="247"/>
      <c r="T253" s="247"/>
      <c r="U253" s="247"/>
      <c r="V253" s="247"/>
      <c r="W253" s="247"/>
      <c r="X253" s="247"/>
      <c r="Y253" s="247"/>
      <c r="Z253" s="247"/>
      <c r="AA253" s="247"/>
      <c r="AB253" s="247"/>
      <c r="AC253" s="247"/>
      <c r="AD253" s="247"/>
      <c r="AE253" s="247"/>
      <c r="AF253" s="247"/>
      <c r="AG253" s="247"/>
      <c r="AH253" s="247"/>
      <c r="AI253" s="247"/>
      <c r="AJ253" s="247"/>
      <c r="AK253" s="247"/>
      <c r="AL253" s="247"/>
      <c r="AM253" s="247"/>
      <c r="AN253" s="247"/>
      <c r="AO253" s="247"/>
      <c r="AP253" s="247"/>
      <c r="AQ253" s="247"/>
      <c r="AR253" s="247"/>
      <c r="AS253" s="247"/>
      <c r="AT253" s="247"/>
      <c r="AU253" s="261"/>
    </row>
    <row r="254" spans="1:47" ht="60" customHeight="1" x14ac:dyDescent="0.35">
      <c r="A254" s="257" t="s">
        <v>6251</v>
      </c>
      <c r="B254" s="235" t="s">
        <v>6357</v>
      </c>
      <c r="C254" s="236" t="s">
        <v>6363</v>
      </c>
      <c r="D254" s="239" t="s">
        <v>6364</v>
      </c>
      <c r="E254" s="240" t="s">
        <v>5948</v>
      </c>
      <c r="F254" s="243" t="s">
        <v>6360</v>
      </c>
      <c r="G254" s="246" t="str">
        <f>IF(COUNTIF(H254:AU254,"&lt;&gt;")=0,"",SUMPRODUCT(((Recommendations[ImplStatus]="Implemented")+(Recommendations[ImplStatus]="Compensated"))*ISNUMBER(MATCH(Recommendations[Id],H254:AU254,0)))/COUNTIF(H254:AU254,"&lt;&gt;"))</f>
        <v/>
      </c>
      <c r="H254" s="247"/>
      <c r="I254" s="247"/>
      <c r="J254" s="247"/>
      <c r="K254" s="247"/>
      <c r="L254" s="247"/>
      <c r="M254" s="247"/>
      <c r="N254" s="247"/>
      <c r="O254" s="247"/>
      <c r="P254" s="247"/>
      <c r="Q254" s="247"/>
      <c r="R254" s="247"/>
      <c r="S254" s="247"/>
      <c r="T254" s="247"/>
      <c r="U254" s="247"/>
      <c r="V254" s="247"/>
      <c r="W254" s="247"/>
      <c r="X254" s="247"/>
      <c r="Y254" s="247"/>
      <c r="Z254" s="247"/>
      <c r="AA254" s="247"/>
      <c r="AB254" s="247"/>
      <c r="AC254" s="247"/>
      <c r="AD254" s="247"/>
      <c r="AE254" s="247"/>
      <c r="AF254" s="247"/>
      <c r="AG254" s="247"/>
      <c r="AH254" s="247"/>
      <c r="AI254" s="247"/>
      <c r="AJ254" s="247"/>
      <c r="AK254" s="247"/>
      <c r="AL254" s="247"/>
      <c r="AM254" s="247"/>
      <c r="AN254" s="247"/>
      <c r="AO254" s="247"/>
      <c r="AP254" s="247"/>
      <c r="AQ254" s="247"/>
      <c r="AR254" s="247"/>
      <c r="AS254" s="247"/>
      <c r="AT254" s="247"/>
      <c r="AU254" s="261"/>
    </row>
    <row r="255" spans="1:47" ht="60" customHeight="1" x14ac:dyDescent="0.35">
      <c r="A255" s="257" t="s">
        <v>6251</v>
      </c>
      <c r="B255" s="235" t="s">
        <v>6357</v>
      </c>
      <c r="C255" s="236" t="s">
        <v>6365</v>
      </c>
      <c r="D255" s="239" t="s">
        <v>6366</v>
      </c>
      <c r="E255" s="240" t="s">
        <v>5948</v>
      </c>
      <c r="F255" s="243" t="s">
        <v>6360</v>
      </c>
      <c r="G255" s="246" t="str">
        <f>IF(COUNTIF(H255:AU255,"&lt;&gt;")=0,"",SUMPRODUCT(((Recommendations[ImplStatus]="Implemented")+(Recommendations[ImplStatus]="Compensated"))*ISNUMBER(MATCH(Recommendations[Id],H255:AU255,0)))/COUNTIF(H255:AU255,"&lt;&gt;"))</f>
        <v/>
      </c>
      <c r="H255" s="247"/>
      <c r="I255" s="247"/>
      <c r="J255" s="247"/>
      <c r="K255" s="247"/>
      <c r="L255" s="247"/>
      <c r="M255" s="247"/>
      <c r="N255" s="247"/>
      <c r="O255" s="247"/>
      <c r="P255" s="247"/>
      <c r="Q255" s="247"/>
      <c r="R255" s="247"/>
      <c r="S255" s="247"/>
      <c r="T255" s="247"/>
      <c r="U255" s="247"/>
      <c r="V255" s="247"/>
      <c r="W255" s="247"/>
      <c r="X255" s="247"/>
      <c r="Y255" s="247"/>
      <c r="Z255" s="247"/>
      <c r="AA255" s="247"/>
      <c r="AB255" s="247"/>
      <c r="AC255" s="247"/>
      <c r="AD255" s="247"/>
      <c r="AE255" s="247"/>
      <c r="AF255" s="247"/>
      <c r="AG255" s="247"/>
      <c r="AH255" s="247"/>
      <c r="AI255" s="247"/>
      <c r="AJ255" s="247"/>
      <c r="AK255" s="247"/>
      <c r="AL255" s="247"/>
      <c r="AM255" s="247"/>
      <c r="AN255" s="247"/>
      <c r="AO255" s="247"/>
      <c r="AP255" s="247"/>
      <c r="AQ255" s="247"/>
      <c r="AR255" s="247"/>
      <c r="AS255" s="247"/>
      <c r="AT255" s="247"/>
      <c r="AU255" s="261"/>
    </row>
    <row r="256" spans="1:47" ht="60" customHeight="1" x14ac:dyDescent="0.35">
      <c r="A256" s="257" t="s">
        <v>6251</v>
      </c>
      <c r="B256" s="235" t="s">
        <v>6357</v>
      </c>
      <c r="C256" s="236" t="s">
        <v>6367</v>
      </c>
      <c r="D256" s="239" t="s">
        <v>6368</v>
      </c>
      <c r="E256" s="240" t="s">
        <v>5948</v>
      </c>
      <c r="F256" s="243" t="s">
        <v>6360</v>
      </c>
      <c r="G256" s="246" t="str">
        <f>IF(COUNTIF(H256:AU256,"&lt;&gt;")=0,"",SUMPRODUCT(((Recommendations[ImplStatus]="Implemented")+(Recommendations[ImplStatus]="Compensated"))*ISNUMBER(MATCH(Recommendations[Id],H256:AU256,0)))/COUNTIF(H256:AU256,"&lt;&gt;"))</f>
        <v/>
      </c>
      <c r="H256" s="247"/>
      <c r="I256" s="247"/>
      <c r="J256" s="247"/>
      <c r="K256" s="247"/>
      <c r="L256" s="247"/>
      <c r="M256" s="247"/>
      <c r="N256" s="247"/>
      <c r="O256" s="247"/>
      <c r="P256" s="247"/>
      <c r="Q256" s="247"/>
      <c r="R256" s="247"/>
      <c r="S256" s="247"/>
      <c r="T256" s="247"/>
      <c r="U256" s="247"/>
      <c r="V256" s="247"/>
      <c r="W256" s="247"/>
      <c r="X256" s="247"/>
      <c r="Y256" s="247"/>
      <c r="Z256" s="247"/>
      <c r="AA256" s="247"/>
      <c r="AB256" s="247"/>
      <c r="AC256" s="247"/>
      <c r="AD256" s="247"/>
      <c r="AE256" s="247"/>
      <c r="AF256" s="247"/>
      <c r="AG256" s="247"/>
      <c r="AH256" s="247"/>
      <c r="AI256" s="247"/>
      <c r="AJ256" s="247"/>
      <c r="AK256" s="247"/>
      <c r="AL256" s="247"/>
      <c r="AM256" s="247"/>
      <c r="AN256" s="247"/>
      <c r="AO256" s="247"/>
      <c r="AP256" s="247"/>
      <c r="AQ256" s="247"/>
      <c r="AR256" s="247"/>
      <c r="AS256" s="247"/>
      <c r="AT256" s="247"/>
      <c r="AU256" s="261"/>
    </row>
    <row r="257" spans="1:47" ht="60" customHeight="1" x14ac:dyDescent="0.35">
      <c r="A257" s="257" t="s">
        <v>6251</v>
      </c>
      <c r="B257" s="235" t="s">
        <v>6357</v>
      </c>
      <c r="C257" s="236" t="s">
        <v>6369</v>
      </c>
      <c r="D257" s="239" t="s">
        <v>6370</v>
      </c>
      <c r="E257" s="240" t="s">
        <v>5852</v>
      </c>
      <c r="F257" s="243" t="s">
        <v>6360</v>
      </c>
      <c r="G257" s="246" t="str">
        <f>IF(COUNTIF(H257:AU257,"&lt;&gt;")=0,"",SUMPRODUCT(((Recommendations[ImplStatus]="Implemented")+(Recommendations[ImplStatus]="Compensated"))*ISNUMBER(MATCH(Recommendations[Id],H257:AU257,0)))/COUNTIF(H257:AU257,"&lt;&gt;"))</f>
        <v/>
      </c>
      <c r="H257" s="247"/>
      <c r="I257" s="247"/>
      <c r="J257" s="247"/>
      <c r="K257" s="247"/>
      <c r="L257" s="247"/>
      <c r="M257" s="247"/>
      <c r="N257" s="247"/>
      <c r="O257" s="247"/>
      <c r="P257" s="247"/>
      <c r="Q257" s="247"/>
      <c r="R257" s="247"/>
      <c r="S257" s="247"/>
      <c r="T257" s="247"/>
      <c r="U257" s="247"/>
      <c r="V257" s="247"/>
      <c r="W257" s="247"/>
      <c r="X257" s="247"/>
      <c r="Y257" s="247"/>
      <c r="Z257" s="247"/>
      <c r="AA257" s="247"/>
      <c r="AB257" s="247"/>
      <c r="AC257" s="247"/>
      <c r="AD257" s="247"/>
      <c r="AE257" s="247"/>
      <c r="AF257" s="247"/>
      <c r="AG257" s="247"/>
      <c r="AH257" s="247"/>
      <c r="AI257" s="247"/>
      <c r="AJ257" s="247"/>
      <c r="AK257" s="247"/>
      <c r="AL257" s="247"/>
      <c r="AM257" s="247"/>
      <c r="AN257" s="247"/>
      <c r="AO257" s="247"/>
      <c r="AP257" s="247"/>
      <c r="AQ257" s="247"/>
      <c r="AR257" s="247"/>
      <c r="AS257" s="247"/>
      <c r="AT257" s="247"/>
      <c r="AU257" s="261"/>
    </row>
    <row r="258" spans="1:47" ht="60" customHeight="1" x14ac:dyDescent="0.35">
      <c r="A258" s="257" t="s">
        <v>6251</v>
      </c>
      <c r="B258" s="235" t="s">
        <v>6357</v>
      </c>
      <c r="C258" s="236" t="s">
        <v>6371</v>
      </c>
      <c r="D258" s="239" t="s">
        <v>6372</v>
      </c>
      <c r="E258" s="240" t="s">
        <v>5852</v>
      </c>
      <c r="F258" s="243" t="s">
        <v>6360</v>
      </c>
      <c r="G258" s="246" t="str">
        <f>IF(COUNTIF(H258:AU258,"&lt;&gt;")=0,"",SUMPRODUCT(((Recommendations[ImplStatus]="Implemented")+(Recommendations[ImplStatus]="Compensated"))*ISNUMBER(MATCH(Recommendations[Id],H258:AU258,0)))/COUNTIF(H258:AU258,"&lt;&gt;"))</f>
        <v/>
      </c>
      <c r="H258" s="247"/>
      <c r="I258" s="247"/>
      <c r="J258" s="247"/>
      <c r="K258" s="247"/>
      <c r="L258" s="247"/>
      <c r="M258" s="247"/>
      <c r="N258" s="247"/>
      <c r="O258" s="247"/>
      <c r="P258" s="247"/>
      <c r="Q258" s="247"/>
      <c r="R258" s="247"/>
      <c r="S258" s="247"/>
      <c r="T258" s="247"/>
      <c r="U258" s="247"/>
      <c r="V258" s="247"/>
      <c r="W258" s="247"/>
      <c r="X258" s="247"/>
      <c r="Y258" s="247"/>
      <c r="Z258" s="247"/>
      <c r="AA258" s="247"/>
      <c r="AB258" s="247"/>
      <c r="AC258" s="247"/>
      <c r="AD258" s="247"/>
      <c r="AE258" s="247"/>
      <c r="AF258" s="247"/>
      <c r="AG258" s="247"/>
      <c r="AH258" s="247"/>
      <c r="AI258" s="247"/>
      <c r="AJ258" s="247"/>
      <c r="AK258" s="247"/>
      <c r="AL258" s="247"/>
      <c r="AM258" s="247"/>
      <c r="AN258" s="247"/>
      <c r="AO258" s="247"/>
      <c r="AP258" s="247"/>
      <c r="AQ258" s="247"/>
      <c r="AR258" s="247"/>
      <c r="AS258" s="247"/>
      <c r="AT258" s="247"/>
      <c r="AU258" s="261"/>
    </row>
    <row r="259" spans="1:47" ht="60" customHeight="1" x14ac:dyDescent="0.35">
      <c r="A259" s="257" t="s">
        <v>6251</v>
      </c>
      <c r="B259" s="235" t="s">
        <v>6357</v>
      </c>
      <c r="C259" s="236" t="s">
        <v>6373</v>
      </c>
      <c r="D259" s="239" t="s">
        <v>6374</v>
      </c>
      <c r="E259" s="240" t="s">
        <v>5852</v>
      </c>
      <c r="F259" s="243" t="s">
        <v>6360</v>
      </c>
      <c r="G259" s="246" t="str">
        <f>IF(COUNTIF(H259:AU259,"&lt;&gt;")=0,"",SUMPRODUCT(((Recommendations[ImplStatus]="Implemented")+(Recommendations[ImplStatus]="Compensated"))*ISNUMBER(MATCH(Recommendations[Id],H259:AU259,0)))/COUNTIF(H259:AU259,"&lt;&gt;"))</f>
        <v/>
      </c>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247"/>
      <c r="AG259" s="247"/>
      <c r="AH259" s="247"/>
      <c r="AI259" s="247"/>
      <c r="AJ259" s="247"/>
      <c r="AK259" s="247"/>
      <c r="AL259" s="247"/>
      <c r="AM259" s="247"/>
      <c r="AN259" s="247"/>
      <c r="AO259" s="247"/>
      <c r="AP259" s="247"/>
      <c r="AQ259" s="247"/>
      <c r="AR259" s="247"/>
      <c r="AS259" s="247"/>
      <c r="AT259" s="247"/>
      <c r="AU259" s="261"/>
    </row>
    <row r="260" spans="1:47" ht="60" customHeight="1" x14ac:dyDescent="0.35">
      <c r="A260" s="257" t="s">
        <v>6251</v>
      </c>
      <c r="B260" s="235" t="s">
        <v>6357</v>
      </c>
      <c r="C260" s="236" t="s">
        <v>6375</v>
      </c>
      <c r="D260" s="239" t="s">
        <v>6376</v>
      </c>
      <c r="E260" s="240" t="s">
        <v>5852</v>
      </c>
      <c r="F260" s="243" t="s">
        <v>6360</v>
      </c>
      <c r="G260" s="246" t="str">
        <f>IF(COUNTIF(H260:AU260,"&lt;&gt;")=0,"",SUMPRODUCT(((Recommendations[ImplStatus]="Implemented")+(Recommendations[ImplStatus]="Compensated"))*ISNUMBER(MATCH(Recommendations[Id],H260:AU260,0)))/COUNTIF(H260:AU260,"&lt;&gt;"))</f>
        <v/>
      </c>
      <c r="H260" s="247"/>
      <c r="I260" s="247"/>
      <c r="J260" s="247"/>
      <c r="K260" s="247"/>
      <c r="L260" s="247"/>
      <c r="M260" s="247"/>
      <c r="N260" s="247"/>
      <c r="O260" s="247"/>
      <c r="P260" s="247"/>
      <c r="Q260" s="247"/>
      <c r="R260" s="247"/>
      <c r="S260" s="247"/>
      <c r="T260" s="247"/>
      <c r="U260" s="247"/>
      <c r="V260" s="247"/>
      <c r="W260" s="247"/>
      <c r="X260" s="247"/>
      <c r="Y260" s="247"/>
      <c r="Z260" s="247"/>
      <c r="AA260" s="247"/>
      <c r="AB260" s="247"/>
      <c r="AC260" s="247"/>
      <c r="AD260" s="247"/>
      <c r="AE260" s="247"/>
      <c r="AF260" s="247"/>
      <c r="AG260" s="247"/>
      <c r="AH260" s="247"/>
      <c r="AI260" s="247"/>
      <c r="AJ260" s="247"/>
      <c r="AK260" s="247"/>
      <c r="AL260" s="247"/>
      <c r="AM260" s="247"/>
      <c r="AN260" s="247"/>
      <c r="AO260" s="247"/>
      <c r="AP260" s="247"/>
      <c r="AQ260" s="247"/>
      <c r="AR260" s="247"/>
      <c r="AS260" s="247"/>
      <c r="AT260" s="247"/>
      <c r="AU260" s="261"/>
    </row>
    <row r="261" spans="1:47" ht="60" customHeight="1" x14ac:dyDescent="0.35">
      <c r="A261" s="257" t="s">
        <v>6251</v>
      </c>
      <c r="B261" s="235" t="s">
        <v>6357</v>
      </c>
      <c r="C261" s="236" t="s">
        <v>6377</v>
      </c>
      <c r="D261" s="239" t="s">
        <v>6378</v>
      </c>
      <c r="E261" s="240" t="s">
        <v>5996</v>
      </c>
      <c r="F261" s="243" t="s">
        <v>6360</v>
      </c>
      <c r="G261" s="246" t="str">
        <f>IF(COUNTIF(H261:AU261,"&lt;&gt;")=0,"",SUMPRODUCT(((Recommendations[ImplStatus]="Implemented")+(Recommendations[ImplStatus]="Compensated"))*ISNUMBER(MATCH(Recommendations[Id],H261:AU261,0)))/COUNTIF(H261:AU261,"&lt;&gt;"))</f>
        <v/>
      </c>
      <c r="H261" s="247"/>
      <c r="I261" s="247"/>
      <c r="J261" s="247"/>
      <c r="K261" s="247"/>
      <c r="L261" s="247"/>
      <c r="M261" s="247"/>
      <c r="N261" s="247"/>
      <c r="O261" s="247"/>
      <c r="P261" s="247"/>
      <c r="Q261" s="247"/>
      <c r="R261" s="247"/>
      <c r="S261" s="247"/>
      <c r="T261" s="247"/>
      <c r="U261" s="247"/>
      <c r="V261" s="247"/>
      <c r="W261" s="247"/>
      <c r="X261" s="247"/>
      <c r="Y261" s="247"/>
      <c r="Z261" s="247"/>
      <c r="AA261" s="247"/>
      <c r="AB261" s="247"/>
      <c r="AC261" s="247"/>
      <c r="AD261" s="247"/>
      <c r="AE261" s="247"/>
      <c r="AF261" s="247"/>
      <c r="AG261" s="247"/>
      <c r="AH261" s="247"/>
      <c r="AI261" s="247"/>
      <c r="AJ261" s="247"/>
      <c r="AK261" s="247"/>
      <c r="AL261" s="247"/>
      <c r="AM261" s="247"/>
      <c r="AN261" s="247"/>
      <c r="AO261" s="247"/>
      <c r="AP261" s="247"/>
      <c r="AQ261" s="247"/>
      <c r="AR261" s="247"/>
      <c r="AS261" s="247"/>
      <c r="AT261" s="247"/>
      <c r="AU261" s="261"/>
    </row>
    <row r="262" spans="1:47" ht="60" customHeight="1" x14ac:dyDescent="0.35">
      <c r="A262" s="257" t="s">
        <v>6251</v>
      </c>
      <c r="B262" s="235" t="s">
        <v>6357</v>
      </c>
      <c r="C262" s="236" t="s">
        <v>6379</v>
      </c>
      <c r="D262" s="239" t="s">
        <v>6380</v>
      </c>
      <c r="E262" s="240" t="s">
        <v>5996</v>
      </c>
      <c r="F262" s="243" t="s">
        <v>6360</v>
      </c>
      <c r="G262" s="246" t="str">
        <f>IF(COUNTIF(H262:AU262,"&lt;&gt;")=0,"",SUMPRODUCT(((Recommendations[ImplStatus]="Implemented")+(Recommendations[ImplStatus]="Compensated"))*ISNUMBER(MATCH(Recommendations[Id],H262:AU262,0)))/COUNTIF(H262:AU262,"&lt;&gt;"))</f>
        <v/>
      </c>
      <c r="H262" s="247"/>
      <c r="I262" s="247"/>
      <c r="J262" s="247"/>
      <c r="K262" s="247"/>
      <c r="L262" s="247"/>
      <c r="M262" s="247"/>
      <c r="N262" s="247"/>
      <c r="O262" s="247"/>
      <c r="P262" s="247"/>
      <c r="Q262" s="247"/>
      <c r="R262" s="247"/>
      <c r="S262" s="247"/>
      <c r="T262" s="247"/>
      <c r="U262" s="247"/>
      <c r="V262" s="247"/>
      <c r="W262" s="247"/>
      <c r="X262" s="247"/>
      <c r="Y262" s="247"/>
      <c r="Z262" s="247"/>
      <c r="AA262" s="247"/>
      <c r="AB262" s="247"/>
      <c r="AC262" s="247"/>
      <c r="AD262" s="247"/>
      <c r="AE262" s="247"/>
      <c r="AF262" s="247"/>
      <c r="AG262" s="247"/>
      <c r="AH262" s="247"/>
      <c r="AI262" s="247"/>
      <c r="AJ262" s="247"/>
      <c r="AK262" s="247"/>
      <c r="AL262" s="247"/>
      <c r="AM262" s="247"/>
      <c r="AN262" s="247"/>
      <c r="AO262" s="247"/>
      <c r="AP262" s="247"/>
      <c r="AQ262" s="247"/>
      <c r="AR262" s="247"/>
      <c r="AS262" s="247"/>
      <c r="AT262" s="247"/>
      <c r="AU262" s="261"/>
    </row>
    <row r="263" spans="1:47" ht="60" customHeight="1" x14ac:dyDescent="0.35">
      <c r="A263" s="257" t="s">
        <v>6251</v>
      </c>
      <c r="B263" s="235" t="s">
        <v>6357</v>
      </c>
      <c r="C263" s="236" t="s">
        <v>6381</v>
      </c>
      <c r="D263" s="239" t="s">
        <v>6382</v>
      </c>
      <c r="E263" s="240" t="s">
        <v>5996</v>
      </c>
      <c r="F263" s="243" t="s">
        <v>6360</v>
      </c>
      <c r="G263" s="246" t="str">
        <f>IF(COUNTIF(H263:AU263,"&lt;&gt;")=0,"",SUMPRODUCT(((Recommendations[ImplStatus]="Implemented")+(Recommendations[ImplStatus]="Compensated"))*ISNUMBER(MATCH(Recommendations[Id],H263:AU263,0)))/COUNTIF(H263:AU263,"&lt;&gt;"))</f>
        <v/>
      </c>
      <c r="H263" s="247"/>
      <c r="I263" s="247"/>
      <c r="J263" s="247"/>
      <c r="K263" s="247"/>
      <c r="L263" s="247"/>
      <c r="M263" s="247"/>
      <c r="N263" s="247"/>
      <c r="O263" s="247"/>
      <c r="P263" s="247"/>
      <c r="Q263" s="247"/>
      <c r="R263" s="247"/>
      <c r="S263" s="247"/>
      <c r="T263" s="247"/>
      <c r="U263" s="247"/>
      <c r="V263" s="247"/>
      <c r="W263" s="247"/>
      <c r="X263" s="247"/>
      <c r="Y263" s="247"/>
      <c r="Z263" s="247"/>
      <c r="AA263" s="247"/>
      <c r="AB263" s="247"/>
      <c r="AC263" s="247"/>
      <c r="AD263" s="247"/>
      <c r="AE263" s="247"/>
      <c r="AF263" s="247"/>
      <c r="AG263" s="247"/>
      <c r="AH263" s="247"/>
      <c r="AI263" s="247"/>
      <c r="AJ263" s="247"/>
      <c r="AK263" s="247"/>
      <c r="AL263" s="247"/>
      <c r="AM263" s="247"/>
      <c r="AN263" s="247"/>
      <c r="AO263" s="247"/>
      <c r="AP263" s="247"/>
      <c r="AQ263" s="247"/>
      <c r="AR263" s="247"/>
      <c r="AS263" s="247"/>
      <c r="AT263" s="247"/>
      <c r="AU263" s="261"/>
    </row>
    <row r="264" spans="1:47" ht="60" customHeight="1" outlineLevel="2" x14ac:dyDescent="0.35">
      <c r="A264" s="256" t="s">
        <v>6251</v>
      </c>
      <c r="B264" s="234" t="s">
        <v>6383</v>
      </c>
      <c r="C264" s="234"/>
      <c r="D264" s="238"/>
      <c r="E264" s="234"/>
      <c r="F264" s="242"/>
      <c r="G264" s="245" t="str">
        <f>IF(COUNTIF(H264:AU264,"&lt;&gt;")=0,"",SUMPRODUCT(((Recommendations[ImplStatus]="Implemented")+(Recommendations[ImplStatus]="Compensated"))*ISNUMBER(MATCH(Recommendations[Id],H264:AU264,0)))/COUNTIF(H264:AU264,"&lt;&gt;"))</f>
        <v/>
      </c>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60"/>
    </row>
    <row r="265" spans="1:47" ht="60" customHeight="1" x14ac:dyDescent="0.35">
      <c r="A265" s="257" t="s">
        <v>6251</v>
      </c>
      <c r="B265" s="235" t="s">
        <v>6383</v>
      </c>
      <c r="C265" s="236" t="s">
        <v>6384</v>
      </c>
      <c r="D265" s="239" t="s">
        <v>6385</v>
      </c>
      <c r="E265" s="240" t="s">
        <v>5881</v>
      </c>
      <c r="F265" s="243" t="s">
        <v>6386</v>
      </c>
      <c r="G265" s="246" t="str">
        <f>IF(COUNTIF(H265:AU265,"&lt;&gt;")=0,"",SUMPRODUCT(((Recommendations[ImplStatus]="Implemented")+(Recommendations[ImplStatus]="Compensated"))*ISNUMBER(MATCH(Recommendations[Id],H265:AU265,0)))/COUNTIF(H265:AU265,"&lt;&gt;"))</f>
        <v/>
      </c>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247"/>
      <c r="AG265" s="247"/>
      <c r="AH265" s="247"/>
      <c r="AI265" s="247"/>
      <c r="AJ265" s="247"/>
      <c r="AK265" s="247"/>
      <c r="AL265" s="247"/>
      <c r="AM265" s="247"/>
      <c r="AN265" s="247"/>
      <c r="AO265" s="247"/>
      <c r="AP265" s="247"/>
      <c r="AQ265" s="247"/>
      <c r="AR265" s="247"/>
      <c r="AS265" s="247"/>
      <c r="AT265" s="247"/>
      <c r="AU265" s="261"/>
    </row>
    <row r="266" spans="1:47" ht="60" customHeight="1" x14ac:dyDescent="0.35">
      <c r="A266" s="257" t="s">
        <v>6251</v>
      </c>
      <c r="B266" s="235" t="s">
        <v>6383</v>
      </c>
      <c r="C266" s="236" t="s">
        <v>6387</v>
      </c>
      <c r="D266" s="239" t="s">
        <v>6388</v>
      </c>
      <c r="E266" s="240" t="s">
        <v>5881</v>
      </c>
      <c r="F266" s="243" t="s">
        <v>6386</v>
      </c>
      <c r="G266" s="246" t="str">
        <f>IF(COUNTIF(H266:AU266,"&lt;&gt;")=0,"",SUMPRODUCT(((Recommendations[ImplStatus]="Implemented")+(Recommendations[ImplStatus]="Compensated"))*ISNUMBER(MATCH(Recommendations[Id],H266:AU266,0)))/COUNTIF(H266:AU266,"&lt;&gt;"))</f>
        <v/>
      </c>
      <c r="H266" s="247"/>
      <c r="I266" s="247"/>
      <c r="J266" s="247"/>
      <c r="K266" s="247"/>
      <c r="L266" s="247"/>
      <c r="M266" s="247"/>
      <c r="N266" s="247"/>
      <c r="O266" s="247"/>
      <c r="P266" s="247"/>
      <c r="Q266" s="247"/>
      <c r="R266" s="247"/>
      <c r="S266" s="247"/>
      <c r="T266" s="247"/>
      <c r="U266" s="247"/>
      <c r="V266" s="247"/>
      <c r="W266" s="247"/>
      <c r="X266" s="247"/>
      <c r="Y266" s="247"/>
      <c r="Z266" s="247"/>
      <c r="AA266" s="247"/>
      <c r="AB266" s="247"/>
      <c r="AC266" s="247"/>
      <c r="AD266" s="247"/>
      <c r="AE266" s="247"/>
      <c r="AF266" s="247"/>
      <c r="AG266" s="247"/>
      <c r="AH266" s="247"/>
      <c r="AI266" s="247"/>
      <c r="AJ266" s="247"/>
      <c r="AK266" s="247"/>
      <c r="AL266" s="247"/>
      <c r="AM266" s="247"/>
      <c r="AN266" s="247"/>
      <c r="AO266" s="247"/>
      <c r="AP266" s="247"/>
      <c r="AQ266" s="247"/>
      <c r="AR266" s="247"/>
      <c r="AS266" s="247"/>
      <c r="AT266" s="247"/>
      <c r="AU266" s="261"/>
    </row>
    <row r="267" spans="1:47" ht="60" customHeight="1" x14ac:dyDescent="0.35">
      <c r="A267" s="257" t="s">
        <v>6251</v>
      </c>
      <c r="B267" s="235" t="s">
        <v>6383</v>
      </c>
      <c r="C267" s="236" t="s">
        <v>6389</v>
      </c>
      <c r="D267" s="239" t="s">
        <v>6390</v>
      </c>
      <c r="E267" s="240" t="s">
        <v>5881</v>
      </c>
      <c r="F267" s="243" t="s">
        <v>6386</v>
      </c>
      <c r="G267" s="246" t="str">
        <f>IF(COUNTIF(H267:AU267,"&lt;&gt;")=0,"",SUMPRODUCT(((Recommendations[ImplStatus]="Implemented")+(Recommendations[ImplStatus]="Compensated"))*ISNUMBER(MATCH(Recommendations[Id],H267:AU267,0)))/COUNTIF(H267:AU267,"&lt;&gt;"))</f>
        <v/>
      </c>
      <c r="H267" s="247"/>
      <c r="I267" s="247"/>
      <c r="J267" s="247"/>
      <c r="K267" s="247"/>
      <c r="L267" s="247"/>
      <c r="M267" s="247"/>
      <c r="N267" s="247"/>
      <c r="O267" s="247"/>
      <c r="P267" s="247"/>
      <c r="Q267" s="247"/>
      <c r="R267" s="247"/>
      <c r="S267" s="247"/>
      <c r="T267" s="247"/>
      <c r="U267" s="247"/>
      <c r="V267" s="247"/>
      <c r="W267" s="247"/>
      <c r="X267" s="247"/>
      <c r="Y267" s="247"/>
      <c r="Z267" s="247"/>
      <c r="AA267" s="247"/>
      <c r="AB267" s="247"/>
      <c r="AC267" s="247"/>
      <c r="AD267" s="247"/>
      <c r="AE267" s="247"/>
      <c r="AF267" s="247"/>
      <c r="AG267" s="247"/>
      <c r="AH267" s="247"/>
      <c r="AI267" s="247"/>
      <c r="AJ267" s="247"/>
      <c r="AK267" s="247"/>
      <c r="AL267" s="247"/>
      <c r="AM267" s="247"/>
      <c r="AN267" s="247"/>
      <c r="AO267" s="247"/>
      <c r="AP267" s="247"/>
      <c r="AQ267" s="247"/>
      <c r="AR267" s="247"/>
      <c r="AS267" s="247"/>
      <c r="AT267" s="247"/>
      <c r="AU267" s="261"/>
    </row>
    <row r="268" spans="1:47" ht="60" customHeight="1" x14ac:dyDescent="0.35">
      <c r="A268" s="257" t="s">
        <v>6251</v>
      </c>
      <c r="B268" s="235" t="s">
        <v>6383</v>
      </c>
      <c r="C268" s="236" t="s">
        <v>6391</v>
      </c>
      <c r="D268" s="239" t="s">
        <v>6392</v>
      </c>
      <c r="E268" s="240" t="s">
        <v>5881</v>
      </c>
      <c r="F268" s="243" t="s">
        <v>6386</v>
      </c>
      <c r="G268" s="246" t="str">
        <f>IF(COUNTIF(H268:AU268,"&lt;&gt;")=0,"",SUMPRODUCT(((Recommendations[ImplStatus]="Implemented")+(Recommendations[ImplStatus]="Compensated"))*ISNUMBER(MATCH(Recommendations[Id],H268:AU268,0)))/COUNTIF(H268:AU268,"&lt;&gt;"))</f>
        <v/>
      </c>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247"/>
      <c r="AG268" s="247"/>
      <c r="AH268" s="247"/>
      <c r="AI268" s="247"/>
      <c r="AJ268" s="247"/>
      <c r="AK268" s="247"/>
      <c r="AL268" s="247"/>
      <c r="AM268" s="247"/>
      <c r="AN268" s="247"/>
      <c r="AO268" s="247"/>
      <c r="AP268" s="247"/>
      <c r="AQ268" s="247"/>
      <c r="AR268" s="247"/>
      <c r="AS268" s="247"/>
      <c r="AT268" s="247"/>
      <c r="AU268" s="261"/>
    </row>
    <row r="269" spans="1:47" ht="60" customHeight="1" x14ac:dyDescent="0.35">
      <c r="A269" s="257" t="s">
        <v>6251</v>
      </c>
      <c r="B269" s="235" t="s">
        <v>6383</v>
      </c>
      <c r="C269" s="236" t="s">
        <v>6393</v>
      </c>
      <c r="D269" s="239" t="s">
        <v>6394</v>
      </c>
      <c r="E269" s="240" t="s">
        <v>5881</v>
      </c>
      <c r="F269" s="243" t="s">
        <v>6386</v>
      </c>
      <c r="G269" s="246" t="str">
        <f>IF(COUNTIF(H269:AU269,"&lt;&gt;")=0,"",SUMPRODUCT(((Recommendations[ImplStatus]="Implemented")+(Recommendations[ImplStatus]="Compensated"))*ISNUMBER(MATCH(Recommendations[Id],H269:AU269,0)))/COUNTIF(H269:AU269,"&lt;&gt;"))</f>
        <v/>
      </c>
      <c r="H269" s="247"/>
      <c r="I269" s="247"/>
      <c r="J269" s="247"/>
      <c r="K269" s="247"/>
      <c r="L269" s="247"/>
      <c r="M269" s="247"/>
      <c r="N269" s="247"/>
      <c r="O269" s="247"/>
      <c r="P269" s="247"/>
      <c r="Q269" s="247"/>
      <c r="R269" s="247"/>
      <c r="S269" s="247"/>
      <c r="T269" s="247"/>
      <c r="U269" s="247"/>
      <c r="V269" s="247"/>
      <c r="W269" s="247"/>
      <c r="X269" s="247"/>
      <c r="Y269" s="247"/>
      <c r="Z269" s="247"/>
      <c r="AA269" s="247"/>
      <c r="AB269" s="247"/>
      <c r="AC269" s="247"/>
      <c r="AD269" s="247"/>
      <c r="AE269" s="247"/>
      <c r="AF269" s="247"/>
      <c r="AG269" s="247"/>
      <c r="AH269" s="247"/>
      <c r="AI269" s="247"/>
      <c r="AJ269" s="247"/>
      <c r="AK269" s="247"/>
      <c r="AL269" s="247"/>
      <c r="AM269" s="247"/>
      <c r="AN269" s="247"/>
      <c r="AO269" s="247"/>
      <c r="AP269" s="247"/>
      <c r="AQ269" s="247"/>
      <c r="AR269" s="247"/>
      <c r="AS269" s="247"/>
      <c r="AT269" s="247"/>
      <c r="AU269" s="261"/>
    </row>
    <row r="270" spans="1:47" ht="60" customHeight="1" x14ac:dyDescent="0.35">
      <c r="A270" s="257" t="s">
        <v>6251</v>
      </c>
      <c r="B270" s="235" t="s">
        <v>6383</v>
      </c>
      <c r="C270" s="236" t="s">
        <v>6395</v>
      </c>
      <c r="D270" s="239" t="s">
        <v>6396</v>
      </c>
      <c r="E270" s="240" t="s">
        <v>5881</v>
      </c>
      <c r="F270" s="243" t="s">
        <v>6386</v>
      </c>
      <c r="G270" s="246" t="str">
        <f>IF(COUNTIF(H270:AU270,"&lt;&gt;")=0,"",SUMPRODUCT(((Recommendations[ImplStatus]="Implemented")+(Recommendations[ImplStatus]="Compensated"))*ISNUMBER(MATCH(Recommendations[Id],H270:AU270,0)))/COUNTIF(H270:AU270,"&lt;&gt;"))</f>
        <v/>
      </c>
      <c r="H270" s="247"/>
      <c r="I270" s="247"/>
      <c r="J270" s="247"/>
      <c r="K270" s="247"/>
      <c r="L270" s="247"/>
      <c r="M270" s="247"/>
      <c r="N270" s="247"/>
      <c r="O270" s="247"/>
      <c r="P270" s="247"/>
      <c r="Q270" s="247"/>
      <c r="R270" s="247"/>
      <c r="S270" s="247"/>
      <c r="T270" s="247"/>
      <c r="U270" s="247"/>
      <c r="V270" s="247"/>
      <c r="W270" s="247"/>
      <c r="X270" s="247"/>
      <c r="Y270" s="247"/>
      <c r="Z270" s="247"/>
      <c r="AA270" s="247"/>
      <c r="AB270" s="247"/>
      <c r="AC270" s="247"/>
      <c r="AD270" s="247"/>
      <c r="AE270" s="247"/>
      <c r="AF270" s="247"/>
      <c r="AG270" s="247"/>
      <c r="AH270" s="247"/>
      <c r="AI270" s="247"/>
      <c r="AJ270" s="247"/>
      <c r="AK270" s="247"/>
      <c r="AL270" s="247"/>
      <c r="AM270" s="247"/>
      <c r="AN270" s="247"/>
      <c r="AO270" s="247"/>
      <c r="AP270" s="247"/>
      <c r="AQ270" s="247"/>
      <c r="AR270" s="247"/>
      <c r="AS270" s="247"/>
      <c r="AT270" s="247"/>
      <c r="AU270" s="261"/>
    </row>
    <row r="271" spans="1:47" ht="60" customHeight="1" x14ac:dyDescent="0.35">
      <c r="A271" s="257" t="s">
        <v>6251</v>
      </c>
      <c r="B271" s="235" t="s">
        <v>6383</v>
      </c>
      <c r="C271" s="236" t="s">
        <v>6397</v>
      </c>
      <c r="D271" s="239" t="s">
        <v>6398</v>
      </c>
      <c r="E271" s="240" t="s">
        <v>5881</v>
      </c>
      <c r="F271" s="243" t="s">
        <v>6386</v>
      </c>
      <c r="G271" s="246" t="str">
        <f>IF(COUNTIF(H271:AU271,"&lt;&gt;")=0,"",SUMPRODUCT(((Recommendations[ImplStatus]="Implemented")+(Recommendations[ImplStatus]="Compensated"))*ISNUMBER(MATCH(Recommendations[Id],H271:AU271,0)))/COUNTIF(H271:AU271,"&lt;&gt;"))</f>
        <v/>
      </c>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247"/>
      <c r="AG271" s="247"/>
      <c r="AH271" s="247"/>
      <c r="AI271" s="247"/>
      <c r="AJ271" s="247"/>
      <c r="AK271" s="247"/>
      <c r="AL271" s="247"/>
      <c r="AM271" s="247"/>
      <c r="AN271" s="247"/>
      <c r="AO271" s="247"/>
      <c r="AP271" s="247"/>
      <c r="AQ271" s="247"/>
      <c r="AR271" s="247"/>
      <c r="AS271" s="247"/>
      <c r="AT271" s="247"/>
      <c r="AU271" s="261"/>
    </row>
    <row r="272" spans="1:47" ht="60" customHeight="1" x14ac:dyDescent="0.35">
      <c r="A272" s="257" t="s">
        <v>6251</v>
      </c>
      <c r="B272" s="235" t="s">
        <v>6383</v>
      </c>
      <c r="C272" s="236" t="s">
        <v>6399</v>
      </c>
      <c r="D272" s="239" t="s">
        <v>6400</v>
      </c>
      <c r="E272" s="240" t="s">
        <v>5881</v>
      </c>
      <c r="F272" s="243" t="s">
        <v>6386</v>
      </c>
      <c r="G272" s="246" t="str">
        <f>IF(COUNTIF(H272:AU272,"&lt;&gt;")=0,"",SUMPRODUCT(((Recommendations[ImplStatus]="Implemented")+(Recommendations[ImplStatus]="Compensated"))*ISNUMBER(MATCH(Recommendations[Id],H272:AU272,0)))/COUNTIF(H272:AU272,"&lt;&gt;"))</f>
        <v/>
      </c>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c r="AH272" s="247"/>
      <c r="AI272" s="247"/>
      <c r="AJ272" s="247"/>
      <c r="AK272" s="247"/>
      <c r="AL272" s="247"/>
      <c r="AM272" s="247"/>
      <c r="AN272" s="247"/>
      <c r="AO272" s="247"/>
      <c r="AP272" s="247"/>
      <c r="AQ272" s="247"/>
      <c r="AR272" s="247"/>
      <c r="AS272" s="247"/>
      <c r="AT272" s="247"/>
      <c r="AU272" s="261"/>
    </row>
    <row r="273" spans="1:47" ht="60" customHeight="1" x14ac:dyDescent="0.35">
      <c r="A273" s="257" t="s">
        <v>6251</v>
      </c>
      <c r="B273" s="235" t="s">
        <v>6383</v>
      </c>
      <c r="C273" s="236" t="s">
        <v>6401</v>
      </c>
      <c r="D273" s="239" t="s">
        <v>6402</v>
      </c>
      <c r="E273" s="240" t="s">
        <v>5881</v>
      </c>
      <c r="F273" s="243" t="s">
        <v>6386</v>
      </c>
      <c r="G273" s="246" t="str">
        <f>IF(COUNTIF(H273:AU273,"&lt;&gt;")=0,"",SUMPRODUCT(((Recommendations[ImplStatus]="Implemented")+(Recommendations[ImplStatus]="Compensated"))*ISNUMBER(MATCH(Recommendations[Id],H273:AU273,0)))/COUNTIF(H273:AU273,"&lt;&gt;"))</f>
        <v/>
      </c>
      <c r="H273" s="247"/>
      <c r="I273" s="247"/>
      <c r="J273" s="247"/>
      <c r="K273" s="247"/>
      <c r="L273" s="247"/>
      <c r="M273" s="247"/>
      <c r="N273" s="247"/>
      <c r="O273" s="247"/>
      <c r="P273" s="247"/>
      <c r="Q273" s="247"/>
      <c r="R273" s="247"/>
      <c r="S273" s="247"/>
      <c r="T273" s="247"/>
      <c r="U273" s="247"/>
      <c r="V273" s="247"/>
      <c r="W273" s="247"/>
      <c r="X273" s="247"/>
      <c r="Y273" s="247"/>
      <c r="Z273" s="247"/>
      <c r="AA273" s="247"/>
      <c r="AB273" s="247"/>
      <c r="AC273" s="247"/>
      <c r="AD273" s="247"/>
      <c r="AE273" s="247"/>
      <c r="AF273" s="247"/>
      <c r="AG273" s="247"/>
      <c r="AH273" s="247"/>
      <c r="AI273" s="247"/>
      <c r="AJ273" s="247"/>
      <c r="AK273" s="247"/>
      <c r="AL273" s="247"/>
      <c r="AM273" s="247"/>
      <c r="AN273" s="247"/>
      <c r="AO273" s="247"/>
      <c r="AP273" s="247"/>
      <c r="AQ273" s="247"/>
      <c r="AR273" s="247"/>
      <c r="AS273" s="247"/>
      <c r="AT273" s="247"/>
      <c r="AU273" s="261"/>
    </row>
    <row r="274" spans="1:47" ht="60" customHeight="1" outlineLevel="1" x14ac:dyDescent="0.35">
      <c r="A274" s="255" t="s">
        <v>6403</v>
      </c>
      <c r="B274" s="233"/>
      <c r="C274" s="233"/>
      <c r="D274" s="237"/>
      <c r="E274" s="233"/>
      <c r="F274" s="241"/>
      <c r="G274" s="244" t="str">
        <f>IF(COUNTIF(H274:AU274,"&lt;&gt;")=0,"",SUMPRODUCT(((Recommendations[ImplStatus]="Implemented")+(Recommendations[ImplStatus]="Compensated"))*ISNUMBER(MATCH(Recommendations[Id],H274:AU274,0)))/COUNTIF(H274:AU274,"&lt;&gt;"))</f>
        <v/>
      </c>
      <c r="H274" s="241"/>
      <c r="I274" s="241"/>
      <c r="J274" s="241"/>
      <c r="K274" s="241"/>
      <c r="L274" s="241"/>
      <c r="M274" s="241"/>
      <c r="N274" s="241"/>
      <c r="O274" s="241"/>
      <c r="P274" s="241"/>
      <c r="Q274" s="241"/>
      <c r="R274" s="241"/>
      <c r="S274" s="241"/>
      <c r="T274" s="241"/>
      <c r="U274" s="241"/>
      <c r="V274" s="241"/>
      <c r="W274" s="241"/>
      <c r="X274" s="241"/>
      <c r="Y274" s="241"/>
      <c r="Z274" s="241"/>
      <c r="AA274" s="241"/>
      <c r="AB274" s="241"/>
      <c r="AC274" s="241"/>
      <c r="AD274" s="241"/>
      <c r="AE274" s="241"/>
      <c r="AF274" s="241"/>
      <c r="AG274" s="241"/>
      <c r="AH274" s="241"/>
      <c r="AI274" s="241"/>
      <c r="AJ274" s="241"/>
      <c r="AK274" s="241"/>
      <c r="AL274" s="241"/>
      <c r="AM274" s="241"/>
      <c r="AN274" s="241"/>
      <c r="AO274" s="241"/>
      <c r="AP274" s="241"/>
      <c r="AQ274" s="241"/>
      <c r="AR274" s="241"/>
      <c r="AS274" s="241"/>
      <c r="AT274" s="241"/>
      <c r="AU274" s="259"/>
    </row>
    <row r="275" spans="1:47" ht="60" customHeight="1" outlineLevel="2" x14ac:dyDescent="0.35">
      <c r="A275" s="256" t="s">
        <v>6403</v>
      </c>
      <c r="B275" s="234" t="s">
        <v>6404</v>
      </c>
      <c r="C275" s="234"/>
      <c r="D275" s="238"/>
      <c r="E275" s="234"/>
      <c r="F275" s="242"/>
      <c r="G275" s="245" t="str">
        <f>IF(COUNTIF(H275:AU275,"&lt;&gt;")=0,"",SUMPRODUCT(((Recommendations[ImplStatus]="Implemented")+(Recommendations[ImplStatus]="Compensated"))*ISNUMBER(MATCH(Recommendations[Id],H275:AU275,0)))/COUNTIF(H275:AU275,"&lt;&gt;"))</f>
        <v/>
      </c>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60"/>
    </row>
    <row r="276" spans="1:47" ht="60" customHeight="1" x14ac:dyDescent="0.35">
      <c r="A276" s="257" t="s">
        <v>6403</v>
      </c>
      <c r="B276" s="235" t="s">
        <v>6404</v>
      </c>
      <c r="C276" s="236" t="s">
        <v>6405</v>
      </c>
      <c r="D276" s="239" t="s">
        <v>6406</v>
      </c>
      <c r="E276" s="240" t="s">
        <v>5852</v>
      </c>
      <c r="F276" s="243" t="s">
        <v>6407</v>
      </c>
      <c r="G276" s="246" t="str">
        <f>IF(COUNTIF(H276:AU276,"&lt;&gt;")=0,"",SUMPRODUCT(((Recommendations[ImplStatus]="Implemented")+(Recommendations[ImplStatus]="Compensated"))*ISNUMBER(MATCH(Recommendations[Id],H276:AU276,0)))/COUNTIF(H276:AU276,"&lt;&gt;"))</f>
        <v/>
      </c>
      <c r="H276" s="247"/>
      <c r="I276" s="247"/>
      <c r="J276" s="247"/>
      <c r="K276" s="247"/>
      <c r="L276" s="247"/>
      <c r="M276" s="247"/>
      <c r="N276" s="247"/>
      <c r="O276" s="247"/>
      <c r="P276" s="247"/>
      <c r="Q276" s="247"/>
      <c r="R276" s="247"/>
      <c r="S276" s="247"/>
      <c r="T276" s="247"/>
      <c r="U276" s="247"/>
      <c r="V276" s="247"/>
      <c r="W276" s="247"/>
      <c r="X276" s="247"/>
      <c r="Y276" s="247"/>
      <c r="Z276" s="247"/>
      <c r="AA276" s="247"/>
      <c r="AB276" s="247"/>
      <c r="AC276" s="247"/>
      <c r="AD276" s="247"/>
      <c r="AE276" s="247"/>
      <c r="AF276" s="247"/>
      <c r="AG276" s="247"/>
      <c r="AH276" s="247"/>
      <c r="AI276" s="247"/>
      <c r="AJ276" s="247"/>
      <c r="AK276" s="247"/>
      <c r="AL276" s="247"/>
      <c r="AM276" s="247"/>
      <c r="AN276" s="247"/>
      <c r="AO276" s="247"/>
      <c r="AP276" s="247"/>
      <c r="AQ276" s="247"/>
      <c r="AR276" s="247"/>
      <c r="AS276" s="247"/>
      <c r="AT276" s="247"/>
      <c r="AU276" s="261"/>
    </row>
    <row r="277" spans="1:47" ht="60" customHeight="1" x14ac:dyDescent="0.35">
      <c r="A277" s="257" t="s">
        <v>6403</v>
      </c>
      <c r="B277" s="235" t="s">
        <v>6404</v>
      </c>
      <c r="C277" s="236" t="s">
        <v>6408</v>
      </c>
      <c r="D277" s="239" t="s">
        <v>6409</v>
      </c>
      <c r="E277" s="240" t="s">
        <v>5852</v>
      </c>
      <c r="F277" s="243" t="s">
        <v>6407</v>
      </c>
      <c r="G277" s="246" t="str">
        <f>IF(COUNTIF(H277:AU277,"&lt;&gt;")=0,"",SUMPRODUCT(((Recommendations[ImplStatus]="Implemented")+(Recommendations[ImplStatus]="Compensated"))*ISNUMBER(MATCH(Recommendations[Id],H277:AU277,0)))/COUNTIF(H277:AU277,"&lt;&gt;"))</f>
        <v/>
      </c>
      <c r="H277" s="247"/>
      <c r="I277" s="247"/>
      <c r="J277" s="247"/>
      <c r="K277" s="247"/>
      <c r="L277" s="247"/>
      <c r="M277" s="247"/>
      <c r="N277" s="247"/>
      <c r="O277" s="247"/>
      <c r="P277" s="247"/>
      <c r="Q277" s="247"/>
      <c r="R277" s="247"/>
      <c r="S277" s="247"/>
      <c r="T277" s="247"/>
      <c r="U277" s="247"/>
      <c r="V277" s="247"/>
      <c r="W277" s="247"/>
      <c r="X277" s="247"/>
      <c r="Y277" s="247"/>
      <c r="Z277" s="247"/>
      <c r="AA277" s="247"/>
      <c r="AB277" s="247"/>
      <c r="AC277" s="247"/>
      <c r="AD277" s="247"/>
      <c r="AE277" s="247"/>
      <c r="AF277" s="247"/>
      <c r="AG277" s="247"/>
      <c r="AH277" s="247"/>
      <c r="AI277" s="247"/>
      <c r="AJ277" s="247"/>
      <c r="AK277" s="247"/>
      <c r="AL277" s="247"/>
      <c r="AM277" s="247"/>
      <c r="AN277" s="247"/>
      <c r="AO277" s="247"/>
      <c r="AP277" s="247"/>
      <c r="AQ277" s="247"/>
      <c r="AR277" s="247"/>
      <c r="AS277" s="247"/>
      <c r="AT277" s="247"/>
      <c r="AU277" s="261"/>
    </row>
    <row r="278" spans="1:47" ht="60" customHeight="1" x14ac:dyDescent="0.35">
      <c r="A278" s="257" t="s">
        <v>6403</v>
      </c>
      <c r="B278" s="235" t="s">
        <v>6404</v>
      </c>
      <c r="C278" s="236" t="s">
        <v>6410</v>
      </c>
      <c r="D278" s="239" t="s">
        <v>6411</v>
      </c>
      <c r="E278" s="240" t="s">
        <v>5852</v>
      </c>
      <c r="F278" s="243" t="s">
        <v>6407</v>
      </c>
      <c r="G278" s="246" t="str">
        <f>IF(COUNTIF(H278:AU278,"&lt;&gt;")=0,"",SUMPRODUCT(((Recommendations[ImplStatus]="Implemented")+(Recommendations[ImplStatus]="Compensated"))*ISNUMBER(MATCH(Recommendations[Id],H278:AU278,0)))/COUNTIF(H278:AU278,"&lt;&gt;"))</f>
        <v/>
      </c>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c r="AH278" s="247"/>
      <c r="AI278" s="247"/>
      <c r="AJ278" s="247"/>
      <c r="AK278" s="247"/>
      <c r="AL278" s="247"/>
      <c r="AM278" s="247"/>
      <c r="AN278" s="247"/>
      <c r="AO278" s="247"/>
      <c r="AP278" s="247"/>
      <c r="AQ278" s="247"/>
      <c r="AR278" s="247"/>
      <c r="AS278" s="247"/>
      <c r="AT278" s="247"/>
      <c r="AU278" s="261"/>
    </row>
    <row r="279" spans="1:47" ht="60" customHeight="1" x14ac:dyDescent="0.35">
      <c r="A279" s="257" t="s">
        <v>6403</v>
      </c>
      <c r="B279" s="235" t="s">
        <v>6404</v>
      </c>
      <c r="C279" s="236" t="s">
        <v>6412</v>
      </c>
      <c r="D279" s="239" t="s">
        <v>6413</v>
      </c>
      <c r="E279" s="240" t="s">
        <v>5852</v>
      </c>
      <c r="F279" s="243" t="s">
        <v>6407</v>
      </c>
      <c r="G279" s="246" t="str">
        <f>IF(COUNTIF(H279:AU279,"&lt;&gt;")=0,"",SUMPRODUCT(((Recommendations[ImplStatus]="Implemented")+(Recommendations[ImplStatus]="Compensated"))*ISNUMBER(MATCH(Recommendations[Id],H279:AU279,0)))/COUNTIF(H279:AU279,"&lt;&gt;"))</f>
        <v/>
      </c>
      <c r="H279" s="247"/>
      <c r="I279" s="247"/>
      <c r="J279" s="247"/>
      <c r="K279" s="247"/>
      <c r="L279" s="247"/>
      <c r="M279" s="247"/>
      <c r="N279" s="247"/>
      <c r="O279" s="247"/>
      <c r="P279" s="247"/>
      <c r="Q279" s="247"/>
      <c r="R279" s="247"/>
      <c r="S279" s="247"/>
      <c r="T279" s="247"/>
      <c r="U279" s="247"/>
      <c r="V279" s="247"/>
      <c r="W279" s="247"/>
      <c r="X279" s="247"/>
      <c r="Y279" s="247"/>
      <c r="Z279" s="247"/>
      <c r="AA279" s="247"/>
      <c r="AB279" s="247"/>
      <c r="AC279" s="247"/>
      <c r="AD279" s="247"/>
      <c r="AE279" s="247"/>
      <c r="AF279" s="247"/>
      <c r="AG279" s="247"/>
      <c r="AH279" s="247"/>
      <c r="AI279" s="247"/>
      <c r="AJ279" s="247"/>
      <c r="AK279" s="247"/>
      <c r="AL279" s="247"/>
      <c r="AM279" s="247"/>
      <c r="AN279" s="247"/>
      <c r="AO279" s="247"/>
      <c r="AP279" s="247"/>
      <c r="AQ279" s="247"/>
      <c r="AR279" s="247"/>
      <c r="AS279" s="247"/>
      <c r="AT279" s="247"/>
      <c r="AU279" s="261"/>
    </row>
    <row r="280" spans="1:47" ht="60" customHeight="1" x14ac:dyDescent="0.35">
      <c r="A280" s="257" t="s">
        <v>6403</v>
      </c>
      <c r="B280" s="235" t="s">
        <v>6404</v>
      </c>
      <c r="C280" s="236" t="s">
        <v>6414</v>
      </c>
      <c r="D280" s="239" t="s">
        <v>6415</v>
      </c>
      <c r="E280" s="240" t="s">
        <v>5852</v>
      </c>
      <c r="F280" s="243" t="s">
        <v>6407</v>
      </c>
      <c r="G280" s="246" t="str">
        <f>IF(COUNTIF(H280:AU280,"&lt;&gt;")=0,"",SUMPRODUCT(((Recommendations[ImplStatus]="Implemented")+(Recommendations[ImplStatus]="Compensated"))*ISNUMBER(MATCH(Recommendations[Id],H280:AU280,0)))/COUNTIF(H280:AU280,"&lt;&gt;"))</f>
        <v/>
      </c>
      <c r="H280" s="247"/>
      <c r="I280" s="247"/>
      <c r="J280" s="247"/>
      <c r="K280" s="247"/>
      <c r="L280" s="247"/>
      <c r="M280" s="247"/>
      <c r="N280" s="247"/>
      <c r="O280" s="247"/>
      <c r="P280" s="247"/>
      <c r="Q280" s="247"/>
      <c r="R280" s="247"/>
      <c r="S280" s="247"/>
      <c r="T280" s="247"/>
      <c r="U280" s="247"/>
      <c r="V280" s="247"/>
      <c r="W280" s="247"/>
      <c r="X280" s="247"/>
      <c r="Y280" s="247"/>
      <c r="Z280" s="247"/>
      <c r="AA280" s="247"/>
      <c r="AB280" s="247"/>
      <c r="AC280" s="247"/>
      <c r="AD280" s="247"/>
      <c r="AE280" s="247"/>
      <c r="AF280" s="247"/>
      <c r="AG280" s="247"/>
      <c r="AH280" s="247"/>
      <c r="AI280" s="247"/>
      <c r="AJ280" s="247"/>
      <c r="AK280" s="247"/>
      <c r="AL280" s="247"/>
      <c r="AM280" s="247"/>
      <c r="AN280" s="247"/>
      <c r="AO280" s="247"/>
      <c r="AP280" s="247"/>
      <c r="AQ280" s="247"/>
      <c r="AR280" s="247"/>
      <c r="AS280" s="247"/>
      <c r="AT280" s="247"/>
      <c r="AU280" s="261"/>
    </row>
    <row r="281" spans="1:47" ht="60" customHeight="1" x14ac:dyDescent="0.35">
      <c r="A281" s="257" t="s">
        <v>6403</v>
      </c>
      <c r="B281" s="235" t="s">
        <v>6404</v>
      </c>
      <c r="C281" s="236" t="s">
        <v>6416</v>
      </c>
      <c r="D281" s="239" t="s">
        <v>6417</v>
      </c>
      <c r="E281" s="240" t="s">
        <v>5852</v>
      </c>
      <c r="F281" s="243" t="s">
        <v>6407</v>
      </c>
      <c r="G281" s="246" t="str">
        <f>IF(COUNTIF(H281:AU281,"&lt;&gt;")=0,"",SUMPRODUCT(((Recommendations[ImplStatus]="Implemented")+(Recommendations[ImplStatus]="Compensated"))*ISNUMBER(MATCH(Recommendations[Id],H281:AU281,0)))/COUNTIF(H281:AU281,"&lt;&gt;"))</f>
        <v/>
      </c>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247"/>
      <c r="AG281" s="247"/>
      <c r="AH281" s="247"/>
      <c r="AI281" s="247"/>
      <c r="AJ281" s="247"/>
      <c r="AK281" s="247"/>
      <c r="AL281" s="247"/>
      <c r="AM281" s="247"/>
      <c r="AN281" s="247"/>
      <c r="AO281" s="247"/>
      <c r="AP281" s="247"/>
      <c r="AQ281" s="247"/>
      <c r="AR281" s="247"/>
      <c r="AS281" s="247"/>
      <c r="AT281" s="247"/>
      <c r="AU281" s="261"/>
    </row>
    <row r="282" spans="1:47" ht="60" customHeight="1" x14ac:dyDescent="0.35">
      <c r="A282" s="257" t="s">
        <v>6403</v>
      </c>
      <c r="B282" s="235" t="s">
        <v>6404</v>
      </c>
      <c r="C282" s="236" t="s">
        <v>6418</v>
      </c>
      <c r="D282" s="239" t="s">
        <v>6419</v>
      </c>
      <c r="E282" s="240" t="s">
        <v>5852</v>
      </c>
      <c r="F282" s="243" t="s">
        <v>6407</v>
      </c>
      <c r="G282" s="246" t="str">
        <f>IF(COUNTIF(H282:AU282,"&lt;&gt;")=0,"",SUMPRODUCT(((Recommendations[ImplStatus]="Implemented")+(Recommendations[ImplStatus]="Compensated"))*ISNUMBER(MATCH(Recommendations[Id],H282:AU282,0)))/COUNTIF(H282:AU282,"&lt;&gt;"))</f>
        <v/>
      </c>
      <c r="H282" s="247"/>
      <c r="I282" s="247"/>
      <c r="J282" s="247"/>
      <c r="K282" s="247"/>
      <c r="L282" s="247"/>
      <c r="M282" s="247"/>
      <c r="N282" s="247"/>
      <c r="O282" s="247"/>
      <c r="P282" s="247"/>
      <c r="Q282" s="247"/>
      <c r="R282" s="247"/>
      <c r="S282" s="247"/>
      <c r="T282" s="247"/>
      <c r="U282" s="247"/>
      <c r="V282" s="247"/>
      <c r="W282" s="247"/>
      <c r="X282" s="247"/>
      <c r="Y282" s="247"/>
      <c r="Z282" s="247"/>
      <c r="AA282" s="247"/>
      <c r="AB282" s="247"/>
      <c r="AC282" s="247"/>
      <c r="AD282" s="247"/>
      <c r="AE282" s="247"/>
      <c r="AF282" s="247"/>
      <c r="AG282" s="247"/>
      <c r="AH282" s="247"/>
      <c r="AI282" s="247"/>
      <c r="AJ282" s="247"/>
      <c r="AK282" s="247"/>
      <c r="AL282" s="247"/>
      <c r="AM282" s="247"/>
      <c r="AN282" s="247"/>
      <c r="AO282" s="247"/>
      <c r="AP282" s="247"/>
      <c r="AQ282" s="247"/>
      <c r="AR282" s="247"/>
      <c r="AS282" s="247"/>
      <c r="AT282" s="247"/>
      <c r="AU282" s="261"/>
    </row>
    <row r="283" spans="1:47" ht="60" customHeight="1" x14ac:dyDescent="0.35">
      <c r="A283" s="257" t="s">
        <v>6403</v>
      </c>
      <c r="B283" s="235" t="s">
        <v>6404</v>
      </c>
      <c r="C283" s="236" t="s">
        <v>6420</v>
      </c>
      <c r="D283" s="239" t="s">
        <v>6421</v>
      </c>
      <c r="E283" s="240" t="s">
        <v>5948</v>
      </c>
      <c r="F283" s="243" t="s">
        <v>6422</v>
      </c>
      <c r="G283" s="246" t="str">
        <f>IF(COUNTIF(H283:AU283,"&lt;&gt;")=0,"",SUMPRODUCT(((Recommendations[ImplStatus]="Implemented")+(Recommendations[ImplStatus]="Compensated"))*ISNUMBER(MATCH(Recommendations[Id],H283:AU283,0)))/COUNTIF(H283:AU283,"&lt;&gt;"))</f>
        <v/>
      </c>
      <c r="H283" s="247"/>
      <c r="I283" s="247"/>
      <c r="J283" s="247"/>
      <c r="K283" s="247"/>
      <c r="L283" s="247"/>
      <c r="M283" s="247"/>
      <c r="N283" s="247"/>
      <c r="O283" s="247"/>
      <c r="P283" s="247"/>
      <c r="Q283" s="247"/>
      <c r="R283" s="247"/>
      <c r="S283" s="247"/>
      <c r="T283" s="247"/>
      <c r="U283" s="247"/>
      <c r="V283" s="247"/>
      <c r="W283" s="247"/>
      <c r="X283" s="247"/>
      <c r="Y283" s="247"/>
      <c r="Z283" s="247"/>
      <c r="AA283" s="247"/>
      <c r="AB283" s="247"/>
      <c r="AC283" s="247"/>
      <c r="AD283" s="247"/>
      <c r="AE283" s="247"/>
      <c r="AF283" s="247"/>
      <c r="AG283" s="247"/>
      <c r="AH283" s="247"/>
      <c r="AI283" s="247"/>
      <c r="AJ283" s="247"/>
      <c r="AK283" s="247"/>
      <c r="AL283" s="247"/>
      <c r="AM283" s="247"/>
      <c r="AN283" s="247"/>
      <c r="AO283" s="247"/>
      <c r="AP283" s="247"/>
      <c r="AQ283" s="247"/>
      <c r="AR283" s="247"/>
      <c r="AS283" s="247"/>
      <c r="AT283" s="247"/>
      <c r="AU283" s="261"/>
    </row>
    <row r="284" spans="1:47" ht="60" customHeight="1" x14ac:dyDescent="0.35">
      <c r="A284" s="257" t="s">
        <v>6403</v>
      </c>
      <c r="B284" s="235" t="s">
        <v>6404</v>
      </c>
      <c r="C284" s="236" t="s">
        <v>6423</v>
      </c>
      <c r="D284" s="239" t="s">
        <v>6424</v>
      </c>
      <c r="E284" s="240" t="s">
        <v>5948</v>
      </c>
      <c r="F284" s="243" t="s">
        <v>6422</v>
      </c>
      <c r="G284" s="246" t="str">
        <f>IF(COUNTIF(H284:AU284,"&lt;&gt;")=0,"",SUMPRODUCT(((Recommendations[ImplStatus]="Implemented")+(Recommendations[ImplStatus]="Compensated"))*ISNUMBER(MATCH(Recommendations[Id],H284:AU284,0)))/COUNTIF(H284:AU284,"&lt;&gt;"))</f>
        <v/>
      </c>
      <c r="H284" s="247"/>
      <c r="I284" s="247"/>
      <c r="J284" s="247"/>
      <c r="K284" s="247"/>
      <c r="L284" s="247"/>
      <c r="M284" s="247"/>
      <c r="N284" s="247"/>
      <c r="O284" s="247"/>
      <c r="P284" s="247"/>
      <c r="Q284" s="247"/>
      <c r="R284" s="247"/>
      <c r="S284" s="247"/>
      <c r="T284" s="247"/>
      <c r="U284" s="247"/>
      <c r="V284" s="247"/>
      <c r="W284" s="247"/>
      <c r="X284" s="247"/>
      <c r="Y284" s="247"/>
      <c r="Z284" s="247"/>
      <c r="AA284" s="247"/>
      <c r="AB284" s="247"/>
      <c r="AC284" s="247"/>
      <c r="AD284" s="247"/>
      <c r="AE284" s="247"/>
      <c r="AF284" s="247"/>
      <c r="AG284" s="247"/>
      <c r="AH284" s="247"/>
      <c r="AI284" s="247"/>
      <c r="AJ284" s="247"/>
      <c r="AK284" s="247"/>
      <c r="AL284" s="247"/>
      <c r="AM284" s="247"/>
      <c r="AN284" s="247"/>
      <c r="AO284" s="247"/>
      <c r="AP284" s="247"/>
      <c r="AQ284" s="247"/>
      <c r="AR284" s="247"/>
      <c r="AS284" s="247"/>
      <c r="AT284" s="247"/>
      <c r="AU284" s="261"/>
    </row>
    <row r="285" spans="1:47" ht="60" customHeight="1" x14ac:dyDescent="0.35">
      <c r="A285" s="257" t="s">
        <v>6403</v>
      </c>
      <c r="B285" s="235" t="s">
        <v>6404</v>
      </c>
      <c r="C285" s="236" t="s">
        <v>6425</v>
      </c>
      <c r="D285" s="239" t="s">
        <v>6426</v>
      </c>
      <c r="E285" s="240" t="s">
        <v>5852</v>
      </c>
      <c r="F285" s="243" t="s">
        <v>6422</v>
      </c>
      <c r="G285" s="246" t="str">
        <f>IF(COUNTIF(H285:AU285,"&lt;&gt;")=0,"",SUMPRODUCT(((Recommendations[ImplStatus]="Implemented")+(Recommendations[ImplStatus]="Compensated"))*ISNUMBER(MATCH(Recommendations[Id],H285:AU285,0)))/COUNTIF(H285:AU285,"&lt;&gt;"))</f>
        <v/>
      </c>
      <c r="H285" s="247"/>
      <c r="I285" s="247"/>
      <c r="J285" s="247"/>
      <c r="K285" s="247"/>
      <c r="L285" s="247"/>
      <c r="M285" s="247"/>
      <c r="N285" s="247"/>
      <c r="O285" s="247"/>
      <c r="P285" s="247"/>
      <c r="Q285" s="247"/>
      <c r="R285" s="247"/>
      <c r="S285" s="247"/>
      <c r="T285" s="247"/>
      <c r="U285" s="247"/>
      <c r="V285" s="247"/>
      <c r="W285" s="247"/>
      <c r="X285" s="247"/>
      <c r="Y285" s="247"/>
      <c r="Z285" s="247"/>
      <c r="AA285" s="247"/>
      <c r="AB285" s="247"/>
      <c r="AC285" s="247"/>
      <c r="AD285" s="247"/>
      <c r="AE285" s="247"/>
      <c r="AF285" s="247"/>
      <c r="AG285" s="247"/>
      <c r="AH285" s="247"/>
      <c r="AI285" s="247"/>
      <c r="AJ285" s="247"/>
      <c r="AK285" s="247"/>
      <c r="AL285" s="247"/>
      <c r="AM285" s="247"/>
      <c r="AN285" s="247"/>
      <c r="AO285" s="247"/>
      <c r="AP285" s="247"/>
      <c r="AQ285" s="247"/>
      <c r="AR285" s="247"/>
      <c r="AS285" s="247"/>
      <c r="AT285" s="247"/>
      <c r="AU285" s="261"/>
    </row>
    <row r="286" spans="1:47" ht="60" customHeight="1" x14ac:dyDescent="0.35">
      <c r="A286" s="257" t="s">
        <v>6403</v>
      </c>
      <c r="B286" s="235" t="s">
        <v>6404</v>
      </c>
      <c r="C286" s="236" t="s">
        <v>6427</v>
      </c>
      <c r="D286" s="239" t="s">
        <v>6428</v>
      </c>
      <c r="E286" s="240" t="s">
        <v>5881</v>
      </c>
      <c r="F286" s="243" t="s">
        <v>6422</v>
      </c>
      <c r="G286" s="246" t="str">
        <f>IF(COUNTIF(H286:AU286,"&lt;&gt;")=0,"",SUMPRODUCT(((Recommendations[ImplStatus]="Implemented")+(Recommendations[ImplStatus]="Compensated"))*ISNUMBER(MATCH(Recommendations[Id],H286:AU286,0)))/COUNTIF(H286:AU286,"&lt;&gt;"))</f>
        <v/>
      </c>
      <c r="H286" s="247"/>
      <c r="I286" s="247"/>
      <c r="J286" s="247"/>
      <c r="K286" s="247"/>
      <c r="L286" s="247"/>
      <c r="M286" s="247"/>
      <c r="N286" s="247"/>
      <c r="O286" s="247"/>
      <c r="P286" s="247"/>
      <c r="Q286" s="247"/>
      <c r="R286" s="247"/>
      <c r="S286" s="247"/>
      <c r="T286" s="247"/>
      <c r="U286" s="247"/>
      <c r="V286" s="247"/>
      <c r="W286" s="247"/>
      <c r="X286" s="247"/>
      <c r="Y286" s="247"/>
      <c r="Z286" s="247"/>
      <c r="AA286" s="247"/>
      <c r="AB286" s="247"/>
      <c r="AC286" s="247"/>
      <c r="AD286" s="247"/>
      <c r="AE286" s="247"/>
      <c r="AF286" s="247"/>
      <c r="AG286" s="247"/>
      <c r="AH286" s="247"/>
      <c r="AI286" s="247"/>
      <c r="AJ286" s="247"/>
      <c r="AK286" s="247"/>
      <c r="AL286" s="247"/>
      <c r="AM286" s="247"/>
      <c r="AN286" s="247"/>
      <c r="AO286" s="247"/>
      <c r="AP286" s="247"/>
      <c r="AQ286" s="247"/>
      <c r="AR286" s="247"/>
      <c r="AS286" s="247"/>
      <c r="AT286" s="247"/>
      <c r="AU286" s="261"/>
    </row>
    <row r="287" spans="1:47" ht="60" customHeight="1" x14ac:dyDescent="0.35">
      <c r="A287" s="257" t="s">
        <v>6403</v>
      </c>
      <c r="B287" s="235" t="s">
        <v>6404</v>
      </c>
      <c r="C287" s="236" t="s">
        <v>6429</v>
      </c>
      <c r="D287" s="239" t="s">
        <v>6430</v>
      </c>
      <c r="E287" s="240" t="s">
        <v>5881</v>
      </c>
      <c r="F287" s="243" t="s">
        <v>6422</v>
      </c>
      <c r="G287" s="246" t="str">
        <f>IF(COUNTIF(H287:AU287,"&lt;&gt;")=0,"",SUMPRODUCT(((Recommendations[ImplStatus]="Implemented")+(Recommendations[ImplStatus]="Compensated"))*ISNUMBER(MATCH(Recommendations[Id],H287:AU287,0)))/COUNTIF(H287:AU287,"&lt;&gt;"))</f>
        <v/>
      </c>
      <c r="H287" s="247"/>
      <c r="I287" s="247"/>
      <c r="J287" s="247"/>
      <c r="K287" s="247"/>
      <c r="L287" s="247"/>
      <c r="M287" s="247"/>
      <c r="N287" s="247"/>
      <c r="O287" s="247"/>
      <c r="P287" s="247"/>
      <c r="Q287" s="247"/>
      <c r="R287" s="247"/>
      <c r="S287" s="247"/>
      <c r="T287" s="247"/>
      <c r="U287" s="247"/>
      <c r="V287" s="247"/>
      <c r="W287" s="247"/>
      <c r="X287" s="247"/>
      <c r="Y287" s="247"/>
      <c r="Z287" s="247"/>
      <c r="AA287" s="247"/>
      <c r="AB287" s="247"/>
      <c r="AC287" s="247"/>
      <c r="AD287" s="247"/>
      <c r="AE287" s="247"/>
      <c r="AF287" s="247"/>
      <c r="AG287" s="247"/>
      <c r="AH287" s="247"/>
      <c r="AI287" s="247"/>
      <c r="AJ287" s="247"/>
      <c r="AK287" s="247"/>
      <c r="AL287" s="247"/>
      <c r="AM287" s="247"/>
      <c r="AN287" s="247"/>
      <c r="AO287" s="247"/>
      <c r="AP287" s="247"/>
      <c r="AQ287" s="247"/>
      <c r="AR287" s="247"/>
      <c r="AS287" s="247"/>
      <c r="AT287" s="247"/>
      <c r="AU287" s="261"/>
    </row>
    <row r="288" spans="1:47" ht="60" customHeight="1" x14ac:dyDescent="0.35">
      <c r="A288" s="257" t="s">
        <v>6403</v>
      </c>
      <c r="B288" s="235" t="s">
        <v>6404</v>
      </c>
      <c r="C288" s="236" t="s">
        <v>6431</v>
      </c>
      <c r="D288" s="239" t="s">
        <v>6432</v>
      </c>
      <c r="E288" s="240" t="s">
        <v>5881</v>
      </c>
      <c r="F288" s="243" t="s">
        <v>6422</v>
      </c>
      <c r="G288" s="246" t="str">
        <f>IF(COUNTIF(H288:AU288,"&lt;&gt;")=0,"",SUMPRODUCT(((Recommendations[ImplStatus]="Implemented")+(Recommendations[ImplStatus]="Compensated"))*ISNUMBER(MATCH(Recommendations[Id],H288:AU288,0)))/COUNTIF(H288:AU288,"&lt;&gt;"))</f>
        <v/>
      </c>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c r="AH288" s="247"/>
      <c r="AI288" s="247"/>
      <c r="AJ288" s="247"/>
      <c r="AK288" s="247"/>
      <c r="AL288" s="247"/>
      <c r="AM288" s="247"/>
      <c r="AN288" s="247"/>
      <c r="AO288" s="247"/>
      <c r="AP288" s="247"/>
      <c r="AQ288" s="247"/>
      <c r="AR288" s="247"/>
      <c r="AS288" s="247"/>
      <c r="AT288" s="247"/>
      <c r="AU288" s="261"/>
    </row>
    <row r="289" spans="1:47" ht="60" customHeight="1" x14ac:dyDescent="0.35">
      <c r="A289" s="257" t="s">
        <v>6403</v>
      </c>
      <c r="B289" s="235" t="s">
        <v>6404</v>
      </c>
      <c r="C289" s="236" t="s">
        <v>6433</v>
      </c>
      <c r="D289" s="239" t="s">
        <v>6434</v>
      </c>
      <c r="E289" s="240" t="s">
        <v>5881</v>
      </c>
      <c r="F289" s="243" t="s">
        <v>6422</v>
      </c>
      <c r="G289" s="246" t="str">
        <f>IF(COUNTIF(H289:AU289,"&lt;&gt;")=0,"",SUMPRODUCT(((Recommendations[ImplStatus]="Implemented")+(Recommendations[ImplStatus]="Compensated"))*ISNUMBER(MATCH(Recommendations[Id],H289:AU289,0)))/COUNTIF(H289:AU289,"&lt;&gt;"))</f>
        <v/>
      </c>
      <c r="H289" s="247"/>
      <c r="I289" s="247"/>
      <c r="J289" s="247"/>
      <c r="K289" s="247"/>
      <c r="L289" s="247"/>
      <c r="M289" s="247"/>
      <c r="N289" s="247"/>
      <c r="O289" s="247"/>
      <c r="P289" s="247"/>
      <c r="Q289" s="247"/>
      <c r="R289" s="247"/>
      <c r="S289" s="247"/>
      <c r="T289" s="247"/>
      <c r="U289" s="247"/>
      <c r="V289" s="247"/>
      <c r="W289" s="247"/>
      <c r="X289" s="247"/>
      <c r="Y289" s="247"/>
      <c r="Z289" s="247"/>
      <c r="AA289" s="247"/>
      <c r="AB289" s="247"/>
      <c r="AC289" s="247"/>
      <c r="AD289" s="247"/>
      <c r="AE289" s="247"/>
      <c r="AF289" s="247"/>
      <c r="AG289" s="247"/>
      <c r="AH289" s="247"/>
      <c r="AI289" s="247"/>
      <c r="AJ289" s="247"/>
      <c r="AK289" s="247"/>
      <c r="AL289" s="247"/>
      <c r="AM289" s="247"/>
      <c r="AN289" s="247"/>
      <c r="AO289" s="247"/>
      <c r="AP289" s="247"/>
      <c r="AQ289" s="247"/>
      <c r="AR289" s="247"/>
      <c r="AS289" s="247"/>
      <c r="AT289" s="247"/>
      <c r="AU289" s="261"/>
    </row>
    <row r="290" spans="1:47" ht="60" customHeight="1" x14ac:dyDescent="0.35">
      <c r="A290" s="257" t="s">
        <v>6403</v>
      </c>
      <c r="B290" s="235" t="s">
        <v>6404</v>
      </c>
      <c r="C290" s="236" t="s">
        <v>6435</v>
      </c>
      <c r="D290" s="239" t="s">
        <v>6436</v>
      </c>
      <c r="E290" s="240" t="s">
        <v>5852</v>
      </c>
      <c r="F290" s="243" t="s">
        <v>6422</v>
      </c>
      <c r="G290" s="246" t="str">
        <f>IF(COUNTIF(H290:AU290,"&lt;&gt;")=0,"",SUMPRODUCT(((Recommendations[ImplStatus]="Implemented")+(Recommendations[ImplStatus]="Compensated"))*ISNUMBER(MATCH(Recommendations[Id],H290:AU290,0)))/COUNTIF(H290:AU290,"&lt;&gt;"))</f>
        <v/>
      </c>
      <c r="H290" s="247"/>
      <c r="I290" s="247"/>
      <c r="J290" s="247"/>
      <c r="K290" s="247"/>
      <c r="L290" s="247"/>
      <c r="M290" s="247"/>
      <c r="N290" s="247"/>
      <c r="O290" s="247"/>
      <c r="P290" s="247"/>
      <c r="Q290" s="247"/>
      <c r="R290" s="247"/>
      <c r="S290" s="247"/>
      <c r="T290" s="247"/>
      <c r="U290" s="247"/>
      <c r="V290" s="247"/>
      <c r="W290" s="247"/>
      <c r="X290" s="247"/>
      <c r="Y290" s="247"/>
      <c r="Z290" s="247"/>
      <c r="AA290" s="247"/>
      <c r="AB290" s="247"/>
      <c r="AC290" s="247"/>
      <c r="AD290" s="247"/>
      <c r="AE290" s="247"/>
      <c r="AF290" s="247"/>
      <c r="AG290" s="247"/>
      <c r="AH290" s="247"/>
      <c r="AI290" s="247"/>
      <c r="AJ290" s="247"/>
      <c r="AK290" s="247"/>
      <c r="AL290" s="247"/>
      <c r="AM290" s="247"/>
      <c r="AN290" s="247"/>
      <c r="AO290" s="247"/>
      <c r="AP290" s="247"/>
      <c r="AQ290" s="247"/>
      <c r="AR290" s="247"/>
      <c r="AS290" s="247"/>
      <c r="AT290" s="247"/>
      <c r="AU290" s="261"/>
    </row>
    <row r="291" spans="1:47" ht="60" customHeight="1" x14ac:dyDescent="0.35">
      <c r="A291" s="257" t="s">
        <v>6403</v>
      </c>
      <c r="B291" s="235" t="s">
        <v>6404</v>
      </c>
      <c r="C291" s="236" t="s">
        <v>6437</v>
      </c>
      <c r="D291" s="239" t="s">
        <v>6438</v>
      </c>
      <c r="E291" s="240" t="s">
        <v>5881</v>
      </c>
      <c r="F291" s="243" t="s">
        <v>6439</v>
      </c>
      <c r="G291" s="246" t="str">
        <f>IF(COUNTIF(H291:AU291,"&lt;&gt;")=0,"",SUMPRODUCT(((Recommendations[ImplStatus]="Implemented")+(Recommendations[ImplStatus]="Compensated"))*ISNUMBER(MATCH(Recommendations[Id],H291:AU291,0)))/COUNTIF(H291:AU291,"&lt;&gt;"))</f>
        <v/>
      </c>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61"/>
    </row>
    <row r="292" spans="1:47" ht="60" customHeight="1" x14ac:dyDescent="0.35">
      <c r="A292" s="257" t="s">
        <v>6403</v>
      </c>
      <c r="B292" s="235" t="s">
        <v>6404</v>
      </c>
      <c r="C292" s="236" t="s">
        <v>6440</v>
      </c>
      <c r="D292" s="239" t="s">
        <v>6441</v>
      </c>
      <c r="E292" s="240" t="s">
        <v>5881</v>
      </c>
      <c r="F292" s="243" t="s">
        <v>6439</v>
      </c>
      <c r="G292" s="246" t="str">
        <f>IF(COUNTIF(H292:AU292,"&lt;&gt;")=0,"",SUMPRODUCT(((Recommendations[ImplStatus]="Implemented")+(Recommendations[ImplStatus]="Compensated"))*ISNUMBER(MATCH(Recommendations[Id],H292:AU292,0)))/COUNTIF(H292:AU292,"&lt;&gt;"))</f>
        <v/>
      </c>
      <c r="H292" s="247"/>
      <c r="I292" s="247"/>
      <c r="J292" s="247"/>
      <c r="K292" s="247"/>
      <c r="L292" s="247"/>
      <c r="M292" s="247"/>
      <c r="N292" s="247"/>
      <c r="O292" s="247"/>
      <c r="P292" s="247"/>
      <c r="Q292" s="247"/>
      <c r="R292" s="247"/>
      <c r="S292" s="247"/>
      <c r="T292" s="247"/>
      <c r="U292" s="247"/>
      <c r="V292" s="247"/>
      <c r="W292" s="247"/>
      <c r="X292" s="247"/>
      <c r="Y292" s="247"/>
      <c r="Z292" s="247"/>
      <c r="AA292" s="247"/>
      <c r="AB292" s="247"/>
      <c r="AC292" s="247"/>
      <c r="AD292" s="247"/>
      <c r="AE292" s="247"/>
      <c r="AF292" s="247"/>
      <c r="AG292" s="247"/>
      <c r="AH292" s="247"/>
      <c r="AI292" s="247"/>
      <c r="AJ292" s="247"/>
      <c r="AK292" s="247"/>
      <c r="AL292" s="247"/>
      <c r="AM292" s="247"/>
      <c r="AN292" s="247"/>
      <c r="AO292" s="247"/>
      <c r="AP292" s="247"/>
      <c r="AQ292" s="247"/>
      <c r="AR292" s="247"/>
      <c r="AS292" s="247"/>
      <c r="AT292" s="247"/>
      <c r="AU292" s="261"/>
    </row>
    <row r="293" spans="1:47" ht="60" customHeight="1" x14ac:dyDescent="0.35">
      <c r="A293" s="257" t="s">
        <v>6403</v>
      </c>
      <c r="B293" s="235" t="s">
        <v>6404</v>
      </c>
      <c r="C293" s="236" t="s">
        <v>6442</v>
      </c>
      <c r="D293" s="239" t="s">
        <v>6443</v>
      </c>
      <c r="E293" s="240" t="s">
        <v>6131</v>
      </c>
      <c r="F293" s="243" t="s">
        <v>6422</v>
      </c>
      <c r="G293" s="246" t="str">
        <f>IF(COUNTIF(H293:AU293,"&lt;&gt;")=0,"",SUMPRODUCT(((Recommendations[ImplStatus]="Implemented")+(Recommendations[ImplStatus]="Compensated"))*ISNUMBER(MATCH(Recommendations[Id],H293:AU293,0)))/COUNTIF(H293:AU293,"&lt;&gt;"))</f>
        <v/>
      </c>
      <c r="H293" s="247"/>
      <c r="I293" s="247"/>
      <c r="J293" s="247"/>
      <c r="K293" s="247"/>
      <c r="L293" s="247"/>
      <c r="M293" s="247"/>
      <c r="N293" s="247"/>
      <c r="O293" s="247"/>
      <c r="P293" s="247"/>
      <c r="Q293" s="247"/>
      <c r="R293" s="247"/>
      <c r="S293" s="247"/>
      <c r="T293" s="247"/>
      <c r="U293" s="247"/>
      <c r="V293" s="247"/>
      <c r="W293" s="247"/>
      <c r="X293" s="247"/>
      <c r="Y293" s="247"/>
      <c r="Z293" s="247"/>
      <c r="AA293" s="247"/>
      <c r="AB293" s="247"/>
      <c r="AC293" s="247"/>
      <c r="AD293" s="247"/>
      <c r="AE293" s="247"/>
      <c r="AF293" s="247"/>
      <c r="AG293" s="247"/>
      <c r="AH293" s="247"/>
      <c r="AI293" s="247"/>
      <c r="AJ293" s="247"/>
      <c r="AK293" s="247"/>
      <c r="AL293" s="247"/>
      <c r="AM293" s="247"/>
      <c r="AN293" s="247"/>
      <c r="AO293" s="247"/>
      <c r="AP293" s="247"/>
      <c r="AQ293" s="247"/>
      <c r="AR293" s="247"/>
      <c r="AS293" s="247"/>
      <c r="AT293" s="247"/>
      <c r="AU293" s="261"/>
    </row>
    <row r="294" spans="1:47" ht="60" customHeight="1" x14ac:dyDescent="0.35">
      <c r="A294" s="257" t="s">
        <v>6403</v>
      </c>
      <c r="B294" s="235" t="s">
        <v>6404</v>
      </c>
      <c r="C294" s="236" t="s">
        <v>6444</v>
      </c>
      <c r="D294" s="239" t="s">
        <v>6445</v>
      </c>
      <c r="E294" s="240" t="s">
        <v>6131</v>
      </c>
      <c r="F294" s="243" t="s">
        <v>6422</v>
      </c>
      <c r="G294" s="246" t="str">
        <f>IF(COUNTIF(H294:AU294,"&lt;&gt;")=0,"",SUMPRODUCT(((Recommendations[ImplStatus]="Implemented")+(Recommendations[ImplStatus]="Compensated"))*ISNUMBER(MATCH(Recommendations[Id],H294:AU294,0)))/COUNTIF(H294:AU294,"&lt;&gt;"))</f>
        <v/>
      </c>
      <c r="H294" s="247"/>
      <c r="I294" s="247"/>
      <c r="J294" s="247"/>
      <c r="K294" s="247"/>
      <c r="L294" s="247"/>
      <c r="M294" s="247"/>
      <c r="N294" s="247"/>
      <c r="O294" s="247"/>
      <c r="P294" s="247"/>
      <c r="Q294" s="247"/>
      <c r="R294" s="247"/>
      <c r="S294" s="247"/>
      <c r="T294" s="247"/>
      <c r="U294" s="247"/>
      <c r="V294" s="247"/>
      <c r="W294" s="247"/>
      <c r="X294" s="247"/>
      <c r="Y294" s="247"/>
      <c r="Z294" s="247"/>
      <c r="AA294" s="247"/>
      <c r="AB294" s="247"/>
      <c r="AC294" s="247"/>
      <c r="AD294" s="247"/>
      <c r="AE294" s="247"/>
      <c r="AF294" s="247"/>
      <c r="AG294" s="247"/>
      <c r="AH294" s="247"/>
      <c r="AI294" s="247"/>
      <c r="AJ294" s="247"/>
      <c r="AK294" s="247"/>
      <c r="AL294" s="247"/>
      <c r="AM294" s="247"/>
      <c r="AN294" s="247"/>
      <c r="AO294" s="247"/>
      <c r="AP294" s="247"/>
      <c r="AQ294" s="247"/>
      <c r="AR294" s="247"/>
      <c r="AS294" s="247"/>
      <c r="AT294" s="247"/>
      <c r="AU294" s="261"/>
    </row>
    <row r="295" spans="1:47" ht="60" customHeight="1" x14ac:dyDescent="0.35">
      <c r="A295" s="257" t="s">
        <v>6403</v>
      </c>
      <c r="B295" s="235" t="s">
        <v>6404</v>
      </c>
      <c r="C295" s="236" t="s">
        <v>6446</v>
      </c>
      <c r="D295" s="239" t="s">
        <v>6447</v>
      </c>
      <c r="E295" s="240" t="s">
        <v>5948</v>
      </c>
      <c r="F295" s="243" t="s">
        <v>6422</v>
      </c>
      <c r="G295" s="246" t="str">
        <f>IF(COUNTIF(H295:AU295,"&lt;&gt;")=0,"",SUMPRODUCT(((Recommendations[ImplStatus]="Implemented")+(Recommendations[ImplStatus]="Compensated"))*ISNUMBER(MATCH(Recommendations[Id],H295:AU295,0)))/COUNTIF(H295:AU295,"&lt;&gt;"))</f>
        <v/>
      </c>
      <c r="H295" s="247"/>
      <c r="I295" s="247"/>
      <c r="J295" s="247"/>
      <c r="K295" s="247"/>
      <c r="L295" s="247"/>
      <c r="M295" s="247"/>
      <c r="N295" s="247"/>
      <c r="O295" s="247"/>
      <c r="P295" s="247"/>
      <c r="Q295" s="247"/>
      <c r="R295" s="247"/>
      <c r="S295" s="247"/>
      <c r="T295" s="247"/>
      <c r="U295" s="247"/>
      <c r="V295" s="247"/>
      <c r="W295" s="247"/>
      <c r="X295" s="247"/>
      <c r="Y295" s="247"/>
      <c r="Z295" s="247"/>
      <c r="AA295" s="247"/>
      <c r="AB295" s="247"/>
      <c r="AC295" s="247"/>
      <c r="AD295" s="247"/>
      <c r="AE295" s="247"/>
      <c r="AF295" s="247"/>
      <c r="AG295" s="247"/>
      <c r="AH295" s="247"/>
      <c r="AI295" s="247"/>
      <c r="AJ295" s="247"/>
      <c r="AK295" s="247"/>
      <c r="AL295" s="247"/>
      <c r="AM295" s="247"/>
      <c r="AN295" s="247"/>
      <c r="AO295" s="247"/>
      <c r="AP295" s="247"/>
      <c r="AQ295" s="247"/>
      <c r="AR295" s="247"/>
      <c r="AS295" s="247"/>
      <c r="AT295" s="247"/>
      <c r="AU295" s="261"/>
    </row>
    <row r="296" spans="1:47" ht="60" customHeight="1" x14ac:dyDescent="0.35">
      <c r="A296" s="257" t="s">
        <v>6403</v>
      </c>
      <c r="B296" s="235" t="s">
        <v>6404</v>
      </c>
      <c r="C296" s="236" t="s">
        <v>6448</v>
      </c>
      <c r="D296" s="239" t="s">
        <v>6449</v>
      </c>
      <c r="E296" s="240" t="s">
        <v>5948</v>
      </c>
      <c r="F296" s="243" t="s">
        <v>6422</v>
      </c>
      <c r="G296" s="246" t="str">
        <f>IF(COUNTIF(H296:AU296,"&lt;&gt;")=0,"",SUMPRODUCT(((Recommendations[ImplStatus]="Implemented")+(Recommendations[ImplStatus]="Compensated"))*ISNUMBER(MATCH(Recommendations[Id],H296:AU296,0)))/COUNTIF(H296:AU296,"&lt;&gt;"))</f>
        <v/>
      </c>
      <c r="H296" s="247"/>
      <c r="I296" s="247"/>
      <c r="J296" s="247"/>
      <c r="K296" s="247"/>
      <c r="L296" s="247"/>
      <c r="M296" s="247"/>
      <c r="N296" s="247"/>
      <c r="O296" s="247"/>
      <c r="P296" s="247"/>
      <c r="Q296" s="247"/>
      <c r="R296" s="247"/>
      <c r="S296" s="247"/>
      <c r="T296" s="247"/>
      <c r="U296" s="247"/>
      <c r="V296" s="247"/>
      <c r="W296" s="247"/>
      <c r="X296" s="247"/>
      <c r="Y296" s="247"/>
      <c r="Z296" s="247"/>
      <c r="AA296" s="247"/>
      <c r="AB296" s="247"/>
      <c r="AC296" s="247"/>
      <c r="AD296" s="247"/>
      <c r="AE296" s="247"/>
      <c r="AF296" s="247"/>
      <c r="AG296" s="247"/>
      <c r="AH296" s="247"/>
      <c r="AI296" s="247"/>
      <c r="AJ296" s="247"/>
      <c r="AK296" s="247"/>
      <c r="AL296" s="247"/>
      <c r="AM296" s="247"/>
      <c r="AN296" s="247"/>
      <c r="AO296" s="247"/>
      <c r="AP296" s="247"/>
      <c r="AQ296" s="247"/>
      <c r="AR296" s="247"/>
      <c r="AS296" s="247"/>
      <c r="AT296" s="247"/>
      <c r="AU296" s="261"/>
    </row>
    <row r="297" spans="1:47" ht="60" customHeight="1" x14ac:dyDescent="0.35">
      <c r="A297" s="257" t="s">
        <v>6403</v>
      </c>
      <c r="B297" s="235" t="s">
        <v>6404</v>
      </c>
      <c r="C297" s="236" t="s">
        <v>6450</v>
      </c>
      <c r="D297" s="239" t="s">
        <v>6451</v>
      </c>
      <c r="E297" s="240" t="s">
        <v>5852</v>
      </c>
      <c r="F297" s="243" t="s">
        <v>6422</v>
      </c>
      <c r="G297" s="246" t="str">
        <f>IF(COUNTIF(H297:AU297,"&lt;&gt;")=0,"",SUMPRODUCT(((Recommendations[ImplStatus]="Implemented")+(Recommendations[ImplStatus]="Compensated"))*ISNUMBER(MATCH(Recommendations[Id],H297:AU297,0)))/COUNTIF(H297:AU297,"&lt;&gt;"))</f>
        <v/>
      </c>
      <c r="H297" s="247"/>
      <c r="I297" s="247"/>
      <c r="J297" s="247"/>
      <c r="K297" s="247"/>
      <c r="L297" s="247"/>
      <c r="M297" s="247"/>
      <c r="N297" s="247"/>
      <c r="O297" s="247"/>
      <c r="P297" s="247"/>
      <c r="Q297" s="247"/>
      <c r="R297" s="247"/>
      <c r="S297" s="247"/>
      <c r="T297" s="247"/>
      <c r="U297" s="247"/>
      <c r="V297" s="247"/>
      <c r="W297" s="247"/>
      <c r="X297" s="247"/>
      <c r="Y297" s="247"/>
      <c r="Z297" s="247"/>
      <c r="AA297" s="247"/>
      <c r="AB297" s="247"/>
      <c r="AC297" s="247"/>
      <c r="AD297" s="247"/>
      <c r="AE297" s="247"/>
      <c r="AF297" s="247"/>
      <c r="AG297" s="247"/>
      <c r="AH297" s="247"/>
      <c r="AI297" s="247"/>
      <c r="AJ297" s="247"/>
      <c r="AK297" s="247"/>
      <c r="AL297" s="247"/>
      <c r="AM297" s="247"/>
      <c r="AN297" s="247"/>
      <c r="AO297" s="247"/>
      <c r="AP297" s="247"/>
      <c r="AQ297" s="247"/>
      <c r="AR297" s="247"/>
      <c r="AS297" s="247"/>
      <c r="AT297" s="247"/>
      <c r="AU297" s="261"/>
    </row>
    <row r="298" spans="1:47" ht="60" customHeight="1" x14ac:dyDescent="0.35">
      <c r="A298" s="257" t="s">
        <v>6403</v>
      </c>
      <c r="B298" s="235" t="s">
        <v>6404</v>
      </c>
      <c r="C298" s="236" t="s">
        <v>6452</v>
      </c>
      <c r="D298" s="239" t="s">
        <v>6453</v>
      </c>
      <c r="E298" s="240" t="s">
        <v>5948</v>
      </c>
      <c r="F298" s="243" t="s">
        <v>6422</v>
      </c>
      <c r="G298" s="246" t="str">
        <f>IF(COUNTIF(H298:AU298,"&lt;&gt;")=0,"",SUMPRODUCT(((Recommendations[ImplStatus]="Implemented")+(Recommendations[ImplStatus]="Compensated"))*ISNUMBER(MATCH(Recommendations[Id],H298:AU298,0)))/COUNTIF(H298:AU298,"&lt;&gt;"))</f>
        <v/>
      </c>
      <c r="H298" s="247"/>
      <c r="I298" s="247"/>
      <c r="J298" s="247"/>
      <c r="K298" s="247"/>
      <c r="L298" s="247"/>
      <c r="M298" s="247"/>
      <c r="N298" s="247"/>
      <c r="O298" s="247"/>
      <c r="P298" s="247"/>
      <c r="Q298" s="247"/>
      <c r="R298" s="247"/>
      <c r="S298" s="247"/>
      <c r="T298" s="247"/>
      <c r="U298" s="247"/>
      <c r="V298" s="247"/>
      <c r="W298" s="247"/>
      <c r="X298" s="247"/>
      <c r="Y298" s="247"/>
      <c r="Z298" s="247"/>
      <c r="AA298" s="247"/>
      <c r="AB298" s="247"/>
      <c r="AC298" s="247"/>
      <c r="AD298" s="247"/>
      <c r="AE298" s="247"/>
      <c r="AF298" s="247"/>
      <c r="AG298" s="247"/>
      <c r="AH298" s="247"/>
      <c r="AI298" s="247"/>
      <c r="AJ298" s="247"/>
      <c r="AK298" s="247"/>
      <c r="AL298" s="247"/>
      <c r="AM298" s="247"/>
      <c r="AN298" s="247"/>
      <c r="AO298" s="247"/>
      <c r="AP298" s="247"/>
      <c r="AQ298" s="247"/>
      <c r="AR298" s="247"/>
      <c r="AS298" s="247"/>
      <c r="AT298" s="247"/>
      <c r="AU298" s="261"/>
    </row>
    <row r="299" spans="1:47" ht="60" customHeight="1" x14ac:dyDescent="0.35">
      <c r="A299" s="257" t="s">
        <v>6403</v>
      </c>
      <c r="B299" s="235" t="s">
        <v>6404</v>
      </c>
      <c r="C299" s="236" t="s">
        <v>6454</v>
      </c>
      <c r="D299" s="239" t="s">
        <v>6455</v>
      </c>
      <c r="E299" s="240" t="s">
        <v>5881</v>
      </c>
      <c r="F299" s="243" t="s">
        <v>6422</v>
      </c>
      <c r="G299" s="246" t="str">
        <f>IF(COUNTIF(H299:AU299,"&lt;&gt;")=0,"",SUMPRODUCT(((Recommendations[ImplStatus]="Implemented")+(Recommendations[ImplStatus]="Compensated"))*ISNUMBER(MATCH(Recommendations[Id],H299:AU299,0)))/COUNTIF(H299:AU299,"&lt;&gt;"))</f>
        <v/>
      </c>
      <c r="H299" s="247"/>
      <c r="I299" s="247"/>
      <c r="J299" s="247"/>
      <c r="K299" s="247"/>
      <c r="L299" s="247"/>
      <c r="M299" s="247"/>
      <c r="N299" s="247"/>
      <c r="O299" s="247"/>
      <c r="P299" s="247"/>
      <c r="Q299" s="247"/>
      <c r="R299" s="247"/>
      <c r="S299" s="247"/>
      <c r="T299" s="247"/>
      <c r="U299" s="247"/>
      <c r="V299" s="247"/>
      <c r="W299" s="247"/>
      <c r="X299" s="247"/>
      <c r="Y299" s="247"/>
      <c r="Z299" s="247"/>
      <c r="AA299" s="247"/>
      <c r="AB299" s="247"/>
      <c r="AC299" s="247"/>
      <c r="AD299" s="247"/>
      <c r="AE299" s="247"/>
      <c r="AF299" s="247"/>
      <c r="AG299" s="247"/>
      <c r="AH299" s="247"/>
      <c r="AI299" s="247"/>
      <c r="AJ299" s="247"/>
      <c r="AK299" s="247"/>
      <c r="AL299" s="247"/>
      <c r="AM299" s="247"/>
      <c r="AN299" s="247"/>
      <c r="AO299" s="247"/>
      <c r="AP299" s="247"/>
      <c r="AQ299" s="247"/>
      <c r="AR299" s="247"/>
      <c r="AS299" s="247"/>
      <c r="AT299" s="247"/>
      <c r="AU299" s="261"/>
    </row>
    <row r="300" spans="1:47" ht="60" customHeight="1" x14ac:dyDescent="0.35">
      <c r="A300" s="257" t="s">
        <v>6403</v>
      </c>
      <c r="B300" s="235" t="s">
        <v>6404</v>
      </c>
      <c r="C300" s="236" t="s">
        <v>6456</v>
      </c>
      <c r="D300" s="239" t="s">
        <v>6457</v>
      </c>
      <c r="E300" s="240" t="s">
        <v>5948</v>
      </c>
      <c r="F300" s="243" t="s">
        <v>6422</v>
      </c>
      <c r="G300" s="246" t="str">
        <f>IF(COUNTIF(H300:AU300,"&lt;&gt;")=0,"",SUMPRODUCT(((Recommendations[ImplStatus]="Implemented")+(Recommendations[ImplStatus]="Compensated"))*ISNUMBER(MATCH(Recommendations[Id],H300:AU300,0)))/COUNTIF(H300:AU300,"&lt;&gt;"))</f>
        <v/>
      </c>
      <c r="H300" s="247"/>
      <c r="I300" s="247"/>
      <c r="J300" s="247"/>
      <c r="K300" s="247"/>
      <c r="L300" s="247"/>
      <c r="M300" s="247"/>
      <c r="N300" s="247"/>
      <c r="O300" s="247"/>
      <c r="P300" s="247"/>
      <c r="Q300" s="247"/>
      <c r="R300" s="247"/>
      <c r="S300" s="247"/>
      <c r="T300" s="247"/>
      <c r="U300" s="247"/>
      <c r="V300" s="247"/>
      <c r="W300" s="247"/>
      <c r="X300" s="247"/>
      <c r="Y300" s="247"/>
      <c r="Z300" s="247"/>
      <c r="AA300" s="247"/>
      <c r="AB300" s="247"/>
      <c r="AC300" s="247"/>
      <c r="AD300" s="247"/>
      <c r="AE300" s="247"/>
      <c r="AF300" s="247"/>
      <c r="AG300" s="247"/>
      <c r="AH300" s="247"/>
      <c r="AI300" s="247"/>
      <c r="AJ300" s="247"/>
      <c r="AK300" s="247"/>
      <c r="AL300" s="247"/>
      <c r="AM300" s="247"/>
      <c r="AN300" s="247"/>
      <c r="AO300" s="247"/>
      <c r="AP300" s="247"/>
      <c r="AQ300" s="247"/>
      <c r="AR300" s="247"/>
      <c r="AS300" s="247"/>
      <c r="AT300" s="247"/>
      <c r="AU300" s="261"/>
    </row>
    <row r="301" spans="1:47" ht="60" customHeight="1" x14ac:dyDescent="0.35">
      <c r="A301" s="257" t="s">
        <v>6403</v>
      </c>
      <c r="B301" s="235" t="s">
        <v>6404</v>
      </c>
      <c r="C301" s="236" t="s">
        <v>6458</v>
      </c>
      <c r="D301" s="239" t="s">
        <v>6459</v>
      </c>
      <c r="E301" s="240" t="s">
        <v>5996</v>
      </c>
      <c r="F301" s="243" t="s">
        <v>6422</v>
      </c>
      <c r="G301" s="246" t="str">
        <f>IF(COUNTIF(H301:AU301,"&lt;&gt;")=0,"",SUMPRODUCT(((Recommendations[ImplStatus]="Implemented")+(Recommendations[ImplStatus]="Compensated"))*ISNUMBER(MATCH(Recommendations[Id],H301:AU301,0)))/COUNTIF(H301:AU301,"&lt;&gt;"))</f>
        <v/>
      </c>
      <c r="H301" s="247"/>
      <c r="I301" s="247"/>
      <c r="J301" s="247"/>
      <c r="K301" s="247"/>
      <c r="L301" s="247"/>
      <c r="M301" s="247"/>
      <c r="N301" s="247"/>
      <c r="O301" s="247"/>
      <c r="P301" s="247"/>
      <c r="Q301" s="247"/>
      <c r="R301" s="247"/>
      <c r="S301" s="247"/>
      <c r="T301" s="247"/>
      <c r="U301" s="247"/>
      <c r="V301" s="247"/>
      <c r="W301" s="247"/>
      <c r="X301" s="247"/>
      <c r="Y301" s="247"/>
      <c r="Z301" s="247"/>
      <c r="AA301" s="247"/>
      <c r="AB301" s="247"/>
      <c r="AC301" s="247"/>
      <c r="AD301" s="247"/>
      <c r="AE301" s="247"/>
      <c r="AF301" s="247"/>
      <c r="AG301" s="247"/>
      <c r="AH301" s="247"/>
      <c r="AI301" s="247"/>
      <c r="AJ301" s="247"/>
      <c r="AK301" s="247"/>
      <c r="AL301" s="247"/>
      <c r="AM301" s="247"/>
      <c r="AN301" s="247"/>
      <c r="AO301" s="247"/>
      <c r="AP301" s="247"/>
      <c r="AQ301" s="247"/>
      <c r="AR301" s="247"/>
      <c r="AS301" s="247"/>
      <c r="AT301" s="247"/>
      <c r="AU301" s="261"/>
    </row>
    <row r="302" spans="1:47" ht="60" customHeight="1" x14ac:dyDescent="0.35">
      <c r="A302" s="257" t="s">
        <v>6403</v>
      </c>
      <c r="B302" s="235" t="s">
        <v>6404</v>
      </c>
      <c r="C302" s="236" t="s">
        <v>6460</v>
      </c>
      <c r="D302" s="239" t="s">
        <v>6461</v>
      </c>
      <c r="E302" s="240" t="s">
        <v>5996</v>
      </c>
      <c r="F302" s="243" t="s">
        <v>6422</v>
      </c>
      <c r="G302" s="246" t="str">
        <f>IF(COUNTIF(H302:AU302,"&lt;&gt;")=0,"",SUMPRODUCT(((Recommendations[ImplStatus]="Implemented")+(Recommendations[ImplStatus]="Compensated"))*ISNUMBER(MATCH(Recommendations[Id],H302:AU302,0)))/COUNTIF(H302:AU302,"&lt;&gt;"))</f>
        <v/>
      </c>
      <c r="H302" s="247"/>
      <c r="I302" s="247"/>
      <c r="J302" s="247"/>
      <c r="K302" s="247"/>
      <c r="L302" s="247"/>
      <c r="M302" s="247"/>
      <c r="N302" s="247"/>
      <c r="O302" s="247"/>
      <c r="P302" s="247"/>
      <c r="Q302" s="247"/>
      <c r="R302" s="247"/>
      <c r="S302" s="247"/>
      <c r="T302" s="247"/>
      <c r="U302" s="247"/>
      <c r="V302" s="247"/>
      <c r="W302" s="247"/>
      <c r="X302" s="247"/>
      <c r="Y302" s="247"/>
      <c r="Z302" s="247"/>
      <c r="AA302" s="247"/>
      <c r="AB302" s="247"/>
      <c r="AC302" s="247"/>
      <c r="AD302" s="247"/>
      <c r="AE302" s="247"/>
      <c r="AF302" s="247"/>
      <c r="AG302" s="247"/>
      <c r="AH302" s="247"/>
      <c r="AI302" s="247"/>
      <c r="AJ302" s="247"/>
      <c r="AK302" s="247"/>
      <c r="AL302" s="247"/>
      <c r="AM302" s="247"/>
      <c r="AN302" s="247"/>
      <c r="AO302" s="247"/>
      <c r="AP302" s="247"/>
      <c r="AQ302" s="247"/>
      <c r="AR302" s="247"/>
      <c r="AS302" s="247"/>
      <c r="AT302" s="247"/>
      <c r="AU302" s="261"/>
    </row>
    <row r="303" spans="1:47" ht="60" customHeight="1" outlineLevel="2" x14ac:dyDescent="0.35">
      <c r="A303" s="256" t="s">
        <v>6403</v>
      </c>
      <c r="B303" s="234" t="s">
        <v>3898</v>
      </c>
      <c r="C303" s="234"/>
      <c r="D303" s="238"/>
      <c r="E303" s="234"/>
      <c r="F303" s="242"/>
      <c r="G303" s="245" t="str">
        <f>IF(COUNTIF(H303:AU303,"&lt;&gt;")=0,"",SUMPRODUCT(((Recommendations[ImplStatus]="Implemented")+(Recommendations[ImplStatus]="Compensated"))*ISNUMBER(MATCH(Recommendations[Id],H303:AU303,0)))/COUNTIF(H303:AU303,"&lt;&gt;"))</f>
        <v/>
      </c>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60"/>
    </row>
    <row r="304" spans="1:47" ht="60" customHeight="1" x14ac:dyDescent="0.35">
      <c r="A304" s="257" t="s">
        <v>6403</v>
      </c>
      <c r="B304" s="235" t="s">
        <v>3898</v>
      </c>
      <c r="C304" s="236" t="s">
        <v>6462</v>
      </c>
      <c r="D304" s="239" t="s">
        <v>6463</v>
      </c>
      <c r="E304" s="240" t="s">
        <v>5852</v>
      </c>
      <c r="F304" s="243" t="s">
        <v>6464</v>
      </c>
      <c r="G304" s="246" t="str">
        <f>IF(COUNTIF(H304:AU304,"&lt;&gt;")=0,"",SUMPRODUCT(((Recommendations[ImplStatus]="Implemented")+(Recommendations[ImplStatus]="Compensated"))*ISNUMBER(MATCH(Recommendations[Id],H304:AU304,0)))/COUNTIF(H304:AU304,"&lt;&gt;"))</f>
        <v/>
      </c>
      <c r="H304" s="247"/>
      <c r="I304" s="247"/>
      <c r="J304" s="247"/>
      <c r="K304" s="247"/>
      <c r="L304" s="247"/>
      <c r="M304" s="247"/>
      <c r="N304" s="247"/>
      <c r="O304" s="247"/>
      <c r="P304" s="247"/>
      <c r="Q304" s="247"/>
      <c r="R304" s="247"/>
      <c r="S304" s="247"/>
      <c r="T304" s="247"/>
      <c r="U304" s="247"/>
      <c r="V304" s="247"/>
      <c r="W304" s="247"/>
      <c r="X304" s="247"/>
      <c r="Y304" s="247"/>
      <c r="Z304" s="247"/>
      <c r="AA304" s="247"/>
      <c r="AB304" s="247"/>
      <c r="AC304" s="247"/>
      <c r="AD304" s="247"/>
      <c r="AE304" s="247"/>
      <c r="AF304" s="247"/>
      <c r="AG304" s="247"/>
      <c r="AH304" s="247"/>
      <c r="AI304" s="247"/>
      <c r="AJ304" s="247"/>
      <c r="AK304" s="247"/>
      <c r="AL304" s="247"/>
      <c r="AM304" s="247"/>
      <c r="AN304" s="247"/>
      <c r="AO304" s="247"/>
      <c r="AP304" s="247"/>
      <c r="AQ304" s="247"/>
      <c r="AR304" s="247"/>
      <c r="AS304" s="247"/>
      <c r="AT304" s="247"/>
      <c r="AU304" s="261"/>
    </row>
    <row r="305" spans="1:47" ht="60" customHeight="1" x14ac:dyDescent="0.35">
      <c r="A305" s="257" t="s">
        <v>6403</v>
      </c>
      <c r="B305" s="235" t="s">
        <v>3898</v>
      </c>
      <c r="C305" s="236" t="s">
        <v>6465</v>
      </c>
      <c r="D305" s="239" t="s">
        <v>6466</v>
      </c>
      <c r="E305" s="240" t="s">
        <v>5852</v>
      </c>
      <c r="F305" s="243" t="s">
        <v>6464</v>
      </c>
      <c r="G305" s="246" t="str">
        <f>IF(COUNTIF(H305:AU305,"&lt;&gt;")=0,"",SUMPRODUCT(((Recommendations[ImplStatus]="Implemented")+(Recommendations[ImplStatus]="Compensated"))*ISNUMBER(MATCH(Recommendations[Id],H305:AU305,0)))/COUNTIF(H305:AU305,"&lt;&gt;"))</f>
        <v/>
      </c>
      <c r="H305" s="247"/>
      <c r="I305" s="247"/>
      <c r="J305" s="247"/>
      <c r="K305" s="247"/>
      <c r="L305" s="247"/>
      <c r="M305" s="247"/>
      <c r="N305" s="247"/>
      <c r="O305" s="247"/>
      <c r="P305" s="247"/>
      <c r="Q305" s="247"/>
      <c r="R305" s="247"/>
      <c r="S305" s="247"/>
      <c r="T305" s="247"/>
      <c r="U305" s="247"/>
      <c r="V305" s="247"/>
      <c r="W305" s="247"/>
      <c r="X305" s="247"/>
      <c r="Y305" s="247"/>
      <c r="Z305" s="247"/>
      <c r="AA305" s="247"/>
      <c r="AB305" s="247"/>
      <c r="AC305" s="247"/>
      <c r="AD305" s="247"/>
      <c r="AE305" s="247"/>
      <c r="AF305" s="247"/>
      <c r="AG305" s="247"/>
      <c r="AH305" s="247"/>
      <c r="AI305" s="247"/>
      <c r="AJ305" s="247"/>
      <c r="AK305" s="247"/>
      <c r="AL305" s="247"/>
      <c r="AM305" s="247"/>
      <c r="AN305" s="247"/>
      <c r="AO305" s="247"/>
      <c r="AP305" s="247"/>
      <c r="AQ305" s="247"/>
      <c r="AR305" s="247"/>
      <c r="AS305" s="247"/>
      <c r="AT305" s="247"/>
      <c r="AU305" s="261"/>
    </row>
    <row r="306" spans="1:47" ht="60" customHeight="1" x14ac:dyDescent="0.35">
      <c r="A306" s="257" t="s">
        <v>6403</v>
      </c>
      <c r="B306" s="235" t="s">
        <v>3898</v>
      </c>
      <c r="C306" s="236" t="s">
        <v>6467</v>
      </c>
      <c r="D306" s="239" t="s">
        <v>6468</v>
      </c>
      <c r="E306" s="240" t="s">
        <v>5852</v>
      </c>
      <c r="F306" s="243" t="s">
        <v>6464</v>
      </c>
      <c r="G306" s="246" t="str">
        <f>IF(COUNTIF(H306:AU306,"&lt;&gt;")=0,"",SUMPRODUCT(((Recommendations[ImplStatus]="Implemented")+(Recommendations[ImplStatus]="Compensated"))*ISNUMBER(MATCH(Recommendations[Id],H306:AU306,0)))/COUNTIF(H306:AU306,"&lt;&gt;"))</f>
        <v/>
      </c>
      <c r="H306" s="247"/>
      <c r="I306" s="247"/>
      <c r="J306" s="247"/>
      <c r="K306" s="247"/>
      <c r="L306" s="247"/>
      <c r="M306" s="247"/>
      <c r="N306" s="247"/>
      <c r="O306" s="247"/>
      <c r="P306" s="247"/>
      <c r="Q306" s="247"/>
      <c r="R306" s="247"/>
      <c r="S306" s="247"/>
      <c r="T306" s="247"/>
      <c r="U306" s="247"/>
      <c r="V306" s="247"/>
      <c r="W306" s="247"/>
      <c r="X306" s="247"/>
      <c r="Y306" s="247"/>
      <c r="Z306" s="247"/>
      <c r="AA306" s="247"/>
      <c r="AB306" s="247"/>
      <c r="AC306" s="247"/>
      <c r="AD306" s="247"/>
      <c r="AE306" s="247"/>
      <c r="AF306" s="247"/>
      <c r="AG306" s="247"/>
      <c r="AH306" s="247"/>
      <c r="AI306" s="247"/>
      <c r="AJ306" s="247"/>
      <c r="AK306" s="247"/>
      <c r="AL306" s="247"/>
      <c r="AM306" s="247"/>
      <c r="AN306" s="247"/>
      <c r="AO306" s="247"/>
      <c r="AP306" s="247"/>
      <c r="AQ306" s="247"/>
      <c r="AR306" s="247"/>
      <c r="AS306" s="247"/>
      <c r="AT306" s="247"/>
      <c r="AU306" s="261"/>
    </row>
    <row r="307" spans="1:47" ht="60" customHeight="1" x14ac:dyDescent="0.35">
      <c r="A307" s="257" t="s">
        <v>6403</v>
      </c>
      <c r="B307" s="235" t="s">
        <v>3898</v>
      </c>
      <c r="C307" s="236" t="s">
        <v>6469</v>
      </c>
      <c r="D307" s="239" t="s">
        <v>6470</v>
      </c>
      <c r="E307" s="240" t="s">
        <v>5852</v>
      </c>
      <c r="F307" s="243" t="s">
        <v>6464</v>
      </c>
      <c r="G307" s="246" t="str">
        <f>IF(COUNTIF(H307:AU307,"&lt;&gt;")=0,"",SUMPRODUCT(((Recommendations[ImplStatus]="Implemented")+(Recommendations[ImplStatus]="Compensated"))*ISNUMBER(MATCH(Recommendations[Id],H307:AU307,0)))/COUNTIF(H307:AU307,"&lt;&gt;"))</f>
        <v/>
      </c>
      <c r="H307" s="247"/>
      <c r="I307" s="247"/>
      <c r="J307" s="247"/>
      <c r="K307" s="247"/>
      <c r="L307" s="247"/>
      <c r="M307" s="247"/>
      <c r="N307" s="247"/>
      <c r="O307" s="247"/>
      <c r="P307" s="247"/>
      <c r="Q307" s="247"/>
      <c r="R307" s="247"/>
      <c r="S307" s="247"/>
      <c r="T307" s="247"/>
      <c r="U307" s="247"/>
      <c r="V307" s="247"/>
      <c r="W307" s="247"/>
      <c r="X307" s="247"/>
      <c r="Y307" s="247"/>
      <c r="Z307" s="247"/>
      <c r="AA307" s="247"/>
      <c r="AB307" s="247"/>
      <c r="AC307" s="247"/>
      <c r="AD307" s="247"/>
      <c r="AE307" s="247"/>
      <c r="AF307" s="247"/>
      <c r="AG307" s="247"/>
      <c r="AH307" s="247"/>
      <c r="AI307" s="247"/>
      <c r="AJ307" s="247"/>
      <c r="AK307" s="247"/>
      <c r="AL307" s="247"/>
      <c r="AM307" s="247"/>
      <c r="AN307" s="247"/>
      <c r="AO307" s="247"/>
      <c r="AP307" s="247"/>
      <c r="AQ307" s="247"/>
      <c r="AR307" s="247"/>
      <c r="AS307" s="247"/>
      <c r="AT307" s="247"/>
      <c r="AU307" s="261"/>
    </row>
    <row r="308" spans="1:47" ht="60" customHeight="1" x14ac:dyDescent="0.35">
      <c r="A308" s="257" t="s">
        <v>6403</v>
      </c>
      <c r="B308" s="235" t="s">
        <v>3898</v>
      </c>
      <c r="C308" s="236" t="s">
        <v>6471</v>
      </c>
      <c r="D308" s="239" t="s">
        <v>6472</v>
      </c>
      <c r="E308" s="240" t="s">
        <v>5948</v>
      </c>
      <c r="F308" s="243" t="s">
        <v>6464</v>
      </c>
      <c r="G308" s="246">
        <f>IF(COUNTIF(H308:AU308,"&lt;&gt;")=0,"",SUMPRODUCT(((Recommendations[ImplStatus]="Implemented")+(Recommendations[ImplStatus]="Compensated"))*ISNUMBER(MATCH(Recommendations[Id],H308:AU308,0)))/COUNTIF(H308:AU308,"&lt;&gt;"))</f>
        <v>0</v>
      </c>
      <c r="H308" s="247" t="s">
        <v>2454</v>
      </c>
      <c r="I308" s="247" t="s">
        <v>2461</v>
      </c>
      <c r="J308" s="247" t="s">
        <v>2468</v>
      </c>
      <c r="K308" s="247" t="s">
        <v>2472</v>
      </c>
      <c r="L308" s="247" t="s">
        <v>2476</v>
      </c>
      <c r="M308" s="247" t="s">
        <v>2483</v>
      </c>
      <c r="N308" s="247" t="s">
        <v>2490</v>
      </c>
      <c r="O308" s="247" t="s">
        <v>2519</v>
      </c>
      <c r="P308" s="247" t="s">
        <v>2530</v>
      </c>
      <c r="Q308" s="247" t="s">
        <v>2663</v>
      </c>
      <c r="R308" s="247" t="s">
        <v>2670</v>
      </c>
      <c r="S308" s="247" t="s">
        <v>2677</v>
      </c>
      <c r="T308" s="247" t="s">
        <v>2698</v>
      </c>
      <c r="U308" s="247" t="s">
        <v>2705</v>
      </c>
      <c r="V308" s="247" t="s">
        <v>2712</v>
      </c>
      <c r="W308" s="247" t="s">
        <v>2719</v>
      </c>
      <c r="X308" s="247" t="s">
        <v>2726</v>
      </c>
      <c r="Y308" s="247" t="s">
        <v>2733</v>
      </c>
      <c r="Z308" s="247" t="s">
        <v>2740</v>
      </c>
      <c r="AA308" s="247" t="s">
        <v>2754</v>
      </c>
      <c r="AB308" s="247" t="s">
        <v>2856</v>
      </c>
      <c r="AC308" s="247"/>
      <c r="AD308" s="247"/>
      <c r="AE308" s="247"/>
      <c r="AF308" s="247"/>
      <c r="AG308" s="247"/>
      <c r="AH308" s="247"/>
      <c r="AI308" s="247"/>
      <c r="AJ308" s="247"/>
      <c r="AK308" s="247"/>
      <c r="AL308" s="247"/>
      <c r="AM308" s="247"/>
      <c r="AN308" s="247"/>
      <c r="AO308" s="247"/>
      <c r="AP308" s="247"/>
      <c r="AQ308" s="247"/>
      <c r="AR308" s="247"/>
      <c r="AS308" s="247"/>
      <c r="AT308" s="247"/>
      <c r="AU308" s="261"/>
    </row>
    <row r="309" spans="1:47" ht="60" customHeight="1" x14ac:dyDescent="0.35">
      <c r="A309" s="257" t="s">
        <v>6403</v>
      </c>
      <c r="B309" s="235" t="s">
        <v>3898</v>
      </c>
      <c r="C309" s="236" t="s">
        <v>6473</v>
      </c>
      <c r="D309" s="239" t="s">
        <v>6474</v>
      </c>
      <c r="E309" s="240" t="s">
        <v>5948</v>
      </c>
      <c r="F309" s="243" t="s">
        <v>6464</v>
      </c>
      <c r="G309" s="246" t="str">
        <f>IF(COUNTIF(H309:AU309,"&lt;&gt;")=0,"",SUMPRODUCT(((Recommendations[ImplStatus]="Implemented")+(Recommendations[ImplStatus]="Compensated"))*ISNUMBER(MATCH(Recommendations[Id],H309:AU309,0)))/COUNTIF(H309:AU309,"&lt;&gt;"))</f>
        <v/>
      </c>
      <c r="H309" s="247"/>
      <c r="I309" s="247"/>
      <c r="J309" s="247"/>
      <c r="K309" s="247"/>
      <c r="L309" s="247"/>
      <c r="M309" s="247"/>
      <c r="N309" s="247"/>
      <c r="O309" s="247"/>
      <c r="P309" s="247"/>
      <c r="Q309" s="247"/>
      <c r="R309" s="247"/>
      <c r="S309" s="247"/>
      <c r="T309" s="247"/>
      <c r="U309" s="247"/>
      <c r="V309" s="247"/>
      <c r="W309" s="247"/>
      <c r="X309" s="247"/>
      <c r="Y309" s="247"/>
      <c r="Z309" s="247"/>
      <c r="AA309" s="247"/>
      <c r="AB309" s="247"/>
      <c r="AC309" s="247"/>
      <c r="AD309" s="247"/>
      <c r="AE309" s="247"/>
      <c r="AF309" s="247"/>
      <c r="AG309" s="247"/>
      <c r="AH309" s="247"/>
      <c r="AI309" s="247"/>
      <c r="AJ309" s="247"/>
      <c r="AK309" s="247"/>
      <c r="AL309" s="247"/>
      <c r="AM309" s="247"/>
      <c r="AN309" s="247"/>
      <c r="AO309" s="247"/>
      <c r="AP309" s="247"/>
      <c r="AQ309" s="247"/>
      <c r="AR309" s="247"/>
      <c r="AS309" s="247"/>
      <c r="AT309" s="247"/>
      <c r="AU309" s="261"/>
    </row>
    <row r="310" spans="1:47" ht="60" customHeight="1" x14ac:dyDescent="0.35">
      <c r="A310" s="257" t="s">
        <v>6403</v>
      </c>
      <c r="B310" s="235" t="s">
        <v>3898</v>
      </c>
      <c r="C310" s="236" t="s">
        <v>6475</v>
      </c>
      <c r="D310" s="239" t="s">
        <v>6476</v>
      </c>
      <c r="E310" s="240" t="s">
        <v>5948</v>
      </c>
      <c r="F310" s="243" t="s">
        <v>6464</v>
      </c>
      <c r="G310" s="246" t="str">
        <f>IF(COUNTIF(H310:AU310,"&lt;&gt;")=0,"",SUMPRODUCT(((Recommendations[ImplStatus]="Implemented")+(Recommendations[ImplStatus]="Compensated"))*ISNUMBER(MATCH(Recommendations[Id],H310:AU310,0)))/COUNTIF(H310:AU310,"&lt;&gt;"))</f>
        <v/>
      </c>
      <c r="H310" s="247"/>
      <c r="I310" s="247"/>
      <c r="J310" s="247"/>
      <c r="K310" s="247"/>
      <c r="L310" s="247"/>
      <c r="M310" s="247"/>
      <c r="N310" s="247"/>
      <c r="O310" s="247"/>
      <c r="P310" s="247"/>
      <c r="Q310" s="247"/>
      <c r="R310" s="247"/>
      <c r="S310" s="247"/>
      <c r="T310" s="247"/>
      <c r="U310" s="247"/>
      <c r="V310" s="247"/>
      <c r="W310" s="247"/>
      <c r="X310" s="247"/>
      <c r="Y310" s="247"/>
      <c r="Z310" s="247"/>
      <c r="AA310" s="247"/>
      <c r="AB310" s="247"/>
      <c r="AC310" s="247"/>
      <c r="AD310" s="247"/>
      <c r="AE310" s="247"/>
      <c r="AF310" s="247"/>
      <c r="AG310" s="247"/>
      <c r="AH310" s="247"/>
      <c r="AI310" s="247"/>
      <c r="AJ310" s="247"/>
      <c r="AK310" s="247"/>
      <c r="AL310" s="247"/>
      <c r="AM310" s="247"/>
      <c r="AN310" s="247"/>
      <c r="AO310" s="247"/>
      <c r="AP310" s="247"/>
      <c r="AQ310" s="247"/>
      <c r="AR310" s="247"/>
      <c r="AS310" s="247"/>
      <c r="AT310" s="247"/>
      <c r="AU310" s="261"/>
    </row>
    <row r="311" spans="1:47" ht="60" customHeight="1" x14ac:dyDescent="0.35">
      <c r="A311" s="257" t="s">
        <v>6403</v>
      </c>
      <c r="B311" s="235" t="s">
        <v>3898</v>
      </c>
      <c r="C311" s="236" t="s">
        <v>6477</v>
      </c>
      <c r="D311" s="239" t="s">
        <v>6478</v>
      </c>
      <c r="E311" s="240" t="s">
        <v>5948</v>
      </c>
      <c r="F311" s="243" t="s">
        <v>6464</v>
      </c>
      <c r="G311" s="246" t="str">
        <f>IF(COUNTIF(H311:AU311,"&lt;&gt;")=0,"",SUMPRODUCT(((Recommendations[ImplStatus]="Implemented")+(Recommendations[ImplStatus]="Compensated"))*ISNUMBER(MATCH(Recommendations[Id],H311:AU311,0)))/COUNTIF(H311:AU311,"&lt;&gt;"))</f>
        <v/>
      </c>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c r="AG311" s="247"/>
      <c r="AH311" s="247"/>
      <c r="AI311" s="247"/>
      <c r="AJ311" s="247"/>
      <c r="AK311" s="247"/>
      <c r="AL311" s="247"/>
      <c r="AM311" s="247"/>
      <c r="AN311" s="247"/>
      <c r="AO311" s="247"/>
      <c r="AP311" s="247"/>
      <c r="AQ311" s="247"/>
      <c r="AR311" s="247"/>
      <c r="AS311" s="247"/>
      <c r="AT311" s="247"/>
      <c r="AU311" s="261"/>
    </row>
    <row r="312" spans="1:47" ht="60" customHeight="1" x14ac:dyDescent="0.35">
      <c r="A312" s="257" t="s">
        <v>6403</v>
      </c>
      <c r="B312" s="235" t="s">
        <v>3898</v>
      </c>
      <c r="C312" s="236" t="s">
        <v>6479</v>
      </c>
      <c r="D312" s="239" t="s">
        <v>6480</v>
      </c>
      <c r="E312" s="240" t="s">
        <v>5948</v>
      </c>
      <c r="F312" s="243" t="s">
        <v>6464</v>
      </c>
      <c r="G312" s="246">
        <f>IF(COUNTIF(H312:AU312,"&lt;&gt;")=0,"",SUMPRODUCT(((Recommendations[ImplStatus]="Implemented")+(Recommendations[ImplStatus]="Compensated"))*ISNUMBER(MATCH(Recommendations[Id],H312:AU312,0)))/COUNTIF(H312:AU312,"&lt;&gt;"))</f>
        <v>0</v>
      </c>
      <c r="H312" s="247" t="s">
        <v>2816</v>
      </c>
      <c r="I312" s="247"/>
      <c r="J312" s="247"/>
      <c r="K312" s="247"/>
      <c r="L312" s="247"/>
      <c r="M312" s="247"/>
      <c r="N312" s="247"/>
      <c r="O312" s="247"/>
      <c r="P312" s="247"/>
      <c r="Q312" s="247"/>
      <c r="R312" s="247"/>
      <c r="S312" s="247"/>
      <c r="T312" s="247"/>
      <c r="U312" s="247"/>
      <c r="V312" s="247"/>
      <c r="W312" s="247"/>
      <c r="X312" s="247"/>
      <c r="Y312" s="247"/>
      <c r="Z312" s="247"/>
      <c r="AA312" s="247"/>
      <c r="AB312" s="247"/>
      <c r="AC312" s="247"/>
      <c r="AD312" s="247"/>
      <c r="AE312" s="247"/>
      <c r="AF312" s="247"/>
      <c r="AG312" s="247"/>
      <c r="AH312" s="247"/>
      <c r="AI312" s="247"/>
      <c r="AJ312" s="247"/>
      <c r="AK312" s="247"/>
      <c r="AL312" s="247"/>
      <c r="AM312" s="247"/>
      <c r="AN312" s="247"/>
      <c r="AO312" s="247"/>
      <c r="AP312" s="247"/>
      <c r="AQ312" s="247"/>
      <c r="AR312" s="247"/>
      <c r="AS312" s="247"/>
      <c r="AT312" s="247"/>
      <c r="AU312" s="261"/>
    </row>
    <row r="313" spans="1:47" ht="60" customHeight="1" x14ac:dyDescent="0.35">
      <c r="A313" s="257" t="s">
        <v>6403</v>
      </c>
      <c r="B313" s="235" t="s">
        <v>3898</v>
      </c>
      <c r="C313" s="236" t="s">
        <v>6481</v>
      </c>
      <c r="D313" s="239" t="s">
        <v>6482</v>
      </c>
      <c r="E313" s="240" t="s">
        <v>5881</v>
      </c>
      <c r="F313" s="243" t="s">
        <v>6464</v>
      </c>
      <c r="G313" s="246" t="str">
        <f>IF(COUNTIF(H313:AU313,"&lt;&gt;")=0,"",SUMPRODUCT(((Recommendations[ImplStatus]="Implemented")+(Recommendations[ImplStatus]="Compensated"))*ISNUMBER(MATCH(Recommendations[Id],H313:AU313,0)))/COUNTIF(H313:AU313,"&lt;&gt;"))</f>
        <v/>
      </c>
      <c r="H313" s="247"/>
      <c r="I313" s="247"/>
      <c r="J313" s="247"/>
      <c r="K313" s="247"/>
      <c r="L313" s="247"/>
      <c r="M313" s="247"/>
      <c r="N313" s="247"/>
      <c r="O313" s="247"/>
      <c r="P313" s="247"/>
      <c r="Q313" s="247"/>
      <c r="R313" s="247"/>
      <c r="S313" s="247"/>
      <c r="T313" s="247"/>
      <c r="U313" s="247"/>
      <c r="V313" s="247"/>
      <c r="W313" s="247"/>
      <c r="X313" s="247"/>
      <c r="Y313" s="247"/>
      <c r="Z313" s="247"/>
      <c r="AA313" s="247"/>
      <c r="AB313" s="247"/>
      <c r="AC313" s="247"/>
      <c r="AD313" s="247"/>
      <c r="AE313" s="247"/>
      <c r="AF313" s="247"/>
      <c r="AG313" s="247"/>
      <c r="AH313" s="247"/>
      <c r="AI313" s="247"/>
      <c r="AJ313" s="247"/>
      <c r="AK313" s="247"/>
      <c r="AL313" s="247"/>
      <c r="AM313" s="247"/>
      <c r="AN313" s="247"/>
      <c r="AO313" s="247"/>
      <c r="AP313" s="247"/>
      <c r="AQ313" s="247"/>
      <c r="AR313" s="247"/>
      <c r="AS313" s="247"/>
      <c r="AT313" s="247"/>
      <c r="AU313" s="261"/>
    </row>
    <row r="314" spans="1:47" ht="60" customHeight="1" x14ac:dyDescent="0.35">
      <c r="A314" s="257" t="s">
        <v>6403</v>
      </c>
      <c r="B314" s="235" t="s">
        <v>3898</v>
      </c>
      <c r="C314" s="236" t="s">
        <v>6483</v>
      </c>
      <c r="D314" s="239" t="s">
        <v>6484</v>
      </c>
      <c r="E314" s="240" t="s">
        <v>5881</v>
      </c>
      <c r="F314" s="243" t="s">
        <v>6464</v>
      </c>
      <c r="G314" s="246" t="str">
        <f>IF(COUNTIF(H314:AU314,"&lt;&gt;")=0,"",SUMPRODUCT(((Recommendations[ImplStatus]="Implemented")+(Recommendations[ImplStatus]="Compensated"))*ISNUMBER(MATCH(Recommendations[Id],H314:AU314,0)))/COUNTIF(H314:AU314,"&lt;&gt;"))</f>
        <v/>
      </c>
      <c r="H314" s="247"/>
      <c r="I314" s="247"/>
      <c r="J314" s="247"/>
      <c r="K314" s="247"/>
      <c r="L314" s="247"/>
      <c r="M314" s="247"/>
      <c r="N314" s="247"/>
      <c r="O314" s="247"/>
      <c r="P314" s="247"/>
      <c r="Q314" s="247"/>
      <c r="R314" s="247"/>
      <c r="S314" s="247"/>
      <c r="T314" s="247"/>
      <c r="U314" s="247"/>
      <c r="V314" s="247"/>
      <c r="W314" s="247"/>
      <c r="X314" s="247"/>
      <c r="Y314" s="247"/>
      <c r="Z314" s="247"/>
      <c r="AA314" s="247"/>
      <c r="AB314" s="247"/>
      <c r="AC314" s="247"/>
      <c r="AD314" s="247"/>
      <c r="AE314" s="247"/>
      <c r="AF314" s="247"/>
      <c r="AG314" s="247"/>
      <c r="AH314" s="247"/>
      <c r="AI314" s="247"/>
      <c r="AJ314" s="247"/>
      <c r="AK314" s="247"/>
      <c r="AL314" s="247"/>
      <c r="AM314" s="247"/>
      <c r="AN314" s="247"/>
      <c r="AO314" s="247"/>
      <c r="AP314" s="247"/>
      <c r="AQ314" s="247"/>
      <c r="AR314" s="247"/>
      <c r="AS314" s="247"/>
      <c r="AT314" s="247"/>
      <c r="AU314" s="261"/>
    </row>
    <row r="315" spans="1:47" ht="60" customHeight="1" x14ac:dyDescent="0.35">
      <c r="A315" s="257" t="s">
        <v>6403</v>
      </c>
      <c r="B315" s="235" t="s">
        <v>3898</v>
      </c>
      <c r="C315" s="236" t="s">
        <v>6485</v>
      </c>
      <c r="D315" s="239" t="s">
        <v>6486</v>
      </c>
      <c r="E315" s="240" t="s">
        <v>5881</v>
      </c>
      <c r="F315" s="243" t="s">
        <v>6464</v>
      </c>
      <c r="G315" s="246">
        <f>IF(COUNTIF(H315:AU315,"&lt;&gt;")=0,"",SUMPRODUCT(((Recommendations[ImplStatus]="Implemented")+(Recommendations[ImplStatus]="Compensated"))*ISNUMBER(MATCH(Recommendations[Id],H315:AU315,0)))/COUNTIF(H315:AU315,"&lt;&gt;"))</f>
        <v>0</v>
      </c>
      <c r="H315" s="247" t="s">
        <v>2816</v>
      </c>
      <c r="I315" s="247"/>
      <c r="J315" s="247"/>
      <c r="K315" s="247"/>
      <c r="L315" s="247"/>
      <c r="M315" s="247"/>
      <c r="N315" s="247"/>
      <c r="O315" s="247"/>
      <c r="P315" s="247"/>
      <c r="Q315" s="247"/>
      <c r="R315" s="247"/>
      <c r="S315" s="247"/>
      <c r="T315" s="247"/>
      <c r="U315" s="247"/>
      <c r="V315" s="247"/>
      <c r="W315" s="247"/>
      <c r="X315" s="247"/>
      <c r="Y315" s="247"/>
      <c r="Z315" s="247"/>
      <c r="AA315" s="247"/>
      <c r="AB315" s="247"/>
      <c r="AC315" s="247"/>
      <c r="AD315" s="247"/>
      <c r="AE315" s="247"/>
      <c r="AF315" s="247"/>
      <c r="AG315" s="247"/>
      <c r="AH315" s="247"/>
      <c r="AI315" s="247"/>
      <c r="AJ315" s="247"/>
      <c r="AK315" s="247"/>
      <c r="AL315" s="247"/>
      <c r="AM315" s="247"/>
      <c r="AN315" s="247"/>
      <c r="AO315" s="247"/>
      <c r="AP315" s="247"/>
      <c r="AQ315" s="247"/>
      <c r="AR315" s="247"/>
      <c r="AS315" s="247"/>
      <c r="AT315" s="247"/>
      <c r="AU315" s="261"/>
    </row>
    <row r="316" spans="1:47" ht="60" customHeight="1" x14ac:dyDescent="0.35">
      <c r="A316" s="257" t="s">
        <v>6403</v>
      </c>
      <c r="B316" s="235" t="s">
        <v>3898</v>
      </c>
      <c r="C316" s="236" t="s">
        <v>6487</v>
      </c>
      <c r="D316" s="239" t="s">
        <v>6488</v>
      </c>
      <c r="E316" s="240" t="s">
        <v>5881</v>
      </c>
      <c r="F316" s="243" t="s">
        <v>6464</v>
      </c>
      <c r="G316" s="246" t="str">
        <f>IF(COUNTIF(H316:AU316,"&lt;&gt;")=0,"",SUMPRODUCT(((Recommendations[ImplStatus]="Implemented")+(Recommendations[ImplStatus]="Compensated"))*ISNUMBER(MATCH(Recommendations[Id],H316:AU316,0)))/COUNTIF(H316:AU316,"&lt;&gt;"))</f>
        <v/>
      </c>
      <c r="H316" s="247"/>
      <c r="I316" s="247"/>
      <c r="J316" s="247"/>
      <c r="K316" s="247"/>
      <c r="L316" s="247"/>
      <c r="M316" s="247"/>
      <c r="N316" s="247"/>
      <c r="O316" s="247"/>
      <c r="P316" s="247"/>
      <c r="Q316" s="247"/>
      <c r="R316" s="247"/>
      <c r="S316" s="247"/>
      <c r="T316" s="247"/>
      <c r="U316" s="247"/>
      <c r="V316" s="247"/>
      <c r="W316" s="247"/>
      <c r="X316" s="247"/>
      <c r="Y316" s="247"/>
      <c r="Z316" s="247"/>
      <c r="AA316" s="247"/>
      <c r="AB316" s="247"/>
      <c r="AC316" s="247"/>
      <c r="AD316" s="247"/>
      <c r="AE316" s="247"/>
      <c r="AF316" s="247"/>
      <c r="AG316" s="247"/>
      <c r="AH316" s="247"/>
      <c r="AI316" s="247"/>
      <c r="AJ316" s="247"/>
      <c r="AK316" s="247"/>
      <c r="AL316" s="247"/>
      <c r="AM316" s="247"/>
      <c r="AN316" s="247"/>
      <c r="AO316" s="247"/>
      <c r="AP316" s="247"/>
      <c r="AQ316" s="247"/>
      <c r="AR316" s="247"/>
      <c r="AS316" s="247"/>
      <c r="AT316" s="247"/>
      <c r="AU316" s="261"/>
    </row>
    <row r="317" spans="1:47" ht="60" customHeight="1" x14ac:dyDescent="0.35">
      <c r="A317" s="257" t="s">
        <v>6403</v>
      </c>
      <c r="B317" s="235" t="s">
        <v>3898</v>
      </c>
      <c r="C317" s="236" t="s">
        <v>6489</v>
      </c>
      <c r="D317" s="239" t="s">
        <v>6490</v>
      </c>
      <c r="E317" s="240" t="s">
        <v>5948</v>
      </c>
      <c r="F317" s="243" t="s">
        <v>6422</v>
      </c>
      <c r="G317" s="246" t="str">
        <f>IF(COUNTIF(H317:AU317,"&lt;&gt;")=0,"",SUMPRODUCT(((Recommendations[ImplStatus]="Implemented")+(Recommendations[ImplStatus]="Compensated"))*ISNUMBER(MATCH(Recommendations[Id],H317:AU317,0)))/COUNTIF(H317:AU317,"&lt;&gt;"))</f>
        <v/>
      </c>
      <c r="H317" s="247"/>
      <c r="I317" s="247"/>
      <c r="J317" s="247"/>
      <c r="K317" s="247"/>
      <c r="L317" s="247"/>
      <c r="M317" s="247"/>
      <c r="N317" s="247"/>
      <c r="O317" s="247"/>
      <c r="P317" s="247"/>
      <c r="Q317" s="247"/>
      <c r="R317" s="247"/>
      <c r="S317" s="247"/>
      <c r="T317" s="247"/>
      <c r="U317" s="247"/>
      <c r="V317" s="247"/>
      <c r="W317" s="247"/>
      <c r="X317" s="247"/>
      <c r="Y317" s="247"/>
      <c r="Z317" s="247"/>
      <c r="AA317" s="247"/>
      <c r="AB317" s="247"/>
      <c r="AC317" s="247"/>
      <c r="AD317" s="247"/>
      <c r="AE317" s="247"/>
      <c r="AF317" s="247"/>
      <c r="AG317" s="247"/>
      <c r="AH317" s="247"/>
      <c r="AI317" s="247"/>
      <c r="AJ317" s="247"/>
      <c r="AK317" s="247"/>
      <c r="AL317" s="247"/>
      <c r="AM317" s="247"/>
      <c r="AN317" s="247"/>
      <c r="AO317" s="247"/>
      <c r="AP317" s="247"/>
      <c r="AQ317" s="247"/>
      <c r="AR317" s="247"/>
      <c r="AS317" s="247"/>
      <c r="AT317" s="247"/>
      <c r="AU317" s="261"/>
    </row>
    <row r="318" spans="1:47" ht="60" customHeight="1" x14ac:dyDescent="0.35">
      <c r="A318" s="257" t="s">
        <v>6403</v>
      </c>
      <c r="B318" s="235" t="s">
        <v>3898</v>
      </c>
      <c r="C318" s="236" t="s">
        <v>6491</v>
      </c>
      <c r="D318" s="239" t="s">
        <v>6492</v>
      </c>
      <c r="E318" s="240" t="s">
        <v>5996</v>
      </c>
      <c r="F318" s="243" t="s">
        <v>6422</v>
      </c>
      <c r="G318" s="246" t="str">
        <f>IF(COUNTIF(H318:AU318,"&lt;&gt;")=0,"",SUMPRODUCT(((Recommendations[ImplStatus]="Implemented")+(Recommendations[ImplStatus]="Compensated"))*ISNUMBER(MATCH(Recommendations[Id],H318:AU318,0)))/COUNTIF(H318:AU318,"&lt;&gt;"))</f>
        <v/>
      </c>
      <c r="H318" s="247"/>
      <c r="I318" s="247"/>
      <c r="J318" s="247"/>
      <c r="K318" s="247"/>
      <c r="L318" s="247"/>
      <c r="M318" s="247"/>
      <c r="N318" s="247"/>
      <c r="O318" s="247"/>
      <c r="P318" s="247"/>
      <c r="Q318" s="247"/>
      <c r="R318" s="247"/>
      <c r="S318" s="247"/>
      <c r="T318" s="247"/>
      <c r="U318" s="247"/>
      <c r="V318" s="247"/>
      <c r="W318" s="247"/>
      <c r="X318" s="247"/>
      <c r="Y318" s="247"/>
      <c r="Z318" s="247"/>
      <c r="AA318" s="247"/>
      <c r="AB318" s="247"/>
      <c r="AC318" s="247"/>
      <c r="AD318" s="247"/>
      <c r="AE318" s="247"/>
      <c r="AF318" s="247"/>
      <c r="AG318" s="247"/>
      <c r="AH318" s="247"/>
      <c r="AI318" s="247"/>
      <c r="AJ318" s="247"/>
      <c r="AK318" s="247"/>
      <c r="AL318" s="247"/>
      <c r="AM318" s="247"/>
      <c r="AN318" s="247"/>
      <c r="AO318" s="247"/>
      <c r="AP318" s="247"/>
      <c r="AQ318" s="247"/>
      <c r="AR318" s="247"/>
      <c r="AS318" s="247"/>
      <c r="AT318" s="247"/>
      <c r="AU318" s="261"/>
    </row>
    <row r="319" spans="1:47" ht="60" customHeight="1" x14ac:dyDescent="0.35">
      <c r="A319" s="257" t="s">
        <v>6403</v>
      </c>
      <c r="B319" s="235" t="s">
        <v>3898</v>
      </c>
      <c r="C319" s="236" t="s">
        <v>6493</v>
      </c>
      <c r="D319" s="239" t="s">
        <v>6494</v>
      </c>
      <c r="E319" s="240" t="s">
        <v>5996</v>
      </c>
      <c r="F319" s="243" t="s">
        <v>6422</v>
      </c>
      <c r="G319" s="246">
        <f>IF(COUNTIF(H319:AU319,"&lt;&gt;")=0,"",SUMPRODUCT(((Recommendations[ImplStatus]="Implemented")+(Recommendations[ImplStatus]="Compensated"))*ISNUMBER(MATCH(Recommendations[Id],H319:AU319,0)))/COUNTIF(H319:AU319,"&lt;&gt;"))</f>
        <v>0</v>
      </c>
      <c r="H319" s="247" t="s">
        <v>1635</v>
      </c>
      <c r="I319" s="247"/>
      <c r="J319" s="247"/>
      <c r="K319" s="247"/>
      <c r="L319" s="247"/>
      <c r="M319" s="247"/>
      <c r="N319" s="247"/>
      <c r="O319" s="247"/>
      <c r="P319" s="247"/>
      <c r="Q319" s="247"/>
      <c r="R319" s="247"/>
      <c r="S319" s="247"/>
      <c r="T319" s="247"/>
      <c r="U319" s="247"/>
      <c r="V319" s="247"/>
      <c r="W319" s="247"/>
      <c r="X319" s="247"/>
      <c r="Y319" s="247"/>
      <c r="Z319" s="247"/>
      <c r="AA319" s="247"/>
      <c r="AB319" s="247"/>
      <c r="AC319" s="247"/>
      <c r="AD319" s="247"/>
      <c r="AE319" s="247"/>
      <c r="AF319" s="247"/>
      <c r="AG319" s="247"/>
      <c r="AH319" s="247"/>
      <c r="AI319" s="247"/>
      <c r="AJ319" s="247"/>
      <c r="AK319" s="247"/>
      <c r="AL319" s="247"/>
      <c r="AM319" s="247"/>
      <c r="AN319" s="247"/>
      <c r="AO319" s="247"/>
      <c r="AP319" s="247"/>
      <c r="AQ319" s="247"/>
      <c r="AR319" s="247"/>
      <c r="AS319" s="247"/>
      <c r="AT319" s="247"/>
      <c r="AU319" s="261"/>
    </row>
    <row r="320" spans="1:47" ht="60" customHeight="1" outlineLevel="2" x14ac:dyDescent="0.35">
      <c r="A320" s="256" t="s">
        <v>6403</v>
      </c>
      <c r="B320" s="234" t="s">
        <v>6495</v>
      </c>
      <c r="C320" s="234"/>
      <c r="D320" s="238"/>
      <c r="E320" s="234"/>
      <c r="F320" s="242"/>
      <c r="G320" s="245" t="str">
        <f>IF(COUNTIF(H320:AU320,"&lt;&gt;")=0,"",SUMPRODUCT(((Recommendations[ImplStatus]="Implemented")+(Recommendations[ImplStatus]="Compensated"))*ISNUMBER(MATCH(Recommendations[Id],H320:AU320,0)))/COUNTIF(H320:AU320,"&lt;&gt;"))</f>
        <v/>
      </c>
      <c r="H320" s="242"/>
      <c r="I320" s="242"/>
      <c r="J320" s="242"/>
      <c r="K320" s="242"/>
      <c r="L320" s="242"/>
      <c r="M320" s="242"/>
      <c r="N320" s="242"/>
      <c r="O320" s="242"/>
      <c r="P320" s="242"/>
      <c r="Q320" s="242"/>
      <c r="R320" s="242"/>
      <c r="S320" s="242"/>
      <c r="T320" s="242"/>
      <c r="U320" s="242"/>
      <c r="V320" s="242"/>
      <c r="W320" s="242"/>
      <c r="X320" s="242"/>
      <c r="Y320" s="242"/>
      <c r="Z320" s="242"/>
      <c r="AA320" s="242"/>
      <c r="AB320" s="242"/>
      <c r="AC320" s="242"/>
      <c r="AD320" s="242"/>
      <c r="AE320" s="242"/>
      <c r="AF320" s="242"/>
      <c r="AG320" s="242"/>
      <c r="AH320" s="242"/>
      <c r="AI320" s="242"/>
      <c r="AJ320" s="242"/>
      <c r="AK320" s="242"/>
      <c r="AL320" s="242"/>
      <c r="AM320" s="242"/>
      <c r="AN320" s="242"/>
      <c r="AO320" s="242"/>
      <c r="AP320" s="242"/>
      <c r="AQ320" s="242"/>
      <c r="AR320" s="242"/>
      <c r="AS320" s="242"/>
      <c r="AT320" s="242"/>
      <c r="AU320" s="260"/>
    </row>
    <row r="321" spans="1:47" ht="60" customHeight="1" x14ac:dyDescent="0.35">
      <c r="A321" s="257" t="s">
        <v>6403</v>
      </c>
      <c r="B321" s="235" t="s">
        <v>6495</v>
      </c>
      <c r="C321" s="236" t="s">
        <v>6496</v>
      </c>
      <c r="D321" s="239" t="s">
        <v>6497</v>
      </c>
      <c r="E321" s="240" t="s">
        <v>5881</v>
      </c>
      <c r="F321" s="243" t="s">
        <v>6498</v>
      </c>
      <c r="G321" s="246" t="str">
        <f>IF(COUNTIF(H321:AU321,"&lt;&gt;")=0,"",SUMPRODUCT(((Recommendations[ImplStatus]="Implemented")+(Recommendations[ImplStatus]="Compensated"))*ISNUMBER(MATCH(Recommendations[Id],H321:AU321,0)))/COUNTIF(H321:AU321,"&lt;&gt;"))</f>
        <v/>
      </c>
      <c r="H321" s="247"/>
      <c r="I321" s="247"/>
      <c r="J321" s="247"/>
      <c r="K321" s="247"/>
      <c r="L321" s="247"/>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61"/>
    </row>
    <row r="322" spans="1:47" ht="60" customHeight="1" x14ac:dyDescent="0.35">
      <c r="A322" s="257" t="s">
        <v>6403</v>
      </c>
      <c r="B322" s="235" t="s">
        <v>6495</v>
      </c>
      <c r="C322" s="236" t="s">
        <v>6499</v>
      </c>
      <c r="D322" s="239" t="s">
        <v>6500</v>
      </c>
      <c r="E322" s="240" t="s">
        <v>5881</v>
      </c>
      <c r="F322" s="243" t="s">
        <v>6498</v>
      </c>
      <c r="G322" s="246" t="str">
        <f>IF(COUNTIF(H322:AU322,"&lt;&gt;")=0,"",SUMPRODUCT(((Recommendations[ImplStatus]="Implemented")+(Recommendations[ImplStatus]="Compensated"))*ISNUMBER(MATCH(Recommendations[Id],H322:AU322,0)))/COUNTIF(H322:AU322,"&lt;&gt;"))</f>
        <v/>
      </c>
      <c r="H322" s="247"/>
      <c r="I322" s="247"/>
      <c r="J322" s="247"/>
      <c r="K322" s="247"/>
      <c r="L322" s="247"/>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61"/>
    </row>
    <row r="323" spans="1:47" ht="60" customHeight="1" x14ac:dyDescent="0.35">
      <c r="A323" s="257" t="s">
        <v>6403</v>
      </c>
      <c r="B323" s="235" t="s">
        <v>6495</v>
      </c>
      <c r="C323" s="236" t="s">
        <v>6501</v>
      </c>
      <c r="D323" s="239" t="s">
        <v>6502</v>
      </c>
      <c r="E323" s="240" t="s">
        <v>5881</v>
      </c>
      <c r="F323" s="243" t="s">
        <v>6498</v>
      </c>
      <c r="G323" s="246" t="str">
        <f>IF(COUNTIF(H323:AU323,"&lt;&gt;")=0,"",SUMPRODUCT(((Recommendations[ImplStatus]="Implemented")+(Recommendations[ImplStatus]="Compensated"))*ISNUMBER(MATCH(Recommendations[Id],H323:AU323,0)))/COUNTIF(H323:AU323,"&lt;&gt;"))</f>
        <v/>
      </c>
      <c r="H323" s="247"/>
      <c r="I323" s="247"/>
      <c r="J323" s="247"/>
      <c r="K323" s="247"/>
      <c r="L323" s="247"/>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61"/>
    </row>
    <row r="324" spans="1:47" ht="60" customHeight="1" x14ac:dyDescent="0.35">
      <c r="A324" s="257" t="s">
        <v>6403</v>
      </c>
      <c r="B324" s="235" t="s">
        <v>6495</v>
      </c>
      <c r="C324" s="236" t="s">
        <v>6503</v>
      </c>
      <c r="D324" s="239" t="s">
        <v>6504</v>
      </c>
      <c r="E324" s="240" t="s">
        <v>5881</v>
      </c>
      <c r="F324" s="243" t="s">
        <v>6498</v>
      </c>
      <c r="G324" s="246" t="str">
        <f>IF(COUNTIF(H324:AU324,"&lt;&gt;")=0,"",SUMPRODUCT(((Recommendations[ImplStatus]="Implemented")+(Recommendations[ImplStatus]="Compensated"))*ISNUMBER(MATCH(Recommendations[Id],H324:AU324,0)))/COUNTIF(H324:AU324,"&lt;&gt;"))</f>
        <v/>
      </c>
      <c r="H324" s="247"/>
      <c r="I324" s="247"/>
      <c r="J324" s="247"/>
      <c r="K324" s="247"/>
      <c r="L324" s="247"/>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61"/>
    </row>
    <row r="325" spans="1:47" ht="60" customHeight="1" x14ac:dyDescent="0.35">
      <c r="A325" s="257" t="s">
        <v>6403</v>
      </c>
      <c r="B325" s="235" t="s">
        <v>6495</v>
      </c>
      <c r="C325" s="236" t="s">
        <v>6505</v>
      </c>
      <c r="D325" s="239" t="s">
        <v>6506</v>
      </c>
      <c r="E325" s="240" t="s">
        <v>5881</v>
      </c>
      <c r="F325" s="243" t="s">
        <v>6498</v>
      </c>
      <c r="G325" s="246" t="str">
        <f>IF(COUNTIF(H325:AU325,"&lt;&gt;")=0,"",SUMPRODUCT(((Recommendations[ImplStatus]="Implemented")+(Recommendations[ImplStatus]="Compensated"))*ISNUMBER(MATCH(Recommendations[Id],H325:AU325,0)))/COUNTIF(H325:AU325,"&lt;&gt;"))</f>
        <v/>
      </c>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61"/>
    </row>
    <row r="326" spans="1:47" ht="60" customHeight="1" x14ac:dyDescent="0.35">
      <c r="A326" s="257" t="s">
        <v>6403</v>
      </c>
      <c r="B326" s="235" t="s">
        <v>6495</v>
      </c>
      <c r="C326" s="236" t="s">
        <v>6507</v>
      </c>
      <c r="D326" s="239" t="s">
        <v>6508</v>
      </c>
      <c r="E326" s="240" t="s">
        <v>5881</v>
      </c>
      <c r="F326" s="243" t="s">
        <v>6498</v>
      </c>
      <c r="G326" s="246" t="str">
        <f>IF(COUNTIF(H326:AU326,"&lt;&gt;")=0,"",SUMPRODUCT(((Recommendations[ImplStatus]="Implemented")+(Recommendations[ImplStatus]="Compensated"))*ISNUMBER(MATCH(Recommendations[Id],H326:AU326,0)))/COUNTIF(H326:AU326,"&lt;&gt;"))</f>
        <v/>
      </c>
      <c r="H326" s="247"/>
      <c r="I326" s="247"/>
      <c r="J326" s="247"/>
      <c r="K326" s="247"/>
      <c r="L326" s="247"/>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61"/>
    </row>
    <row r="327" spans="1:47" ht="60" customHeight="1" x14ac:dyDescent="0.35">
      <c r="A327" s="257" t="s">
        <v>6403</v>
      </c>
      <c r="B327" s="235" t="s">
        <v>6495</v>
      </c>
      <c r="C327" s="236" t="s">
        <v>6509</v>
      </c>
      <c r="D327" s="239" t="s">
        <v>6510</v>
      </c>
      <c r="E327" s="240" t="s">
        <v>5881</v>
      </c>
      <c r="F327" s="243" t="s">
        <v>6498</v>
      </c>
      <c r="G327" s="246" t="str">
        <f>IF(COUNTIF(H327:AU327,"&lt;&gt;")=0,"",SUMPRODUCT(((Recommendations[ImplStatus]="Implemented")+(Recommendations[ImplStatus]="Compensated"))*ISNUMBER(MATCH(Recommendations[Id],H327:AU327,0)))/COUNTIF(H327:AU327,"&lt;&gt;"))</f>
        <v/>
      </c>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7"/>
      <c r="AG327" s="247"/>
      <c r="AH327" s="247"/>
      <c r="AI327" s="247"/>
      <c r="AJ327" s="247"/>
      <c r="AK327" s="247"/>
      <c r="AL327" s="247"/>
      <c r="AM327" s="247"/>
      <c r="AN327" s="247"/>
      <c r="AO327" s="247"/>
      <c r="AP327" s="247"/>
      <c r="AQ327" s="247"/>
      <c r="AR327" s="247"/>
      <c r="AS327" s="247"/>
      <c r="AT327" s="247"/>
      <c r="AU327" s="261"/>
    </row>
    <row r="328" spans="1:47" ht="60" customHeight="1" x14ac:dyDescent="0.35">
      <c r="A328" s="257" t="s">
        <v>6403</v>
      </c>
      <c r="B328" s="235" t="s">
        <v>6495</v>
      </c>
      <c r="C328" s="236" t="s">
        <v>6511</v>
      </c>
      <c r="D328" s="239" t="s">
        <v>6512</v>
      </c>
      <c r="E328" s="240" t="s">
        <v>5881</v>
      </c>
      <c r="F328" s="243" t="s">
        <v>6498</v>
      </c>
      <c r="G328" s="246" t="str">
        <f>IF(COUNTIF(H328:AU328,"&lt;&gt;")=0,"",SUMPRODUCT(((Recommendations[ImplStatus]="Implemented")+(Recommendations[ImplStatus]="Compensated"))*ISNUMBER(MATCH(Recommendations[Id],H328:AU328,0)))/COUNTIF(H328:AU328,"&lt;&gt;"))</f>
        <v/>
      </c>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7"/>
      <c r="AG328" s="247"/>
      <c r="AH328" s="247"/>
      <c r="AI328" s="247"/>
      <c r="AJ328" s="247"/>
      <c r="AK328" s="247"/>
      <c r="AL328" s="247"/>
      <c r="AM328" s="247"/>
      <c r="AN328" s="247"/>
      <c r="AO328" s="247"/>
      <c r="AP328" s="247"/>
      <c r="AQ328" s="247"/>
      <c r="AR328" s="247"/>
      <c r="AS328" s="247"/>
      <c r="AT328" s="247"/>
      <c r="AU328" s="261"/>
    </row>
    <row r="329" spans="1:47" ht="60" customHeight="1" x14ac:dyDescent="0.35">
      <c r="A329" s="257" t="s">
        <v>6403</v>
      </c>
      <c r="B329" s="235" t="s">
        <v>6495</v>
      </c>
      <c r="C329" s="236" t="s">
        <v>6513</v>
      </c>
      <c r="D329" s="239" t="s">
        <v>6514</v>
      </c>
      <c r="E329" s="240" t="s">
        <v>5881</v>
      </c>
      <c r="F329" s="243" t="s">
        <v>6498</v>
      </c>
      <c r="G329" s="246" t="str">
        <f>IF(COUNTIF(H329:AU329,"&lt;&gt;")=0,"",SUMPRODUCT(((Recommendations[ImplStatus]="Implemented")+(Recommendations[ImplStatus]="Compensated"))*ISNUMBER(MATCH(Recommendations[Id],H329:AU329,0)))/COUNTIF(H329:AU329,"&lt;&gt;"))</f>
        <v/>
      </c>
      <c r="H329" s="247"/>
      <c r="I329" s="247"/>
      <c r="J329" s="247"/>
      <c r="K329" s="247"/>
      <c r="L329" s="247"/>
      <c r="M329" s="247"/>
      <c r="N329" s="247"/>
      <c r="O329" s="247"/>
      <c r="P329" s="247"/>
      <c r="Q329" s="247"/>
      <c r="R329" s="247"/>
      <c r="S329" s="247"/>
      <c r="T329" s="247"/>
      <c r="U329" s="247"/>
      <c r="V329" s="247"/>
      <c r="W329" s="247"/>
      <c r="X329" s="247"/>
      <c r="Y329" s="247"/>
      <c r="Z329" s="247"/>
      <c r="AA329" s="247"/>
      <c r="AB329" s="247"/>
      <c r="AC329" s="247"/>
      <c r="AD329" s="247"/>
      <c r="AE329" s="247"/>
      <c r="AF329" s="247"/>
      <c r="AG329" s="247"/>
      <c r="AH329" s="247"/>
      <c r="AI329" s="247"/>
      <c r="AJ329" s="247"/>
      <c r="AK329" s="247"/>
      <c r="AL329" s="247"/>
      <c r="AM329" s="247"/>
      <c r="AN329" s="247"/>
      <c r="AO329" s="247"/>
      <c r="AP329" s="247"/>
      <c r="AQ329" s="247"/>
      <c r="AR329" s="247"/>
      <c r="AS329" s="247"/>
      <c r="AT329" s="247"/>
      <c r="AU329" s="261"/>
    </row>
    <row r="330" spans="1:47" ht="60" customHeight="1" x14ac:dyDescent="0.35">
      <c r="A330" s="257" t="s">
        <v>6403</v>
      </c>
      <c r="B330" s="235" t="s">
        <v>6495</v>
      </c>
      <c r="C330" s="236" t="s">
        <v>6515</v>
      </c>
      <c r="D330" s="239" t="s">
        <v>6516</v>
      </c>
      <c r="E330" s="240" t="s">
        <v>5881</v>
      </c>
      <c r="F330" s="243" t="s">
        <v>6498</v>
      </c>
      <c r="G330" s="246" t="str">
        <f>IF(COUNTIF(H330:AU330,"&lt;&gt;")=0,"",SUMPRODUCT(((Recommendations[ImplStatus]="Implemented")+(Recommendations[ImplStatus]="Compensated"))*ISNUMBER(MATCH(Recommendations[Id],H330:AU330,0)))/COUNTIF(H330:AU330,"&lt;&gt;"))</f>
        <v/>
      </c>
      <c r="H330" s="247"/>
      <c r="I330" s="247"/>
      <c r="J330" s="247"/>
      <c r="K330" s="247"/>
      <c r="L330" s="247"/>
      <c r="M330" s="247"/>
      <c r="N330" s="247"/>
      <c r="O330" s="247"/>
      <c r="P330" s="247"/>
      <c r="Q330" s="247"/>
      <c r="R330" s="247"/>
      <c r="S330" s="247"/>
      <c r="T330" s="247"/>
      <c r="U330" s="247"/>
      <c r="V330" s="247"/>
      <c r="W330" s="247"/>
      <c r="X330" s="247"/>
      <c r="Y330" s="247"/>
      <c r="Z330" s="247"/>
      <c r="AA330" s="247"/>
      <c r="AB330" s="247"/>
      <c r="AC330" s="247"/>
      <c r="AD330" s="247"/>
      <c r="AE330" s="247"/>
      <c r="AF330" s="247"/>
      <c r="AG330" s="247"/>
      <c r="AH330" s="247"/>
      <c r="AI330" s="247"/>
      <c r="AJ330" s="247"/>
      <c r="AK330" s="247"/>
      <c r="AL330" s="247"/>
      <c r="AM330" s="247"/>
      <c r="AN330" s="247"/>
      <c r="AO330" s="247"/>
      <c r="AP330" s="247"/>
      <c r="AQ330" s="247"/>
      <c r="AR330" s="247"/>
      <c r="AS330" s="247"/>
      <c r="AT330" s="247"/>
      <c r="AU330" s="261"/>
    </row>
    <row r="331" spans="1:47" ht="60" customHeight="1" x14ac:dyDescent="0.35">
      <c r="A331" s="257" t="s">
        <v>6403</v>
      </c>
      <c r="B331" s="235" t="s">
        <v>6495</v>
      </c>
      <c r="C331" s="236" t="s">
        <v>6517</v>
      </c>
      <c r="D331" s="239" t="s">
        <v>6518</v>
      </c>
      <c r="E331" s="240" t="s">
        <v>5881</v>
      </c>
      <c r="F331" s="243" t="s">
        <v>6498</v>
      </c>
      <c r="G331" s="246" t="str">
        <f>IF(COUNTIF(H331:AU331,"&lt;&gt;")=0,"",SUMPRODUCT(((Recommendations[ImplStatus]="Implemented")+(Recommendations[ImplStatus]="Compensated"))*ISNUMBER(MATCH(Recommendations[Id],H331:AU331,0)))/COUNTIF(H331:AU331,"&lt;&gt;"))</f>
        <v/>
      </c>
      <c r="H331" s="247"/>
      <c r="I331" s="247"/>
      <c r="J331" s="247"/>
      <c r="K331" s="247"/>
      <c r="L331" s="247"/>
      <c r="M331" s="247"/>
      <c r="N331" s="247"/>
      <c r="O331" s="247"/>
      <c r="P331" s="247"/>
      <c r="Q331" s="247"/>
      <c r="R331" s="247"/>
      <c r="S331" s="247"/>
      <c r="T331" s="247"/>
      <c r="U331" s="247"/>
      <c r="V331" s="247"/>
      <c r="W331" s="247"/>
      <c r="X331" s="247"/>
      <c r="Y331" s="247"/>
      <c r="Z331" s="247"/>
      <c r="AA331" s="247"/>
      <c r="AB331" s="247"/>
      <c r="AC331" s="247"/>
      <c r="AD331" s="247"/>
      <c r="AE331" s="247"/>
      <c r="AF331" s="247"/>
      <c r="AG331" s="247"/>
      <c r="AH331" s="247"/>
      <c r="AI331" s="247"/>
      <c r="AJ331" s="247"/>
      <c r="AK331" s="247"/>
      <c r="AL331" s="247"/>
      <c r="AM331" s="247"/>
      <c r="AN331" s="247"/>
      <c r="AO331" s="247"/>
      <c r="AP331" s="247"/>
      <c r="AQ331" s="247"/>
      <c r="AR331" s="247"/>
      <c r="AS331" s="247"/>
      <c r="AT331" s="247"/>
      <c r="AU331" s="261"/>
    </row>
    <row r="332" spans="1:47" ht="60" customHeight="1" x14ac:dyDescent="0.35">
      <c r="A332" s="257" t="s">
        <v>6403</v>
      </c>
      <c r="B332" s="235" t="s">
        <v>6495</v>
      </c>
      <c r="C332" s="236" t="s">
        <v>6519</v>
      </c>
      <c r="D332" s="239" t="s">
        <v>6520</v>
      </c>
      <c r="E332" s="240" t="s">
        <v>5881</v>
      </c>
      <c r="F332" s="243" t="s">
        <v>6498</v>
      </c>
      <c r="G332" s="246" t="str">
        <f>IF(COUNTIF(H332:AU332,"&lt;&gt;")=0,"",SUMPRODUCT(((Recommendations[ImplStatus]="Implemented")+(Recommendations[ImplStatus]="Compensated"))*ISNUMBER(MATCH(Recommendations[Id],H332:AU332,0)))/COUNTIF(H332:AU332,"&lt;&gt;"))</f>
        <v/>
      </c>
      <c r="H332" s="247"/>
      <c r="I332" s="247"/>
      <c r="J332" s="247"/>
      <c r="K332" s="247"/>
      <c r="L332" s="247"/>
      <c r="M332" s="247"/>
      <c r="N332" s="247"/>
      <c r="O332" s="247"/>
      <c r="P332" s="247"/>
      <c r="Q332" s="247"/>
      <c r="R332" s="247"/>
      <c r="S332" s="247"/>
      <c r="T332" s="247"/>
      <c r="U332" s="247"/>
      <c r="V332" s="247"/>
      <c r="W332" s="247"/>
      <c r="X332" s="247"/>
      <c r="Y332" s="247"/>
      <c r="Z332" s="247"/>
      <c r="AA332" s="247"/>
      <c r="AB332" s="247"/>
      <c r="AC332" s="247"/>
      <c r="AD332" s="247"/>
      <c r="AE332" s="247"/>
      <c r="AF332" s="247"/>
      <c r="AG332" s="247"/>
      <c r="AH332" s="247"/>
      <c r="AI332" s="247"/>
      <c r="AJ332" s="247"/>
      <c r="AK332" s="247"/>
      <c r="AL332" s="247"/>
      <c r="AM332" s="247"/>
      <c r="AN332" s="247"/>
      <c r="AO332" s="247"/>
      <c r="AP332" s="247"/>
      <c r="AQ332" s="247"/>
      <c r="AR332" s="247"/>
      <c r="AS332" s="247"/>
      <c r="AT332" s="247"/>
      <c r="AU332" s="261"/>
    </row>
    <row r="333" spans="1:47" ht="60" customHeight="1" x14ac:dyDescent="0.35">
      <c r="A333" s="257" t="s">
        <v>6403</v>
      </c>
      <c r="B333" s="235" t="s">
        <v>6495</v>
      </c>
      <c r="C333" s="236" t="s">
        <v>6521</v>
      </c>
      <c r="D333" s="239" t="s">
        <v>6522</v>
      </c>
      <c r="E333" s="240" t="s">
        <v>5881</v>
      </c>
      <c r="F333" s="243" t="s">
        <v>6498</v>
      </c>
      <c r="G333" s="246" t="str">
        <f>IF(COUNTIF(H333:AU333,"&lt;&gt;")=0,"",SUMPRODUCT(((Recommendations[ImplStatus]="Implemented")+(Recommendations[ImplStatus]="Compensated"))*ISNUMBER(MATCH(Recommendations[Id],H333:AU333,0)))/COUNTIF(H333:AU333,"&lt;&gt;"))</f>
        <v/>
      </c>
      <c r="H333" s="247"/>
      <c r="I333" s="247"/>
      <c r="J333" s="247"/>
      <c r="K333" s="247"/>
      <c r="L333" s="247"/>
      <c r="M333" s="247"/>
      <c r="N333" s="247"/>
      <c r="O333" s="247"/>
      <c r="P333" s="247"/>
      <c r="Q333" s="247"/>
      <c r="R333" s="247"/>
      <c r="S333" s="247"/>
      <c r="T333" s="247"/>
      <c r="U333" s="247"/>
      <c r="V333" s="247"/>
      <c r="W333" s="247"/>
      <c r="X333" s="247"/>
      <c r="Y333" s="247"/>
      <c r="Z333" s="247"/>
      <c r="AA333" s="247"/>
      <c r="AB333" s="247"/>
      <c r="AC333" s="247"/>
      <c r="AD333" s="247"/>
      <c r="AE333" s="247"/>
      <c r="AF333" s="247"/>
      <c r="AG333" s="247"/>
      <c r="AH333" s="247"/>
      <c r="AI333" s="247"/>
      <c r="AJ333" s="247"/>
      <c r="AK333" s="247"/>
      <c r="AL333" s="247"/>
      <c r="AM333" s="247"/>
      <c r="AN333" s="247"/>
      <c r="AO333" s="247"/>
      <c r="AP333" s="247"/>
      <c r="AQ333" s="247"/>
      <c r="AR333" s="247"/>
      <c r="AS333" s="247"/>
      <c r="AT333" s="247"/>
      <c r="AU333" s="261"/>
    </row>
    <row r="334" spans="1:47" ht="60" customHeight="1" x14ac:dyDescent="0.35">
      <c r="A334" s="257" t="s">
        <v>6403</v>
      </c>
      <c r="B334" s="235" t="s">
        <v>6495</v>
      </c>
      <c r="C334" s="236" t="s">
        <v>6523</v>
      </c>
      <c r="D334" s="239" t="s">
        <v>6524</v>
      </c>
      <c r="E334" s="240" t="s">
        <v>5881</v>
      </c>
      <c r="F334" s="243" t="s">
        <v>6498</v>
      </c>
      <c r="G334" s="246" t="str">
        <f>IF(COUNTIF(H334:AU334,"&lt;&gt;")=0,"",SUMPRODUCT(((Recommendations[ImplStatus]="Implemented")+(Recommendations[ImplStatus]="Compensated"))*ISNUMBER(MATCH(Recommendations[Id],H334:AU334,0)))/COUNTIF(H334:AU334,"&lt;&gt;"))</f>
        <v/>
      </c>
      <c r="H334" s="247"/>
      <c r="I334" s="247"/>
      <c r="J334" s="247"/>
      <c r="K334" s="247"/>
      <c r="L334" s="247"/>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61"/>
    </row>
    <row r="335" spans="1:47" ht="60" customHeight="1" x14ac:dyDescent="0.35">
      <c r="A335" s="257" t="s">
        <v>6403</v>
      </c>
      <c r="B335" s="235" t="s">
        <v>6495</v>
      </c>
      <c r="C335" s="236" t="s">
        <v>6525</v>
      </c>
      <c r="D335" s="239" t="s">
        <v>6526</v>
      </c>
      <c r="E335" s="240" t="s">
        <v>5881</v>
      </c>
      <c r="F335" s="243" t="s">
        <v>6498</v>
      </c>
      <c r="G335" s="246" t="str">
        <f>IF(COUNTIF(H335:AU335,"&lt;&gt;")=0,"",SUMPRODUCT(((Recommendations[ImplStatus]="Implemented")+(Recommendations[ImplStatus]="Compensated"))*ISNUMBER(MATCH(Recommendations[Id],H335:AU335,0)))/COUNTIF(H335:AU335,"&lt;&gt;"))</f>
        <v/>
      </c>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61"/>
    </row>
    <row r="336" spans="1:47" ht="60" customHeight="1" x14ac:dyDescent="0.35">
      <c r="A336" s="257" t="s">
        <v>6403</v>
      </c>
      <c r="B336" s="235" t="s">
        <v>6495</v>
      </c>
      <c r="C336" s="236" t="s">
        <v>6527</v>
      </c>
      <c r="D336" s="239" t="s">
        <v>6528</v>
      </c>
      <c r="E336" s="240" t="s">
        <v>5996</v>
      </c>
      <c r="F336" s="243" t="s">
        <v>6498</v>
      </c>
      <c r="G336" s="246" t="str">
        <f>IF(COUNTIF(H336:AU336,"&lt;&gt;")=0,"",SUMPRODUCT(((Recommendations[ImplStatus]="Implemented")+(Recommendations[ImplStatus]="Compensated"))*ISNUMBER(MATCH(Recommendations[Id],H336:AU336,0)))/COUNTIF(H336:AU336,"&lt;&gt;"))</f>
        <v/>
      </c>
      <c r="H336" s="247"/>
      <c r="I336" s="247"/>
      <c r="J336" s="247"/>
      <c r="K336" s="247"/>
      <c r="L336" s="247"/>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61"/>
    </row>
    <row r="337" spans="1:47" ht="60" customHeight="1" x14ac:dyDescent="0.35">
      <c r="A337" s="257" t="s">
        <v>6403</v>
      </c>
      <c r="B337" s="235" t="s">
        <v>6495</v>
      </c>
      <c r="C337" s="236" t="s">
        <v>6529</v>
      </c>
      <c r="D337" s="239" t="s">
        <v>6530</v>
      </c>
      <c r="E337" s="240" t="s">
        <v>5996</v>
      </c>
      <c r="F337" s="243" t="s">
        <v>6498</v>
      </c>
      <c r="G337" s="246" t="str">
        <f>IF(COUNTIF(H337:AU337,"&lt;&gt;")=0,"",SUMPRODUCT(((Recommendations[ImplStatus]="Implemented")+(Recommendations[ImplStatus]="Compensated"))*ISNUMBER(MATCH(Recommendations[Id],H337:AU337,0)))/COUNTIF(H337:AU337,"&lt;&gt;"))</f>
        <v/>
      </c>
      <c r="H337" s="247"/>
      <c r="I337" s="247"/>
      <c r="J337" s="247"/>
      <c r="K337" s="247"/>
      <c r="L337" s="247"/>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61"/>
    </row>
    <row r="338" spans="1:47" ht="60" customHeight="1" x14ac:dyDescent="0.35">
      <c r="A338" s="257" t="s">
        <v>6403</v>
      </c>
      <c r="B338" s="235" t="s">
        <v>6495</v>
      </c>
      <c r="C338" s="236" t="s">
        <v>6531</v>
      </c>
      <c r="D338" s="239" t="s">
        <v>6532</v>
      </c>
      <c r="E338" s="240" t="s">
        <v>5881</v>
      </c>
      <c r="F338" s="243" t="s">
        <v>6498</v>
      </c>
      <c r="G338" s="246" t="str">
        <f>IF(COUNTIF(H338:AU338,"&lt;&gt;")=0,"",SUMPRODUCT(((Recommendations[ImplStatus]="Implemented")+(Recommendations[ImplStatus]="Compensated"))*ISNUMBER(MATCH(Recommendations[Id],H338:AU338,0)))/COUNTIF(H338:AU338,"&lt;&gt;"))</f>
        <v/>
      </c>
      <c r="H338" s="247"/>
      <c r="I338" s="247"/>
      <c r="J338" s="247"/>
      <c r="K338" s="247"/>
      <c r="L338" s="247"/>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61"/>
    </row>
    <row r="339" spans="1:47" ht="60" customHeight="1" x14ac:dyDescent="0.35">
      <c r="A339" s="257" t="s">
        <v>6403</v>
      </c>
      <c r="B339" s="235" t="s">
        <v>6495</v>
      </c>
      <c r="C339" s="236" t="s">
        <v>6533</v>
      </c>
      <c r="D339" s="239" t="s">
        <v>6534</v>
      </c>
      <c r="E339" s="240" t="s">
        <v>5881</v>
      </c>
      <c r="F339" s="243" t="s">
        <v>6498</v>
      </c>
      <c r="G339" s="246" t="str">
        <f>IF(COUNTIF(H339:AU339,"&lt;&gt;")=0,"",SUMPRODUCT(((Recommendations[ImplStatus]="Implemented")+(Recommendations[ImplStatus]="Compensated"))*ISNUMBER(MATCH(Recommendations[Id],H339:AU339,0)))/COUNTIF(H339:AU339,"&lt;&gt;"))</f>
        <v/>
      </c>
      <c r="H339" s="247"/>
      <c r="I339" s="247"/>
      <c r="J339" s="247"/>
      <c r="K339" s="247"/>
      <c r="L339" s="247"/>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61"/>
    </row>
    <row r="340" spans="1:47" ht="60" customHeight="1" outlineLevel="2" x14ac:dyDescent="0.35">
      <c r="A340" s="256" t="s">
        <v>6403</v>
      </c>
      <c r="B340" s="234" t="s">
        <v>6535</v>
      </c>
      <c r="C340" s="234"/>
      <c r="D340" s="238"/>
      <c r="E340" s="234"/>
      <c r="F340" s="242"/>
      <c r="G340" s="245" t="str">
        <f>IF(COUNTIF(H340:AU340,"&lt;&gt;")=0,"",SUMPRODUCT(((Recommendations[ImplStatus]="Implemented")+(Recommendations[ImplStatus]="Compensated"))*ISNUMBER(MATCH(Recommendations[Id],H340:AU340,0)))/COUNTIF(H340:AU340,"&lt;&gt;"))</f>
        <v/>
      </c>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60"/>
    </row>
    <row r="341" spans="1:47" ht="60" customHeight="1" x14ac:dyDescent="0.35">
      <c r="A341" s="257" t="s">
        <v>6403</v>
      </c>
      <c r="B341" s="235" t="s">
        <v>6535</v>
      </c>
      <c r="C341" s="236" t="s">
        <v>6536</v>
      </c>
      <c r="D341" s="239" t="s">
        <v>6537</v>
      </c>
      <c r="E341" s="240" t="s">
        <v>5852</v>
      </c>
      <c r="F341" s="243" t="s">
        <v>6422</v>
      </c>
      <c r="G341" s="246" t="str">
        <f>IF(COUNTIF(H341:AU341,"&lt;&gt;")=0,"",SUMPRODUCT(((Recommendations[ImplStatus]="Implemented")+(Recommendations[ImplStatus]="Compensated"))*ISNUMBER(MATCH(Recommendations[Id],H341:AU341,0)))/COUNTIF(H341:AU341,"&lt;&gt;"))</f>
        <v/>
      </c>
      <c r="H341" s="247"/>
      <c r="I341" s="247"/>
      <c r="J341" s="247"/>
      <c r="K341" s="247"/>
      <c r="L341" s="247"/>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61"/>
    </row>
    <row r="342" spans="1:47" ht="60" customHeight="1" x14ac:dyDescent="0.35">
      <c r="A342" s="257" t="s">
        <v>6403</v>
      </c>
      <c r="B342" s="235" t="s">
        <v>6535</v>
      </c>
      <c r="C342" s="236" t="s">
        <v>6538</v>
      </c>
      <c r="D342" s="239" t="s">
        <v>6539</v>
      </c>
      <c r="E342" s="240" t="s">
        <v>5852</v>
      </c>
      <c r="F342" s="243" t="s">
        <v>6422</v>
      </c>
      <c r="G342" s="246" t="str">
        <f>IF(COUNTIF(H342:AU342,"&lt;&gt;")=0,"",SUMPRODUCT(((Recommendations[ImplStatus]="Implemented")+(Recommendations[ImplStatus]="Compensated"))*ISNUMBER(MATCH(Recommendations[Id],H342:AU342,0)))/COUNTIF(H342:AU342,"&lt;&gt;"))</f>
        <v/>
      </c>
      <c r="H342" s="247"/>
      <c r="I342" s="247"/>
      <c r="J342" s="247"/>
      <c r="K342" s="247"/>
      <c r="L342" s="247"/>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61"/>
    </row>
    <row r="343" spans="1:47" ht="60" customHeight="1" x14ac:dyDescent="0.35">
      <c r="A343" s="257" t="s">
        <v>6403</v>
      </c>
      <c r="B343" s="235" t="s">
        <v>6535</v>
      </c>
      <c r="C343" s="236" t="s">
        <v>6540</v>
      </c>
      <c r="D343" s="239" t="s">
        <v>6541</v>
      </c>
      <c r="E343" s="240" t="s">
        <v>5948</v>
      </c>
      <c r="F343" s="243" t="s">
        <v>6542</v>
      </c>
      <c r="G343" s="246" t="str">
        <f>IF(COUNTIF(H343:AU343,"&lt;&gt;")=0,"",SUMPRODUCT(((Recommendations[ImplStatus]="Implemented")+(Recommendations[ImplStatus]="Compensated"))*ISNUMBER(MATCH(Recommendations[Id],H343:AU343,0)))/COUNTIF(H343:AU343,"&lt;&gt;"))</f>
        <v/>
      </c>
      <c r="H343" s="247"/>
      <c r="I343" s="247"/>
      <c r="J343" s="247"/>
      <c r="K343" s="247"/>
      <c r="L343" s="247"/>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61"/>
    </row>
    <row r="344" spans="1:47" ht="60" customHeight="1" x14ac:dyDescent="0.35">
      <c r="A344" s="257" t="s">
        <v>6403</v>
      </c>
      <c r="B344" s="235" t="s">
        <v>6535</v>
      </c>
      <c r="C344" s="236" t="s">
        <v>6543</v>
      </c>
      <c r="D344" s="239" t="s">
        <v>6544</v>
      </c>
      <c r="E344" s="240" t="s">
        <v>5881</v>
      </c>
      <c r="F344" s="243" t="s">
        <v>6542</v>
      </c>
      <c r="G344" s="246" t="str">
        <f>IF(COUNTIF(H344:AU344,"&lt;&gt;")=0,"",SUMPRODUCT(((Recommendations[ImplStatus]="Implemented")+(Recommendations[ImplStatus]="Compensated"))*ISNUMBER(MATCH(Recommendations[Id],H344:AU344,0)))/COUNTIF(H344:AU344,"&lt;&gt;"))</f>
        <v/>
      </c>
      <c r="H344" s="247"/>
      <c r="I344" s="247"/>
      <c r="J344" s="247"/>
      <c r="K344" s="247"/>
      <c r="L344" s="247"/>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61"/>
    </row>
    <row r="345" spans="1:47" ht="60" customHeight="1" x14ac:dyDescent="0.35">
      <c r="A345" s="257" t="s">
        <v>6403</v>
      </c>
      <c r="B345" s="235" t="s">
        <v>6535</v>
      </c>
      <c r="C345" s="236" t="s">
        <v>6545</v>
      </c>
      <c r="D345" s="239" t="s">
        <v>6546</v>
      </c>
      <c r="E345" s="240" t="s">
        <v>5881</v>
      </c>
      <c r="F345" s="243" t="s">
        <v>6542</v>
      </c>
      <c r="G345" s="246">
        <f>IF(COUNTIF(H345:AU345,"&lt;&gt;")=0,"",SUMPRODUCT(((Recommendations[ImplStatus]="Implemented")+(Recommendations[ImplStatus]="Compensated"))*ISNUMBER(MATCH(Recommendations[Id],H345:AU345,0)))/COUNTIF(H345:AU345,"&lt;&gt;"))</f>
        <v>0</v>
      </c>
      <c r="H345" s="247" t="s">
        <v>2093</v>
      </c>
      <c r="I345" s="247" t="s">
        <v>2100</v>
      </c>
      <c r="J345" s="247" t="s">
        <v>2260</v>
      </c>
      <c r="K345" s="247" t="s">
        <v>2366</v>
      </c>
      <c r="L345" s="247" t="s">
        <v>2640</v>
      </c>
      <c r="M345" s="247" t="s">
        <v>2649</v>
      </c>
      <c r="N345" s="247" t="s">
        <v>2684</v>
      </c>
      <c r="O345" s="247" t="s">
        <v>2691</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61"/>
    </row>
    <row r="346" spans="1:47" ht="60" customHeight="1" x14ac:dyDescent="0.35">
      <c r="A346" s="257" t="s">
        <v>6403</v>
      </c>
      <c r="B346" s="235" t="s">
        <v>6535</v>
      </c>
      <c r="C346" s="236" t="s">
        <v>6547</v>
      </c>
      <c r="D346" s="239" t="s">
        <v>6548</v>
      </c>
      <c r="E346" s="240" t="s">
        <v>5881</v>
      </c>
      <c r="F346" s="243" t="s">
        <v>6542</v>
      </c>
      <c r="G346" s="246" t="str">
        <f>IF(COUNTIF(H346:AU346,"&lt;&gt;")=0,"",SUMPRODUCT(((Recommendations[ImplStatus]="Implemented")+(Recommendations[ImplStatus]="Compensated"))*ISNUMBER(MATCH(Recommendations[Id],H346:AU346,0)))/COUNTIF(H346:AU346,"&lt;&gt;"))</f>
        <v/>
      </c>
      <c r="H346" s="247"/>
      <c r="I346" s="247"/>
      <c r="J346" s="247"/>
      <c r="K346" s="247"/>
      <c r="L346" s="247"/>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61"/>
    </row>
    <row r="347" spans="1:47" ht="60" customHeight="1" x14ac:dyDescent="0.35">
      <c r="A347" s="257" t="s">
        <v>6403</v>
      </c>
      <c r="B347" s="235" t="s">
        <v>6535</v>
      </c>
      <c r="C347" s="236" t="s">
        <v>6549</v>
      </c>
      <c r="D347" s="239" t="s">
        <v>6550</v>
      </c>
      <c r="E347" s="240" t="s">
        <v>5881</v>
      </c>
      <c r="F347" s="243" t="s">
        <v>6542</v>
      </c>
      <c r="G347" s="246" t="str">
        <f>IF(COUNTIF(H347:AU347,"&lt;&gt;")=0,"",SUMPRODUCT(((Recommendations[ImplStatus]="Implemented")+(Recommendations[ImplStatus]="Compensated"))*ISNUMBER(MATCH(Recommendations[Id],H347:AU347,0)))/COUNTIF(H347:AU347,"&lt;&gt;"))</f>
        <v/>
      </c>
      <c r="H347" s="247"/>
      <c r="I347" s="247"/>
      <c r="J347" s="247"/>
      <c r="K347" s="247"/>
      <c r="L347" s="247"/>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61"/>
    </row>
    <row r="348" spans="1:47" ht="60" customHeight="1" x14ac:dyDescent="0.35">
      <c r="A348" s="257" t="s">
        <v>6403</v>
      </c>
      <c r="B348" s="235" t="s">
        <v>6535</v>
      </c>
      <c r="C348" s="236" t="s">
        <v>6551</v>
      </c>
      <c r="D348" s="239" t="s">
        <v>6552</v>
      </c>
      <c r="E348" s="240" t="s">
        <v>5881</v>
      </c>
      <c r="F348" s="243" t="s">
        <v>6542</v>
      </c>
      <c r="G348" s="246" t="str">
        <f>IF(COUNTIF(H348:AU348,"&lt;&gt;")=0,"",SUMPRODUCT(((Recommendations[ImplStatus]="Implemented")+(Recommendations[ImplStatus]="Compensated"))*ISNUMBER(MATCH(Recommendations[Id],H348:AU348,0)))/COUNTIF(H348:AU348,"&lt;&gt;"))</f>
        <v/>
      </c>
      <c r="H348" s="247"/>
      <c r="I348" s="247"/>
      <c r="J348" s="247"/>
      <c r="K348" s="247"/>
      <c r="L348" s="247"/>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61"/>
    </row>
    <row r="349" spans="1:47" ht="60" customHeight="1" x14ac:dyDescent="0.35">
      <c r="A349" s="257" t="s">
        <v>6403</v>
      </c>
      <c r="B349" s="235" t="s">
        <v>6535</v>
      </c>
      <c r="C349" s="236" t="s">
        <v>6553</v>
      </c>
      <c r="D349" s="239" t="s">
        <v>6554</v>
      </c>
      <c r="E349" s="240" t="s">
        <v>5881</v>
      </c>
      <c r="F349" s="243" t="s">
        <v>6542</v>
      </c>
      <c r="G349" s="246" t="str">
        <f>IF(COUNTIF(H349:AU349,"&lt;&gt;")=0,"",SUMPRODUCT(((Recommendations[ImplStatus]="Implemented")+(Recommendations[ImplStatus]="Compensated"))*ISNUMBER(MATCH(Recommendations[Id],H349:AU349,0)))/COUNTIF(H349:AU349,"&lt;&gt;"))</f>
        <v/>
      </c>
      <c r="H349" s="247"/>
      <c r="I349" s="247"/>
      <c r="J349" s="247"/>
      <c r="K349" s="247"/>
      <c r="L349" s="247"/>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61"/>
    </row>
    <row r="350" spans="1:47" ht="60" customHeight="1" x14ac:dyDescent="0.35">
      <c r="A350" s="257" t="s">
        <v>6403</v>
      </c>
      <c r="B350" s="235" t="s">
        <v>6535</v>
      </c>
      <c r="C350" s="236" t="s">
        <v>6555</v>
      </c>
      <c r="D350" s="239" t="s">
        <v>6556</v>
      </c>
      <c r="E350" s="240" t="s">
        <v>5852</v>
      </c>
      <c r="F350" s="243" t="s">
        <v>6542</v>
      </c>
      <c r="G350" s="246" t="str">
        <f>IF(COUNTIF(H350:AU350,"&lt;&gt;")=0,"",SUMPRODUCT(((Recommendations[ImplStatus]="Implemented")+(Recommendations[ImplStatus]="Compensated"))*ISNUMBER(MATCH(Recommendations[Id],H350:AU350,0)))/COUNTIF(H350:AU350,"&lt;&gt;"))</f>
        <v/>
      </c>
      <c r="H350" s="247"/>
      <c r="I350" s="247"/>
      <c r="J350" s="247"/>
      <c r="K350" s="247"/>
      <c r="L350" s="247"/>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61"/>
    </row>
    <row r="351" spans="1:47" ht="60" customHeight="1" x14ac:dyDescent="0.35">
      <c r="A351" s="257" t="s">
        <v>6403</v>
      </c>
      <c r="B351" s="235" t="s">
        <v>6535</v>
      </c>
      <c r="C351" s="236" t="s">
        <v>6557</v>
      </c>
      <c r="D351" s="239" t="s">
        <v>6558</v>
      </c>
      <c r="E351" s="240" t="s">
        <v>5852</v>
      </c>
      <c r="F351" s="243" t="s">
        <v>6542</v>
      </c>
      <c r="G351" s="246" t="str">
        <f>IF(COUNTIF(H351:AU351,"&lt;&gt;")=0,"",SUMPRODUCT(((Recommendations[ImplStatus]="Implemented")+(Recommendations[ImplStatus]="Compensated"))*ISNUMBER(MATCH(Recommendations[Id],H351:AU351,0)))/COUNTIF(H351:AU351,"&lt;&gt;"))</f>
        <v/>
      </c>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61"/>
    </row>
    <row r="352" spans="1:47" ht="60" customHeight="1" x14ac:dyDescent="0.35">
      <c r="A352" s="257" t="s">
        <v>6403</v>
      </c>
      <c r="B352" s="235" t="s">
        <v>6535</v>
      </c>
      <c r="C352" s="236" t="s">
        <v>6559</v>
      </c>
      <c r="D352" s="239" t="s">
        <v>6560</v>
      </c>
      <c r="E352" s="240" t="s">
        <v>5852</v>
      </c>
      <c r="F352" s="243" t="s">
        <v>6542</v>
      </c>
      <c r="G352" s="246" t="str">
        <f>IF(COUNTIF(H352:AU352,"&lt;&gt;")=0,"",SUMPRODUCT(((Recommendations[ImplStatus]="Implemented")+(Recommendations[ImplStatus]="Compensated"))*ISNUMBER(MATCH(Recommendations[Id],H352:AU352,0)))/COUNTIF(H352:AU352,"&lt;&gt;"))</f>
        <v/>
      </c>
      <c r="H352" s="247"/>
      <c r="I352" s="247"/>
      <c r="J352" s="247"/>
      <c r="K352" s="247"/>
      <c r="L352" s="247"/>
      <c r="M352" s="247"/>
      <c r="N352" s="247"/>
      <c r="O352" s="247"/>
      <c r="P352" s="247"/>
      <c r="Q352" s="247"/>
      <c r="R352" s="247"/>
      <c r="S352" s="247"/>
      <c r="T352" s="247"/>
      <c r="U352" s="247"/>
      <c r="V352" s="247"/>
      <c r="W352" s="247"/>
      <c r="X352" s="247"/>
      <c r="Y352" s="247"/>
      <c r="Z352" s="247"/>
      <c r="AA352" s="247"/>
      <c r="AB352" s="247"/>
      <c r="AC352" s="247"/>
      <c r="AD352" s="247"/>
      <c r="AE352" s="247"/>
      <c r="AF352" s="247"/>
      <c r="AG352" s="247"/>
      <c r="AH352" s="247"/>
      <c r="AI352" s="247"/>
      <c r="AJ352" s="247"/>
      <c r="AK352" s="247"/>
      <c r="AL352" s="247"/>
      <c r="AM352" s="247"/>
      <c r="AN352" s="247"/>
      <c r="AO352" s="247"/>
      <c r="AP352" s="247"/>
      <c r="AQ352" s="247"/>
      <c r="AR352" s="247"/>
      <c r="AS352" s="247"/>
      <c r="AT352" s="247"/>
      <c r="AU352" s="261"/>
    </row>
    <row r="353" spans="1:47" ht="60" customHeight="1" x14ac:dyDescent="0.35">
      <c r="A353" s="257" t="s">
        <v>6403</v>
      </c>
      <c r="B353" s="235" t="s">
        <v>6535</v>
      </c>
      <c r="C353" s="236" t="s">
        <v>6561</v>
      </c>
      <c r="D353" s="239" t="s">
        <v>6562</v>
      </c>
      <c r="E353" s="240" t="s">
        <v>5948</v>
      </c>
      <c r="F353" s="243" t="s">
        <v>6422</v>
      </c>
      <c r="G353" s="246" t="str">
        <f>IF(COUNTIF(H353:AU353,"&lt;&gt;")=0,"",SUMPRODUCT(((Recommendations[ImplStatus]="Implemented")+(Recommendations[ImplStatus]="Compensated"))*ISNUMBER(MATCH(Recommendations[Id],H353:AU353,0)))/COUNTIF(H353:AU353,"&lt;&gt;"))</f>
        <v/>
      </c>
      <c r="H353" s="247"/>
      <c r="I353" s="247"/>
      <c r="J353" s="247"/>
      <c r="K353" s="247"/>
      <c r="L353" s="247"/>
      <c r="M353" s="247"/>
      <c r="N353" s="247"/>
      <c r="O353" s="247"/>
      <c r="P353" s="247"/>
      <c r="Q353" s="247"/>
      <c r="R353" s="247"/>
      <c r="S353" s="247"/>
      <c r="T353" s="247"/>
      <c r="U353" s="247"/>
      <c r="V353" s="247"/>
      <c r="W353" s="247"/>
      <c r="X353" s="247"/>
      <c r="Y353" s="247"/>
      <c r="Z353" s="247"/>
      <c r="AA353" s="247"/>
      <c r="AB353" s="247"/>
      <c r="AC353" s="247"/>
      <c r="AD353" s="247"/>
      <c r="AE353" s="247"/>
      <c r="AF353" s="247"/>
      <c r="AG353" s="247"/>
      <c r="AH353" s="247"/>
      <c r="AI353" s="247"/>
      <c r="AJ353" s="247"/>
      <c r="AK353" s="247"/>
      <c r="AL353" s="247"/>
      <c r="AM353" s="247"/>
      <c r="AN353" s="247"/>
      <c r="AO353" s="247"/>
      <c r="AP353" s="247"/>
      <c r="AQ353" s="247"/>
      <c r="AR353" s="247"/>
      <c r="AS353" s="247"/>
      <c r="AT353" s="247"/>
      <c r="AU353" s="261"/>
    </row>
    <row r="354" spans="1:47" ht="60" customHeight="1" outlineLevel="2" x14ac:dyDescent="0.35">
      <c r="A354" s="256" t="s">
        <v>6403</v>
      </c>
      <c r="B354" s="234" t="s">
        <v>6563</v>
      </c>
      <c r="C354" s="234"/>
      <c r="D354" s="238"/>
      <c r="E354" s="234"/>
      <c r="F354" s="242"/>
      <c r="G354" s="245" t="str">
        <f>IF(COUNTIF(H354:AU354,"&lt;&gt;")=0,"",SUMPRODUCT(((Recommendations[ImplStatus]="Implemented")+(Recommendations[ImplStatus]="Compensated"))*ISNUMBER(MATCH(Recommendations[Id],H354:AU354,0)))/COUNTIF(H354:AU354,"&lt;&gt;"))</f>
        <v/>
      </c>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60"/>
    </row>
    <row r="355" spans="1:47" ht="60" customHeight="1" x14ac:dyDescent="0.35">
      <c r="A355" s="257" t="s">
        <v>6403</v>
      </c>
      <c r="B355" s="235" t="s">
        <v>6563</v>
      </c>
      <c r="C355" s="236" t="s">
        <v>6564</v>
      </c>
      <c r="D355" s="239" t="s">
        <v>6565</v>
      </c>
      <c r="E355" s="240" t="s">
        <v>5948</v>
      </c>
      <c r="F355" s="243" t="s">
        <v>6566</v>
      </c>
      <c r="G355" s="246" t="str">
        <f>IF(COUNTIF(H355:AU355,"&lt;&gt;")=0,"",SUMPRODUCT(((Recommendations[ImplStatus]="Implemented")+(Recommendations[ImplStatus]="Compensated"))*ISNUMBER(MATCH(Recommendations[Id],H355:AU355,0)))/COUNTIF(H355:AU355,"&lt;&gt;"))</f>
        <v/>
      </c>
      <c r="H355" s="247"/>
      <c r="I355" s="247"/>
      <c r="J355" s="247"/>
      <c r="K355" s="247"/>
      <c r="L355" s="247"/>
      <c r="M355" s="247"/>
      <c r="N355" s="247"/>
      <c r="O355" s="247"/>
      <c r="P355" s="247"/>
      <c r="Q355" s="247"/>
      <c r="R355" s="247"/>
      <c r="S355" s="247"/>
      <c r="T355" s="247"/>
      <c r="U355" s="247"/>
      <c r="V355" s="247"/>
      <c r="W355" s="247"/>
      <c r="X355" s="247"/>
      <c r="Y355" s="247"/>
      <c r="Z355" s="247"/>
      <c r="AA355" s="247"/>
      <c r="AB355" s="247"/>
      <c r="AC355" s="247"/>
      <c r="AD355" s="247"/>
      <c r="AE355" s="247"/>
      <c r="AF355" s="247"/>
      <c r="AG355" s="247"/>
      <c r="AH355" s="247"/>
      <c r="AI355" s="247"/>
      <c r="AJ355" s="247"/>
      <c r="AK355" s="247"/>
      <c r="AL355" s="247"/>
      <c r="AM355" s="247"/>
      <c r="AN355" s="247"/>
      <c r="AO355" s="247"/>
      <c r="AP355" s="247"/>
      <c r="AQ355" s="247"/>
      <c r="AR355" s="247"/>
      <c r="AS355" s="247"/>
      <c r="AT355" s="247"/>
      <c r="AU355" s="261"/>
    </row>
    <row r="356" spans="1:47" ht="60" customHeight="1" x14ac:dyDescent="0.35">
      <c r="A356" s="257" t="s">
        <v>6403</v>
      </c>
      <c r="B356" s="235" t="s">
        <v>6563</v>
      </c>
      <c r="C356" s="236" t="s">
        <v>6567</v>
      </c>
      <c r="D356" s="239" t="s">
        <v>6568</v>
      </c>
      <c r="E356" s="240" t="s">
        <v>5948</v>
      </c>
      <c r="F356" s="243" t="s">
        <v>6566</v>
      </c>
      <c r="G356" s="246">
        <f>IF(COUNTIF(H356:AU356,"&lt;&gt;")=0,"",SUMPRODUCT(((Recommendations[ImplStatus]="Implemented")+(Recommendations[ImplStatus]="Compensated"))*ISNUMBER(MATCH(Recommendations[Id],H356:AU356,0)))/COUNTIF(H356:AU356,"&lt;&gt;"))</f>
        <v>0</v>
      </c>
      <c r="H356" s="247" t="s">
        <v>1583</v>
      </c>
      <c r="I356" s="247" t="s">
        <v>1635</v>
      </c>
      <c r="J356" s="247" t="s">
        <v>1644</v>
      </c>
      <c r="K356" s="247" t="s">
        <v>1652</v>
      </c>
      <c r="L356" s="247" t="s">
        <v>1659</v>
      </c>
      <c r="M356" s="247" t="s">
        <v>1666</v>
      </c>
      <c r="N356" s="247" t="s">
        <v>1674</v>
      </c>
      <c r="O356" s="247" t="s">
        <v>1681</v>
      </c>
      <c r="P356" s="247" t="s">
        <v>1689</v>
      </c>
      <c r="Q356" s="247" t="s">
        <v>1696</v>
      </c>
      <c r="R356" s="247" t="s">
        <v>1704</v>
      </c>
      <c r="S356" s="247" t="s">
        <v>1712</v>
      </c>
      <c r="T356" s="247" t="s">
        <v>1719</v>
      </c>
      <c r="U356" s="247" t="s">
        <v>1726</v>
      </c>
      <c r="V356" s="247" t="s">
        <v>1734</v>
      </c>
      <c r="W356" s="247" t="s">
        <v>1741</v>
      </c>
      <c r="X356" s="247" t="s">
        <v>1748</v>
      </c>
      <c r="Y356" s="247" t="s">
        <v>1755</v>
      </c>
      <c r="Z356" s="247" t="s">
        <v>1762</v>
      </c>
      <c r="AA356" s="247" t="s">
        <v>1769</v>
      </c>
      <c r="AB356" s="247" t="s">
        <v>1776</v>
      </c>
      <c r="AC356" s="247" t="s">
        <v>1784</v>
      </c>
      <c r="AD356" s="247" t="s">
        <v>1791</v>
      </c>
      <c r="AE356" s="247" t="s">
        <v>1798</v>
      </c>
      <c r="AF356" s="247" t="s">
        <v>2139</v>
      </c>
      <c r="AG356" s="247" t="s">
        <v>2148</v>
      </c>
      <c r="AH356" s="247" t="s">
        <v>2172</v>
      </c>
      <c r="AI356" s="247" t="s">
        <v>2176</v>
      </c>
      <c r="AJ356" s="247" t="s">
        <v>2188</v>
      </c>
      <c r="AK356" s="247" t="s">
        <v>2212</v>
      </c>
      <c r="AL356" s="247"/>
      <c r="AM356" s="247"/>
      <c r="AN356" s="247"/>
      <c r="AO356" s="247"/>
      <c r="AP356" s="247"/>
      <c r="AQ356" s="247"/>
      <c r="AR356" s="247"/>
      <c r="AS356" s="247"/>
      <c r="AT356" s="247"/>
      <c r="AU356" s="261"/>
    </row>
    <row r="357" spans="1:47" ht="60" customHeight="1" x14ac:dyDescent="0.35">
      <c r="A357" s="257" t="s">
        <v>6403</v>
      </c>
      <c r="B357" s="235" t="s">
        <v>6563</v>
      </c>
      <c r="C357" s="236" t="s">
        <v>6569</v>
      </c>
      <c r="D357" s="239" t="s">
        <v>6570</v>
      </c>
      <c r="E357" s="240" t="s">
        <v>5996</v>
      </c>
      <c r="F357" s="243" t="s">
        <v>6566</v>
      </c>
      <c r="G357" s="246" t="str">
        <f>IF(COUNTIF(H357:AU357,"&lt;&gt;")=0,"",SUMPRODUCT(((Recommendations[ImplStatus]="Implemented")+(Recommendations[ImplStatus]="Compensated"))*ISNUMBER(MATCH(Recommendations[Id],H357:AU357,0)))/COUNTIF(H357:AU357,"&lt;&gt;"))</f>
        <v/>
      </c>
      <c r="H357" s="247"/>
      <c r="I357" s="247"/>
      <c r="J357" s="247"/>
      <c r="K357" s="247"/>
      <c r="L357" s="247"/>
      <c r="M357" s="247"/>
      <c r="N357" s="247"/>
      <c r="O357" s="247"/>
      <c r="P357" s="247"/>
      <c r="Q357" s="247"/>
      <c r="R357" s="247"/>
      <c r="S357" s="247"/>
      <c r="T357" s="247"/>
      <c r="U357" s="247"/>
      <c r="V357" s="247"/>
      <c r="W357" s="247"/>
      <c r="X357" s="247"/>
      <c r="Y357" s="247"/>
      <c r="Z357" s="247"/>
      <c r="AA357" s="247"/>
      <c r="AB357" s="247"/>
      <c r="AC357" s="247"/>
      <c r="AD357" s="247"/>
      <c r="AE357" s="247"/>
      <c r="AF357" s="247"/>
      <c r="AG357" s="247"/>
      <c r="AH357" s="247"/>
      <c r="AI357" s="247"/>
      <c r="AJ357" s="247"/>
      <c r="AK357" s="247"/>
      <c r="AL357" s="247"/>
      <c r="AM357" s="247"/>
      <c r="AN357" s="247"/>
      <c r="AO357" s="247"/>
      <c r="AP357" s="247"/>
      <c r="AQ357" s="247"/>
      <c r="AR357" s="247"/>
      <c r="AS357" s="247"/>
      <c r="AT357" s="247"/>
      <c r="AU357" s="261"/>
    </row>
    <row r="358" spans="1:47" ht="60" customHeight="1" x14ac:dyDescent="0.35">
      <c r="A358" s="257" t="s">
        <v>6403</v>
      </c>
      <c r="B358" s="235" t="s">
        <v>6563</v>
      </c>
      <c r="C358" s="236" t="s">
        <v>6571</v>
      </c>
      <c r="D358" s="239" t="s">
        <v>6572</v>
      </c>
      <c r="E358" s="240" t="s">
        <v>5996</v>
      </c>
      <c r="F358" s="243" t="s">
        <v>6566</v>
      </c>
      <c r="G358" s="246" t="str">
        <f>IF(COUNTIF(H358:AU358,"&lt;&gt;")=0,"",SUMPRODUCT(((Recommendations[ImplStatus]="Implemented")+(Recommendations[ImplStatus]="Compensated"))*ISNUMBER(MATCH(Recommendations[Id],H358:AU358,0)))/COUNTIF(H358:AU358,"&lt;&gt;"))</f>
        <v/>
      </c>
      <c r="H358" s="247"/>
      <c r="I358" s="247"/>
      <c r="J358" s="247"/>
      <c r="K358" s="247"/>
      <c r="L358" s="247"/>
      <c r="M358" s="247"/>
      <c r="N358" s="247"/>
      <c r="O358" s="247"/>
      <c r="P358" s="247"/>
      <c r="Q358" s="247"/>
      <c r="R358" s="247"/>
      <c r="S358" s="247"/>
      <c r="T358" s="247"/>
      <c r="U358" s="247"/>
      <c r="V358" s="247"/>
      <c r="W358" s="247"/>
      <c r="X358" s="247"/>
      <c r="Y358" s="247"/>
      <c r="Z358" s="247"/>
      <c r="AA358" s="247"/>
      <c r="AB358" s="247"/>
      <c r="AC358" s="247"/>
      <c r="AD358" s="247"/>
      <c r="AE358" s="247"/>
      <c r="AF358" s="247"/>
      <c r="AG358" s="247"/>
      <c r="AH358" s="247"/>
      <c r="AI358" s="247"/>
      <c r="AJ358" s="247"/>
      <c r="AK358" s="247"/>
      <c r="AL358" s="247"/>
      <c r="AM358" s="247"/>
      <c r="AN358" s="247"/>
      <c r="AO358" s="247"/>
      <c r="AP358" s="247"/>
      <c r="AQ358" s="247"/>
      <c r="AR358" s="247"/>
      <c r="AS358" s="247"/>
      <c r="AT358" s="247"/>
      <c r="AU358" s="261"/>
    </row>
    <row r="359" spans="1:47" ht="60" customHeight="1" x14ac:dyDescent="0.35">
      <c r="A359" s="257" t="s">
        <v>6403</v>
      </c>
      <c r="B359" s="235" t="s">
        <v>6563</v>
      </c>
      <c r="C359" s="236" t="s">
        <v>6573</v>
      </c>
      <c r="D359" s="239" t="s">
        <v>6574</v>
      </c>
      <c r="E359" s="240" t="s">
        <v>5996</v>
      </c>
      <c r="F359" s="243" t="s">
        <v>6566</v>
      </c>
      <c r="G359" s="246" t="str">
        <f>IF(COUNTIF(H359:AU359,"&lt;&gt;")=0,"",SUMPRODUCT(((Recommendations[ImplStatus]="Implemented")+(Recommendations[ImplStatus]="Compensated"))*ISNUMBER(MATCH(Recommendations[Id],H359:AU359,0)))/COUNTIF(H359:AU359,"&lt;&gt;"))</f>
        <v/>
      </c>
      <c r="H359" s="247"/>
      <c r="I359" s="247"/>
      <c r="J359" s="247"/>
      <c r="K359" s="247"/>
      <c r="L359" s="247"/>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61"/>
    </row>
    <row r="360" spans="1:47" ht="60" customHeight="1" x14ac:dyDescent="0.35">
      <c r="A360" s="257" t="s">
        <v>6403</v>
      </c>
      <c r="B360" s="235" t="s">
        <v>6563</v>
      </c>
      <c r="C360" s="236" t="s">
        <v>6575</v>
      </c>
      <c r="D360" s="239" t="s">
        <v>6576</v>
      </c>
      <c r="E360" s="240" t="s">
        <v>5948</v>
      </c>
      <c r="F360" s="243" t="s">
        <v>6566</v>
      </c>
      <c r="G360" s="246" t="str">
        <f>IF(COUNTIF(H360:AU360,"&lt;&gt;")=0,"",SUMPRODUCT(((Recommendations[ImplStatus]="Implemented")+(Recommendations[ImplStatus]="Compensated"))*ISNUMBER(MATCH(Recommendations[Id],H360:AU360,0)))/COUNTIF(H360:AU360,"&lt;&gt;"))</f>
        <v/>
      </c>
      <c r="H360" s="247"/>
      <c r="I360" s="247"/>
      <c r="J360" s="247"/>
      <c r="K360" s="247"/>
      <c r="L360" s="247"/>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61"/>
    </row>
    <row r="361" spans="1:47" ht="60" customHeight="1" x14ac:dyDescent="0.35">
      <c r="A361" s="257" t="s">
        <v>6403</v>
      </c>
      <c r="B361" s="235" t="s">
        <v>6563</v>
      </c>
      <c r="C361" s="236" t="s">
        <v>6577</v>
      </c>
      <c r="D361" s="239" t="s">
        <v>6578</v>
      </c>
      <c r="E361" s="240" t="s">
        <v>5881</v>
      </c>
      <c r="F361" s="243" t="s">
        <v>6566</v>
      </c>
      <c r="G361" s="246" t="str">
        <f>IF(COUNTIF(H361:AU361,"&lt;&gt;")=0,"",SUMPRODUCT(((Recommendations[ImplStatus]="Implemented")+(Recommendations[ImplStatus]="Compensated"))*ISNUMBER(MATCH(Recommendations[Id],H361:AU361,0)))/COUNTIF(H361:AU361,"&lt;&gt;"))</f>
        <v/>
      </c>
      <c r="H361" s="247"/>
      <c r="I361" s="247"/>
      <c r="J361" s="247"/>
      <c r="K361" s="247"/>
      <c r="L361" s="247"/>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61"/>
    </row>
    <row r="362" spans="1:47" ht="60" customHeight="1" x14ac:dyDescent="0.35">
      <c r="A362" s="257" t="s">
        <v>6403</v>
      </c>
      <c r="B362" s="235" t="s">
        <v>6563</v>
      </c>
      <c r="C362" s="236" t="s">
        <v>6579</v>
      </c>
      <c r="D362" s="239" t="s">
        <v>6580</v>
      </c>
      <c r="E362" s="240" t="s">
        <v>5996</v>
      </c>
      <c r="F362" s="243" t="s">
        <v>6566</v>
      </c>
      <c r="G362" s="246" t="str">
        <f>IF(COUNTIF(H362:AU362,"&lt;&gt;")=0,"",SUMPRODUCT(((Recommendations[ImplStatus]="Implemented")+(Recommendations[ImplStatus]="Compensated"))*ISNUMBER(MATCH(Recommendations[Id],H362:AU362,0)))/COUNTIF(H362:AU362,"&lt;&gt;"))</f>
        <v/>
      </c>
      <c r="H362" s="247"/>
      <c r="I362" s="247"/>
      <c r="J362" s="247"/>
      <c r="K362" s="247"/>
      <c r="L362" s="247"/>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61"/>
    </row>
    <row r="363" spans="1:47" ht="60" customHeight="1" x14ac:dyDescent="0.35">
      <c r="A363" s="257" t="s">
        <v>6403</v>
      </c>
      <c r="B363" s="235" t="s">
        <v>6563</v>
      </c>
      <c r="C363" s="236" t="s">
        <v>6581</v>
      </c>
      <c r="D363" s="239" t="s">
        <v>6582</v>
      </c>
      <c r="E363" s="240" t="s">
        <v>5996</v>
      </c>
      <c r="F363" s="243" t="s">
        <v>6566</v>
      </c>
      <c r="G363" s="246" t="str">
        <f>IF(COUNTIF(H363:AU363,"&lt;&gt;")=0,"",SUMPRODUCT(((Recommendations[ImplStatus]="Implemented")+(Recommendations[ImplStatus]="Compensated"))*ISNUMBER(MATCH(Recommendations[Id],H363:AU363,0)))/COUNTIF(H363:AU363,"&lt;&gt;"))</f>
        <v/>
      </c>
      <c r="H363" s="247"/>
      <c r="I363" s="247"/>
      <c r="J363" s="247"/>
      <c r="K363" s="247"/>
      <c r="L363" s="247"/>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61"/>
    </row>
    <row r="364" spans="1:47" ht="60" customHeight="1" x14ac:dyDescent="0.35">
      <c r="A364" s="257" t="s">
        <v>6403</v>
      </c>
      <c r="B364" s="235" t="s">
        <v>6563</v>
      </c>
      <c r="C364" s="236" t="s">
        <v>6583</v>
      </c>
      <c r="D364" s="239" t="s">
        <v>6584</v>
      </c>
      <c r="E364" s="240" t="s">
        <v>5996</v>
      </c>
      <c r="F364" s="243" t="s">
        <v>6566</v>
      </c>
      <c r="G364" s="246" t="str">
        <f>IF(COUNTIF(H364:AU364,"&lt;&gt;")=0,"",SUMPRODUCT(((Recommendations[ImplStatus]="Implemented")+(Recommendations[ImplStatus]="Compensated"))*ISNUMBER(MATCH(Recommendations[Id],H364:AU364,0)))/COUNTIF(H364:AU364,"&lt;&gt;"))</f>
        <v/>
      </c>
      <c r="H364" s="247"/>
      <c r="I364" s="247"/>
      <c r="J364" s="247"/>
      <c r="K364" s="247"/>
      <c r="L364" s="247"/>
      <c r="M364" s="247"/>
      <c r="N364" s="247"/>
      <c r="O364" s="247"/>
      <c r="P364" s="247"/>
      <c r="Q364" s="247"/>
      <c r="R364" s="247"/>
      <c r="S364" s="247"/>
      <c r="T364" s="247"/>
      <c r="U364" s="247"/>
      <c r="V364" s="247"/>
      <c r="W364" s="247"/>
      <c r="X364" s="247"/>
      <c r="Y364" s="247"/>
      <c r="Z364" s="247"/>
      <c r="AA364" s="247"/>
      <c r="AB364" s="247"/>
      <c r="AC364" s="247"/>
      <c r="AD364" s="247"/>
      <c r="AE364" s="247"/>
      <c r="AF364" s="247"/>
      <c r="AG364" s="247"/>
      <c r="AH364" s="247"/>
      <c r="AI364" s="247"/>
      <c r="AJ364" s="247"/>
      <c r="AK364" s="247"/>
      <c r="AL364" s="247"/>
      <c r="AM364" s="247"/>
      <c r="AN364" s="247"/>
      <c r="AO364" s="247"/>
      <c r="AP364" s="247"/>
      <c r="AQ364" s="247"/>
      <c r="AR364" s="247"/>
      <c r="AS364" s="247"/>
      <c r="AT364" s="247"/>
      <c r="AU364" s="261"/>
    </row>
    <row r="365" spans="1:47" ht="60" customHeight="1" x14ac:dyDescent="0.35">
      <c r="A365" s="257" t="s">
        <v>6403</v>
      </c>
      <c r="B365" s="235" t="s">
        <v>6563</v>
      </c>
      <c r="C365" s="236" t="s">
        <v>6585</v>
      </c>
      <c r="D365" s="239" t="s">
        <v>6586</v>
      </c>
      <c r="E365" s="240" t="s">
        <v>5996</v>
      </c>
      <c r="F365" s="243" t="s">
        <v>6566</v>
      </c>
      <c r="G365" s="246" t="str">
        <f>IF(COUNTIF(H365:AU365,"&lt;&gt;")=0,"",SUMPRODUCT(((Recommendations[ImplStatus]="Implemented")+(Recommendations[ImplStatus]="Compensated"))*ISNUMBER(MATCH(Recommendations[Id],H365:AU365,0)))/COUNTIF(H365:AU365,"&lt;&gt;"))</f>
        <v/>
      </c>
      <c r="H365" s="247"/>
      <c r="I365" s="247"/>
      <c r="J365" s="247"/>
      <c r="K365" s="247"/>
      <c r="L365" s="247"/>
      <c r="M365" s="247"/>
      <c r="N365" s="247"/>
      <c r="O365" s="247"/>
      <c r="P365" s="247"/>
      <c r="Q365" s="247"/>
      <c r="R365" s="247"/>
      <c r="S365" s="247"/>
      <c r="T365" s="247"/>
      <c r="U365" s="247"/>
      <c r="V365" s="247"/>
      <c r="W365" s="247"/>
      <c r="X365" s="247"/>
      <c r="Y365" s="247"/>
      <c r="Z365" s="247"/>
      <c r="AA365" s="247"/>
      <c r="AB365" s="247"/>
      <c r="AC365" s="247"/>
      <c r="AD365" s="247"/>
      <c r="AE365" s="247"/>
      <c r="AF365" s="247"/>
      <c r="AG365" s="247"/>
      <c r="AH365" s="247"/>
      <c r="AI365" s="247"/>
      <c r="AJ365" s="247"/>
      <c r="AK365" s="247"/>
      <c r="AL365" s="247"/>
      <c r="AM365" s="247"/>
      <c r="AN365" s="247"/>
      <c r="AO365" s="247"/>
      <c r="AP365" s="247"/>
      <c r="AQ365" s="247"/>
      <c r="AR365" s="247"/>
      <c r="AS365" s="247"/>
      <c r="AT365" s="247"/>
      <c r="AU365" s="261"/>
    </row>
    <row r="366" spans="1:47" ht="60" customHeight="1" x14ac:dyDescent="0.35">
      <c r="A366" s="257" t="s">
        <v>6403</v>
      </c>
      <c r="B366" s="235" t="s">
        <v>6563</v>
      </c>
      <c r="C366" s="236" t="s">
        <v>6587</v>
      </c>
      <c r="D366" s="239" t="s">
        <v>6588</v>
      </c>
      <c r="E366" s="240" t="s">
        <v>5996</v>
      </c>
      <c r="F366" s="243" t="s">
        <v>6566</v>
      </c>
      <c r="G366" s="246" t="str">
        <f>IF(COUNTIF(H366:AU366,"&lt;&gt;")=0,"",SUMPRODUCT(((Recommendations[ImplStatus]="Implemented")+(Recommendations[ImplStatus]="Compensated"))*ISNUMBER(MATCH(Recommendations[Id],H366:AU366,0)))/COUNTIF(H366:AU366,"&lt;&gt;"))</f>
        <v/>
      </c>
      <c r="H366" s="247"/>
      <c r="I366" s="247"/>
      <c r="J366" s="247"/>
      <c r="K366" s="247"/>
      <c r="L366" s="247"/>
      <c r="M366" s="247"/>
      <c r="N366" s="247"/>
      <c r="O366" s="247"/>
      <c r="P366" s="247"/>
      <c r="Q366" s="247"/>
      <c r="R366" s="247"/>
      <c r="S366" s="247"/>
      <c r="T366" s="247"/>
      <c r="U366" s="247"/>
      <c r="V366" s="247"/>
      <c r="W366" s="247"/>
      <c r="X366" s="247"/>
      <c r="Y366" s="247"/>
      <c r="Z366" s="247"/>
      <c r="AA366" s="247"/>
      <c r="AB366" s="247"/>
      <c r="AC366" s="247"/>
      <c r="AD366" s="247"/>
      <c r="AE366" s="247"/>
      <c r="AF366" s="247"/>
      <c r="AG366" s="247"/>
      <c r="AH366" s="247"/>
      <c r="AI366" s="247"/>
      <c r="AJ366" s="247"/>
      <c r="AK366" s="247"/>
      <c r="AL366" s="247"/>
      <c r="AM366" s="247"/>
      <c r="AN366" s="247"/>
      <c r="AO366" s="247"/>
      <c r="AP366" s="247"/>
      <c r="AQ366" s="247"/>
      <c r="AR366" s="247"/>
      <c r="AS366" s="247"/>
      <c r="AT366" s="247"/>
      <c r="AU366" s="261"/>
    </row>
    <row r="367" spans="1:47" ht="60" customHeight="1" x14ac:dyDescent="0.35">
      <c r="A367" s="257" t="s">
        <v>6403</v>
      </c>
      <c r="B367" s="235" t="s">
        <v>6563</v>
      </c>
      <c r="C367" s="236" t="s">
        <v>6589</v>
      </c>
      <c r="D367" s="239" t="s">
        <v>6590</v>
      </c>
      <c r="E367" s="240" t="s">
        <v>5996</v>
      </c>
      <c r="F367" s="243" t="s">
        <v>6566</v>
      </c>
      <c r="G367" s="246" t="str">
        <f>IF(COUNTIF(H367:AU367,"&lt;&gt;")=0,"",SUMPRODUCT(((Recommendations[ImplStatus]="Implemented")+(Recommendations[ImplStatus]="Compensated"))*ISNUMBER(MATCH(Recommendations[Id],H367:AU367,0)))/COUNTIF(H367:AU367,"&lt;&gt;"))</f>
        <v/>
      </c>
      <c r="H367" s="247"/>
      <c r="I367" s="247"/>
      <c r="J367" s="247"/>
      <c r="K367" s="247"/>
      <c r="L367" s="247"/>
      <c r="M367" s="247"/>
      <c r="N367" s="247"/>
      <c r="O367" s="247"/>
      <c r="P367" s="247"/>
      <c r="Q367" s="247"/>
      <c r="R367" s="247"/>
      <c r="S367" s="247"/>
      <c r="T367" s="247"/>
      <c r="U367" s="247"/>
      <c r="V367" s="247"/>
      <c r="W367" s="247"/>
      <c r="X367" s="247"/>
      <c r="Y367" s="247"/>
      <c r="Z367" s="247"/>
      <c r="AA367" s="247"/>
      <c r="AB367" s="247"/>
      <c r="AC367" s="247"/>
      <c r="AD367" s="247"/>
      <c r="AE367" s="247"/>
      <c r="AF367" s="247"/>
      <c r="AG367" s="247"/>
      <c r="AH367" s="247"/>
      <c r="AI367" s="247"/>
      <c r="AJ367" s="247"/>
      <c r="AK367" s="247"/>
      <c r="AL367" s="247"/>
      <c r="AM367" s="247"/>
      <c r="AN367" s="247"/>
      <c r="AO367" s="247"/>
      <c r="AP367" s="247"/>
      <c r="AQ367" s="247"/>
      <c r="AR367" s="247"/>
      <c r="AS367" s="247"/>
      <c r="AT367" s="247"/>
      <c r="AU367" s="261"/>
    </row>
    <row r="368" spans="1:47" ht="60" customHeight="1" x14ac:dyDescent="0.35">
      <c r="A368" s="257" t="s">
        <v>6403</v>
      </c>
      <c r="B368" s="235" t="s">
        <v>6563</v>
      </c>
      <c r="C368" s="236" t="s">
        <v>6591</v>
      </c>
      <c r="D368" s="239" t="s">
        <v>6592</v>
      </c>
      <c r="E368" s="240" t="s">
        <v>5996</v>
      </c>
      <c r="F368" s="243" t="s">
        <v>6566</v>
      </c>
      <c r="G368" s="246">
        <f>IF(COUNTIF(H368:AU368,"&lt;&gt;")=0,"",SUMPRODUCT(((Recommendations[ImplStatus]="Implemented")+(Recommendations[ImplStatus]="Compensated"))*ISNUMBER(MATCH(Recommendations[Id],H368:AU368,0)))/COUNTIF(H368:AU368,"&lt;&gt;"))</f>
        <v>0</v>
      </c>
      <c r="H368" s="247" t="s">
        <v>481</v>
      </c>
      <c r="I368" s="247" t="s">
        <v>494</v>
      </c>
      <c r="J368" s="247" t="s">
        <v>505</v>
      </c>
      <c r="K368" s="247" t="s">
        <v>2156</v>
      </c>
      <c r="L368" s="247" t="s">
        <v>2164</v>
      </c>
      <c r="M368" s="247" t="s">
        <v>2192</v>
      </c>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c r="AR368" s="247"/>
      <c r="AS368" s="247"/>
      <c r="AT368" s="247"/>
      <c r="AU368" s="261"/>
    </row>
    <row r="369" spans="1:47" ht="60" customHeight="1" x14ac:dyDescent="0.35">
      <c r="A369" s="257" t="s">
        <v>6403</v>
      </c>
      <c r="B369" s="235" t="s">
        <v>6563</v>
      </c>
      <c r="C369" s="236" t="s">
        <v>6593</v>
      </c>
      <c r="D369" s="239" t="s">
        <v>6594</v>
      </c>
      <c r="E369" s="240" t="s">
        <v>5996</v>
      </c>
      <c r="F369" s="243" t="s">
        <v>6566</v>
      </c>
      <c r="G369" s="246" t="str">
        <f>IF(COUNTIF(H369:AU369,"&lt;&gt;")=0,"",SUMPRODUCT(((Recommendations[ImplStatus]="Implemented")+(Recommendations[ImplStatus]="Compensated"))*ISNUMBER(MATCH(Recommendations[Id],H369:AU369,0)))/COUNTIF(H369:AU369,"&lt;&gt;"))</f>
        <v/>
      </c>
      <c r="H369" s="247"/>
      <c r="I369" s="247"/>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c r="AN369" s="247"/>
      <c r="AO369" s="247"/>
      <c r="AP369" s="247"/>
      <c r="AQ369" s="247"/>
      <c r="AR369" s="247"/>
      <c r="AS369" s="247"/>
      <c r="AT369" s="247"/>
      <c r="AU369" s="261"/>
    </row>
    <row r="370" spans="1:47" ht="60" customHeight="1" outlineLevel="1" x14ac:dyDescent="0.35">
      <c r="A370" s="255" t="s">
        <v>6595</v>
      </c>
      <c r="B370" s="233"/>
      <c r="C370" s="233"/>
      <c r="D370" s="237"/>
      <c r="E370" s="233"/>
      <c r="F370" s="241"/>
      <c r="G370" s="244" t="str">
        <f>IF(COUNTIF(H370:AU370,"&lt;&gt;")=0,"",SUMPRODUCT(((Recommendations[ImplStatus]="Implemented")+(Recommendations[ImplStatus]="Compensated"))*ISNUMBER(MATCH(Recommendations[Id],H370:AU370,0)))/COUNTIF(H370:AU370,"&lt;&gt;"))</f>
        <v/>
      </c>
      <c r="H370" s="241"/>
      <c r="I370" s="241"/>
      <c r="J370" s="241"/>
      <c r="K370" s="241"/>
      <c r="L370" s="241"/>
      <c r="M370" s="241"/>
      <c r="N370" s="241"/>
      <c r="O370" s="241"/>
      <c r="P370" s="241"/>
      <c r="Q370" s="241"/>
      <c r="R370" s="241"/>
      <c r="S370" s="241"/>
      <c r="T370" s="241"/>
      <c r="U370" s="241"/>
      <c r="V370" s="241"/>
      <c r="W370" s="241"/>
      <c r="X370" s="241"/>
      <c r="Y370" s="241"/>
      <c r="Z370" s="241"/>
      <c r="AA370" s="241"/>
      <c r="AB370" s="241"/>
      <c r="AC370" s="241"/>
      <c r="AD370" s="241"/>
      <c r="AE370" s="241"/>
      <c r="AF370" s="241"/>
      <c r="AG370" s="241"/>
      <c r="AH370" s="241"/>
      <c r="AI370" s="241"/>
      <c r="AJ370" s="241"/>
      <c r="AK370" s="241"/>
      <c r="AL370" s="241"/>
      <c r="AM370" s="241"/>
      <c r="AN370" s="241"/>
      <c r="AO370" s="241"/>
      <c r="AP370" s="241"/>
      <c r="AQ370" s="241"/>
      <c r="AR370" s="241"/>
      <c r="AS370" s="241"/>
      <c r="AT370" s="241"/>
      <c r="AU370" s="259"/>
    </row>
    <row r="371" spans="1:47" ht="60" customHeight="1" outlineLevel="2" x14ac:dyDescent="0.35">
      <c r="A371" s="256" t="s">
        <v>6595</v>
      </c>
      <c r="B371" s="234" t="s">
        <v>6596</v>
      </c>
      <c r="C371" s="234"/>
      <c r="D371" s="238"/>
      <c r="E371" s="234"/>
      <c r="F371" s="242"/>
      <c r="G371" s="245" t="str">
        <f>IF(COUNTIF(H371:AU371,"&lt;&gt;")=0,"",SUMPRODUCT(((Recommendations[ImplStatus]="Implemented")+(Recommendations[ImplStatus]="Compensated"))*ISNUMBER(MATCH(Recommendations[Id],H371:AU371,0)))/COUNTIF(H371:AU371,"&lt;&gt;"))</f>
        <v/>
      </c>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60"/>
    </row>
    <row r="372" spans="1:47" ht="60" customHeight="1" x14ac:dyDescent="0.35">
      <c r="A372" s="257" t="s">
        <v>6595</v>
      </c>
      <c r="B372" s="235" t="s">
        <v>6596</v>
      </c>
      <c r="C372" s="236" t="s">
        <v>6597</v>
      </c>
      <c r="D372" s="239" t="s">
        <v>6598</v>
      </c>
      <c r="E372" s="240" t="s">
        <v>5852</v>
      </c>
      <c r="F372" s="243" t="s">
        <v>6599</v>
      </c>
      <c r="G372" s="246" t="str">
        <f>IF(COUNTIF(H372:AU372,"&lt;&gt;")=0,"",SUMPRODUCT(((Recommendations[ImplStatus]="Implemented")+(Recommendations[ImplStatus]="Compensated"))*ISNUMBER(MATCH(Recommendations[Id],H372:AU372,0)))/COUNTIF(H372:AU372,"&lt;&gt;"))</f>
        <v/>
      </c>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c r="AR372" s="247"/>
      <c r="AS372" s="247"/>
      <c r="AT372" s="247"/>
      <c r="AU372" s="261"/>
    </row>
    <row r="373" spans="1:47" ht="60" customHeight="1" x14ac:dyDescent="0.35">
      <c r="A373" s="257" t="s">
        <v>6595</v>
      </c>
      <c r="B373" s="235" t="s">
        <v>6596</v>
      </c>
      <c r="C373" s="236" t="s">
        <v>6600</v>
      </c>
      <c r="D373" s="239" t="s">
        <v>6601</v>
      </c>
      <c r="E373" s="240" t="s">
        <v>5852</v>
      </c>
      <c r="F373" s="243" t="s">
        <v>6602</v>
      </c>
      <c r="G373" s="246" t="str">
        <f>IF(COUNTIF(H373:AU373,"&lt;&gt;")=0,"",SUMPRODUCT(((Recommendations[ImplStatus]="Implemented")+(Recommendations[ImplStatus]="Compensated"))*ISNUMBER(MATCH(Recommendations[Id],H373:AU373,0)))/COUNTIF(H373:AU373,"&lt;&gt;"))</f>
        <v/>
      </c>
      <c r="H373" s="247"/>
      <c r="I373" s="247"/>
      <c r="J373" s="247"/>
      <c r="K373" s="247"/>
      <c r="L373" s="247"/>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c r="AR373" s="247"/>
      <c r="AS373" s="247"/>
      <c r="AT373" s="247"/>
      <c r="AU373" s="261"/>
    </row>
    <row r="374" spans="1:47" ht="60" customHeight="1" x14ac:dyDescent="0.35">
      <c r="A374" s="257" t="s">
        <v>6595</v>
      </c>
      <c r="B374" s="235" t="s">
        <v>6596</v>
      </c>
      <c r="C374" s="236" t="s">
        <v>6603</v>
      </c>
      <c r="D374" s="239" t="s">
        <v>6604</v>
      </c>
      <c r="E374" s="240" t="s">
        <v>5881</v>
      </c>
      <c r="F374" s="243" t="s">
        <v>6602</v>
      </c>
      <c r="G374" s="246" t="str">
        <f>IF(COUNTIF(H374:AU374,"&lt;&gt;")=0,"",SUMPRODUCT(((Recommendations[ImplStatus]="Implemented")+(Recommendations[ImplStatus]="Compensated"))*ISNUMBER(MATCH(Recommendations[Id],H374:AU374,0)))/COUNTIF(H374:AU374,"&lt;&gt;"))</f>
        <v/>
      </c>
      <c r="H374" s="247"/>
      <c r="I374" s="247"/>
      <c r="J374" s="247"/>
      <c r="K374" s="247"/>
      <c r="L374" s="247"/>
      <c r="M374" s="247"/>
      <c r="N374" s="247"/>
      <c r="O374" s="247"/>
      <c r="P374" s="247"/>
      <c r="Q374" s="247"/>
      <c r="R374" s="247"/>
      <c r="S374" s="247"/>
      <c r="T374" s="247"/>
      <c r="U374" s="247"/>
      <c r="V374" s="247"/>
      <c r="W374" s="247"/>
      <c r="X374" s="247"/>
      <c r="Y374" s="247"/>
      <c r="Z374" s="247"/>
      <c r="AA374" s="247"/>
      <c r="AB374" s="247"/>
      <c r="AC374" s="247"/>
      <c r="AD374" s="247"/>
      <c r="AE374" s="247"/>
      <c r="AF374" s="247"/>
      <c r="AG374" s="247"/>
      <c r="AH374" s="247"/>
      <c r="AI374" s="247"/>
      <c r="AJ374" s="247"/>
      <c r="AK374" s="247"/>
      <c r="AL374" s="247"/>
      <c r="AM374" s="247"/>
      <c r="AN374" s="247"/>
      <c r="AO374" s="247"/>
      <c r="AP374" s="247"/>
      <c r="AQ374" s="247"/>
      <c r="AR374" s="247"/>
      <c r="AS374" s="247"/>
      <c r="AT374" s="247"/>
      <c r="AU374" s="261"/>
    </row>
    <row r="375" spans="1:47" ht="60" customHeight="1" x14ac:dyDescent="0.35">
      <c r="A375" s="257" t="s">
        <v>6595</v>
      </c>
      <c r="B375" s="235" t="s">
        <v>6596</v>
      </c>
      <c r="C375" s="236" t="s">
        <v>6605</v>
      </c>
      <c r="D375" s="239" t="s">
        <v>6606</v>
      </c>
      <c r="E375" s="240" t="s">
        <v>5881</v>
      </c>
      <c r="F375" s="243" t="s">
        <v>6602</v>
      </c>
      <c r="G375" s="246" t="str">
        <f>IF(COUNTIF(H375:AU375,"&lt;&gt;")=0,"",SUMPRODUCT(((Recommendations[ImplStatus]="Implemented")+(Recommendations[ImplStatus]="Compensated"))*ISNUMBER(MATCH(Recommendations[Id],H375:AU375,0)))/COUNTIF(H375:AU375,"&lt;&gt;"))</f>
        <v/>
      </c>
      <c r="H375" s="247"/>
      <c r="I375" s="247"/>
      <c r="J375" s="247"/>
      <c r="K375" s="247"/>
      <c r="L375" s="247"/>
      <c r="M375" s="247"/>
      <c r="N375" s="247"/>
      <c r="O375" s="247"/>
      <c r="P375" s="247"/>
      <c r="Q375" s="247"/>
      <c r="R375" s="247"/>
      <c r="S375" s="247"/>
      <c r="T375" s="247"/>
      <c r="U375" s="247"/>
      <c r="V375" s="247"/>
      <c r="W375" s="247"/>
      <c r="X375" s="247"/>
      <c r="Y375" s="247"/>
      <c r="Z375" s="247"/>
      <c r="AA375" s="247"/>
      <c r="AB375" s="247"/>
      <c r="AC375" s="247"/>
      <c r="AD375" s="247"/>
      <c r="AE375" s="247"/>
      <c r="AF375" s="247"/>
      <c r="AG375" s="247"/>
      <c r="AH375" s="247"/>
      <c r="AI375" s="247"/>
      <c r="AJ375" s="247"/>
      <c r="AK375" s="247"/>
      <c r="AL375" s="247"/>
      <c r="AM375" s="247"/>
      <c r="AN375" s="247"/>
      <c r="AO375" s="247"/>
      <c r="AP375" s="247"/>
      <c r="AQ375" s="247"/>
      <c r="AR375" s="247"/>
      <c r="AS375" s="247"/>
      <c r="AT375" s="247"/>
      <c r="AU375" s="261"/>
    </row>
    <row r="376" spans="1:47" ht="60" customHeight="1" x14ac:dyDescent="0.35">
      <c r="A376" s="257" t="s">
        <v>6595</v>
      </c>
      <c r="B376" s="235" t="s">
        <v>6596</v>
      </c>
      <c r="C376" s="236" t="s">
        <v>6607</v>
      </c>
      <c r="D376" s="239" t="s">
        <v>6608</v>
      </c>
      <c r="E376" s="240" t="s">
        <v>5881</v>
      </c>
      <c r="F376" s="243" t="s">
        <v>6464</v>
      </c>
      <c r="G376" s="246" t="str">
        <f>IF(COUNTIF(H376:AU376,"&lt;&gt;")=0,"",SUMPRODUCT(((Recommendations[ImplStatus]="Implemented")+(Recommendations[ImplStatus]="Compensated"))*ISNUMBER(MATCH(Recommendations[Id],H376:AU376,0)))/COUNTIF(H376:AU376,"&lt;&gt;"))</f>
        <v/>
      </c>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c r="AR376" s="247"/>
      <c r="AS376" s="247"/>
      <c r="AT376" s="247"/>
      <c r="AU376" s="261"/>
    </row>
    <row r="377" spans="1:47" ht="60" customHeight="1" x14ac:dyDescent="0.35">
      <c r="A377" s="257" t="s">
        <v>6595</v>
      </c>
      <c r="B377" s="235" t="s">
        <v>6596</v>
      </c>
      <c r="C377" s="236" t="s">
        <v>6609</v>
      </c>
      <c r="D377" s="239" t="s">
        <v>6610</v>
      </c>
      <c r="E377" s="240" t="s">
        <v>5948</v>
      </c>
      <c r="F377" s="243" t="s">
        <v>6422</v>
      </c>
      <c r="G377" s="246" t="str">
        <f>IF(COUNTIF(H377:AU377,"&lt;&gt;")=0,"",SUMPRODUCT(((Recommendations[ImplStatus]="Implemented")+(Recommendations[ImplStatus]="Compensated"))*ISNUMBER(MATCH(Recommendations[Id],H377:AU377,0)))/COUNTIF(H377:AU377,"&lt;&gt;"))</f>
        <v/>
      </c>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47"/>
      <c r="AD377" s="247"/>
      <c r="AE377" s="247"/>
      <c r="AF377" s="247"/>
      <c r="AG377" s="247"/>
      <c r="AH377" s="247"/>
      <c r="AI377" s="247"/>
      <c r="AJ377" s="247"/>
      <c r="AK377" s="247"/>
      <c r="AL377" s="247"/>
      <c r="AM377" s="247"/>
      <c r="AN377" s="247"/>
      <c r="AO377" s="247"/>
      <c r="AP377" s="247"/>
      <c r="AQ377" s="247"/>
      <c r="AR377" s="247"/>
      <c r="AS377" s="247"/>
      <c r="AT377" s="247"/>
      <c r="AU377" s="261"/>
    </row>
    <row r="378" spans="1:47" ht="60" customHeight="1" x14ac:dyDescent="0.35">
      <c r="A378" s="257" t="s">
        <v>6595</v>
      </c>
      <c r="B378" s="235" t="s">
        <v>6596</v>
      </c>
      <c r="C378" s="236" t="s">
        <v>6611</v>
      </c>
      <c r="D378" s="239" t="s">
        <v>6612</v>
      </c>
      <c r="E378" s="240" t="s">
        <v>5948</v>
      </c>
      <c r="F378" s="243" t="s">
        <v>6602</v>
      </c>
      <c r="G378" s="246" t="str">
        <f>IF(COUNTIF(H378:AU378,"&lt;&gt;")=0,"",SUMPRODUCT(((Recommendations[ImplStatus]="Implemented")+(Recommendations[ImplStatus]="Compensated"))*ISNUMBER(MATCH(Recommendations[Id],H378:AU378,0)))/COUNTIF(H378:AU378,"&lt;&gt;"))</f>
        <v/>
      </c>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c r="AR378" s="247"/>
      <c r="AS378" s="247"/>
      <c r="AT378" s="247"/>
      <c r="AU378" s="261"/>
    </row>
    <row r="379" spans="1:47" ht="60" customHeight="1" x14ac:dyDescent="0.35">
      <c r="A379" s="257" t="s">
        <v>6595</v>
      </c>
      <c r="B379" s="235" t="s">
        <v>6596</v>
      </c>
      <c r="C379" s="236" t="s">
        <v>6613</v>
      </c>
      <c r="D379" s="239" t="s">
        <v>6614</v>
      </c>
      <c r="E379" s="240" t="s">
        <v>5948</v>
      </c>
      <c r="F379" s="243" t="s">
        <v>6599</v>
      </c>
      <c r="G379" s="246" t="str">
        <f>IF(COUNTIF(H379:AU379,"&lt;&gt;")=0,"",SUMPRODUCT(((Recommendations[ImplStatus]="Implemented")+(Recommendations[ImplStatus]="Compensated"))*ISNUMBER(MATCH(Recommendations[Id],H379:AU379,0)))/COUNTIF(H379:AU379,"&lt;&gt;"))</f>
        <v/>
      </c>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47"/>
      <c r="AD379" s="247"/>
      <c r="AE379" s="247"/>
      <c r="AF379" s="247"/>
      <c r="AG379" s="247"/>
      <c r="AH379" s="247"/>
      <c r="AI379" s="247"/>
      <c r="AJ379" s="247"/>
      <c r="AK379" s="247"/>
      <c r="AL379" s="247"/>
      <c r="AM379" s="247"/>
      <c r="AN379" s="247"/>
      <c r="AO379" s="247"/>
      <c r="AP379" s="247"/>
      <c r="AQ379" s="247"/>
      <c r="AR379" s="247"/>
      <c r="AS379" s="247"/>
      <c r="AT379" s="247"/>
      <c r="AU379" s="261"/>
    </row>
    <row r="380" spans="1:47" ht="60" customHeight="1" x14ac:dyDescent="0.35">
      <c r="A380" s="257" t="s">
        <v>6595</v>
      </c>
      <c r="B380" s="235" t="s">
        <v>6596</v>
      </c>
      <c r="C380" s="236" t="s">
        <v>6615</v>
      </c>
      <c r="D380" s="239" t="s">
        <v>6616</v>
      </c>
      <c r="E380" s="240" t="s">
        <v>5948</v>
      </c>
      <c r="F380" s="243" t="s">
        <v>6599</v>
      </c>
      <c r="G380" s="246" t="str">
        <f>IF(COUNTIF(H380:AU380,"&lt;&gt;")=0,"",SUMPRODUCT(((Recommendations[ImplStatus]="Implemented")+(Recommendations[ImplStatus]="Compensated"))*ISNUMBER(MATCH(Recommendations[Id],H380:AU380,0)))/COUNTIF(H380:AU380,"&lt;&gt;"))</f>
        <v/>
      </c>
      <c r="H380" s="247"/>
      <c r="I380" s="247"/>
      <c r="J380" s="247"/>
      <c r="K380" s="247"/>
      <c r="L380" s="247"/>
      <c r="M380" s="247"/>
      <c r="N380" s="247"/>
      <c r="O380" s="247"/>
      <c r="P380" s="247"/>
      <c r="Q380" s="247"/>
      <c r="R380" s="247"/>
      <c r="S380" s="247"/>
      <c r="T380" s="247"/>
      <c r="U380" s="247"/>
      <c r="V380" s="247"/>
      <c r="W380" s="247"/>
      <c r="X380" s="247"/>
      <c r="Y380" s="247"/>
      <c r="Z380" s="247"/>
      <c r="AA380" s="247"/>
      <c r="AB380" s="247"/>
      <c r="AC380" s="247"/>
      <c r="AD380" s="247"/>
      <c r="AE380" s="247"/>
      <c r="AF380" s="247"/>
      <c r="AG380" s="247"/>
      <c r="AH380" s="247"/>
      <c r="AI380" s="247"/>
      <c r="AJ380" s="247"/>
      <c r="AK380" s="247"/>
      <c r="AL380" s="247"/>
      <c r="AM380" s="247"/>
      <c r="AN380" s="247"/>
      <c r="AO380" s="247"/>
      <c r="AP380" s="247"/>
      <c r="AQ380" s="247"/>
      <c r="AR380" s="247"/>
      <c r="AS380" s="247"/>
      <c r="AT380" s="247"/>
      <c r="AU380" s="261"/>
    </row>
    <row r="381" spans="1:47" ht="60" customHeight="1" x14ac:dyDescent="0.35">
      <c r="A381" s="257" t="s">
        <v>6595</v>
      </c>
      <c r="B381" s="235" t="s">
        <v>6596</v>
      </c>
      <c r="C381" s="236" t="s">
        <v>6617</v>
      </c>
      <c r="D381" s="239" t="s">
        <v>6618</v>
      </c>
      <c r="E381" s="240" t="s">
        <v>5948</v>
      </c>
      <c r="F381" s="243" t="s">
        <v>6599</v>
      </c>
      <c r="G381" s="246" t="str">
        <f>IF(COUNTIF(H381:AU381,"&lt;&gt;")=0,"",SUMPRODUCT(((Recommendations[ImplStatus]="Implemented")+(Recommendations[ImplStatus]="Compensated"))*ISNUMBER(MATCH(Recommendations[Id],H381:AU381,0)))/COUNTIF(H381:AU381,"&lt;&gt;"))</f>
        <v/>
      </c>
      <c r="H381" s="247"/>
      <c r="I381" s="247"/>
      <c r="J381" s="247"/>
      <c r="K381" s="247"/>
      <c r="L381" s="247"/>
      <c r="M381" s="247"/>
      <c r="N381" s="247"/>
      <c r="O381" s="247"/>
      <c r="P381" s="247"/>
      <c r="Q381" s="247"/>
      <c r="R381" s="247"/>
      <c r="S381" s="247"/>
      <c r="T381" s="247"/>
      <c r="U381" s="247"/>
      <c r="V381" s="247"/>
      <c r="W381" s="247"/>
      <c r="X381" s="247"/>
      <c r="Y381" s="247"/>
      <c r="Z381" s="247"/>
      <c r="AA381" s="247"/>
      <c r="AB381" s="247"/>
      <c r="AC381" s="247"/>
      <c r="AD381" s="247"/>
      <c r="AE381" s="247"/>
      <c r="AF381" s="247"/>
      <c r="AG381" s="247"/>
      <c r="AH381" s="247"/>
      <c r="AI381" s="247"/>
      <c r="AJ381" s="247"/>
      <c r="AK381" s="247"/>
      <c r="AL381" s="247"/>
      <c r="AM381" s="247"/>
      <c r="AN381" s="247"/>
      <c r="AO381" s="247"/>
      <c r="AP381" s="247"/>
      <c r="AQ381" s="247"/>
      <c r="AR381" s="247"/>
      <c r="AS381" s="247"/>
      <c r="AT381" s="247"/>
      <c r="AU381" s="261"/>
    </row>
    <row r="382" spans="1:47" ht="60" customHeight="1" x14ac:dyDescent="0.35">
      <c r="A382" s="257" t="s">
        <v>6595</v>
      </c>
      <c r="B382" s="235" t="s">
        <v>6596</v>
      </c>
      <c r="C382" s="236" t="s">
        <v>6619</v>
      </c>
      <c r="D382" s="239" t="s">
        <v>6620</v>
      </c>
      <c r="E382" s="240" t="s">
        <v>5996</v>
      </c>
      <c r="F382" s="243" t="s">
        <v>6599</v>
      </c>
      <c r="G382" s="246" t="str">
        <f>IF(COUNTIF(H382:AU382,"&lt;&gt;")=0,"",SUMPRODUCT(((Recommendations[ImplStatus]="Implemented")+(Recommendations[ImplStatus]="Compensated"))*ISNUMBER(MATCH(Recommendations[Id],H382:AU382,0)))/COUNTIF(H382:AU382,"&lt;&gt;"))</f>
        <v/>
      </c>
      <c r="H382" s="247"/>
      <c r="I382" s="247"/>
      <c r="J382" s="247"/>
      <c r="K382" s="247"/>
      <c r="L382" s="247"/>
      <c r="M382" s="247"/>
      <c r="N382" s="247"/>
      <c r="O382" s="247"/>
      <c r="P382" s="247"/>
      <c r="Q382" s="247"/>
      <c r="R382" s="247"/>
      <c r="S382" s="247"/>
      <c r="T382" s="247"/>
      <c r="U382" s="247"/>
      <c r="V382" s="247"/>
      <c r="W382" s="247"/>
      <c r="X382" s="247"/>
      <c r="Y382" s="247"/>
      <c r="Z382" s="247"/>
      <c r="AA382" s="247"/>
      <c r="AB382" s="247"/>
      <c r="AC382" s="247"/>
      <c r="AD382" s="247"/>
      <c r="AE382" s="247"/>
      <c r="AF382" s="247"/>
      <c r="AG382" s="247"/>
      <c r="AH382" s="247"/>
      <c r="AI382" s="247"/>
      <c r="AJ382" s="247"/>
      <c r="AK382" s="247"/>
      <c r="AL382" s="247"/>
      <c r="AM382" s="247"/>
      <c r="AN382" s="247"/>
      <c r="AO382" s="247"/>
      <c r="AP382" s="247"/>
      <c r="AQ382" s="247"/>
      <c r="AR382" s="247"/>
      <c r="AS382" s="247"/>
      <c r="AT382" s="247"/>
      <c r="AU382" s="261"/>
    </row>
    <row r="383" spans="1:47" ht="60" customHeight="1" x14ac:dyDescent="0.35">
      <c r="A383" s="257" t="s">
        <v>6595</v>
      </c>
      <c r="B383" s="235" t="s">
        <v>6596</v>
      </c>
      <c r="C383" s="236" t="s">
        <v>6621</v>
      </c>
      <c r="D383" s="239" t="s">
        <v>6622</v>
      </c>
      <c r="E383" s="240" t="s">
        <v>5996</v>
      </c>
      <c r="F383" s="243" t="s">
        <v>6599</v>
      </c>
      <c r="G383" s="246" t="str">
        <f>IF(COUNTIF(H383:AU383,"&lt;&gt;")=0,"",SUMPRODUCT(((Recommendations[ImplStatus]="Implemented")+(Recommendations[ImplStatus]="Compensated"))*ISNUMBER(MATCH(Recommendations[Id],H383:AU383,0)))/COUNTIF(H383:AU383,"&lt;&gt;"))</f>
        <v/>
      </c>
      <c r="H383" s="247"/>
      <c r="I383" s="247"/>
      <c r="J383" s="247"/>
      <c r="K383" s="247"/>
      <c r="L383" s="247"/>
      <c r="M383" s="247"/>
      <c r="N383" s="247"/>
      <c r="O383" s="247"/>
      <c r="P383" s="247"/>
      <c r="Q383" s="247"/>
      <c r="R383" s="247"/>
      <c r="S383" s="247"/>
      <c r="T383" s="247"/>
      <c r="U383" s="247"/>
      <c r="V383" s="247"/>
      <c r="W383" s="247"/>
      <c r="X383" s="247"/>
      <c r="Y383" s="247"/>
      <c r="Z383" s="247"/>
      <c r="AA383" s="247"/>
      <c r="AB383" s="247"/>
      <c r="AC383" s="247"/>
      <c r="AD383" s="247"/>
      <c r="AE383" s="247"/>
      <c r="AF383" s="247"/>
      <c r="AG383" s="247"/>
      <c r="AH383" s="247"/>
      <c r="AI383" s="247"/>
      <c r="AJ383" s="247"/>
      <c r="AK383" s="247"/>
      <c r="AL383" s="247"/>
      <c r="AM383" s="247"/>
      <c r="AN383" s="247"/>
      <c r="AO383" s="247"/>
      <c r="AP383" s="247"/>
      <c r="AQ383" s="247"/>
      <c r="AR383" s="247"/>
      <c r="AS383" s="247"/>
      <c r="AT383" s="247"/>
      <c r="AU383" s="261"/>
    </row>
    <row r="384" spans="1:47" ht="60" customHeight="1" x14ac:dyDescent="0.35">
      <c r="A384" s="257" t="s">
        <v>6595</v>
      </c>
      <c r="B384" s="235" t="s">
        <v>6596</v>
      </c>
      <c r="C384" s="236" t="s">
        <v>6623</v>
      </c>
      <c r="D384" s="239" t="s">
        <v>6624</v>
      </c>
      <c r="E384" s="240" t="s">
        <v>5996</v>
      </c>
      <c r="F384" s="243" t="s">
        <v>6599</v>
      </c>
      <c r="G384" s="246" t="str">
        <f>IF(COUNTIF(H384:AU384,"&lt;&gt;")=0,"",SUMPRODUCT(((Recommendations[ImplStatus]="Implemented")+(Recommendations[ImplStatus]="Compensated"))*ISNUMBER(MATCH(Recommendations[Id],H384:AU384,0)))/COUNTIF(H384:AU384,"&lt;&gt;"))</f>
        <v/>
      </c>
      <c r="H384" s="247"/>
      <c r="I384" s="247"/>
      <c r="J384" s="247"/>
      <c r="K384" s="247"/>
      <c r="L384" s="247"/>
      <c r="M384" s="247"/>
      <c r="N384" s="247"/>
      <c r="O384" s="247"/>
      <c r="P384" s="247"/>
      <c r="Q384" s="247"/>
      <c r="R384" s="247"/>
      <c r="S384" s="247"/>
      <c r="T384" s="247"/>
      <c r="U384" s="247"/>
      <c r="V384" s="247"/>
      <c r="W384" s="247"/>
      <c r="X384" s="247"/>
      <c r="Y384" s="247"/>
      <c r="Z384" s="247"/>
      <c r="AA384" s="247"/>
      <c r="AB384" s="247"/>
      <c r="AC384" s="247"/>
      <c r="AD384" s="247"/>
      <c r="AE384" s="247"/>
      <c r="AF384" s="247"/>
      <c r="AG384" s="247"/>
      <c r="AH384" s="247"/>
      <c r="AI384" s="247"/>
      <c r="AJ384" s="247"/>
      <c r="AK384" s="247"/>
      <c r="AL384" s="247"/>
      <c r="AM384" s="247"/>
      <c r="AN384" s="247"/>
      <c r="AO384" s="247"/>
      <c r="AP384" s="247"/>
      <c r="AQ384" s="247"/>
      <c r="AR384" s="247"/>
      <c r="AS384" s="247"/>
      <c r="AT384" s="247"/>
      <c r="AU384" s="261"/>
    </row>
    <row r="385" spans="1:47" ht="60" customHeight="1" x14ac:dyDescent="0.35">
      <c r="A385" s="257" t="s">
        <v>6595</v>
      </c>
      <c r="B385" s="235" t="s">
        <v>6596</v>
      </c>
      <c r="C385" s="236" t="s">
        <v>6625</v>
      </c>
      <c r="D385" s="239" t="s">
        <v>6626</v>
      </c>
      <c r="E385" s="240" t="s">
        <v>5948</v>
      </c>
      <c r="F385" s="243" t="s">
        <v>6599</v>
      </c>
      <c r="G385" s="246" t="str">
        <f>IF(COUNTIF(H385:AU385,"&lt;&gt;")=0,"",SUMPRODUCT(((Recommendations[ImplStatus]="Implemented")+(Recommendations[ImplStatus]="Compensated"))*ISNUMBER(MATCH(Recommendations[Id],H385:AU385,0)))/COUNTIF(H385:AU385,"&lt;&gt;"))</f>
        <v/>
      </c>
      <c r="H385" s="247"/>
      <c r="I385" s="247"/>
      <c r="J385" s="247"/>
      <c r="K385" s="247"/>
      <c r="L385" s="247"/>
      <c r="M385" s="247"/>
      <c r="N385" s="247"/>
      <c r="O385" s="247"/>
      <c r="P385" s="247"/>
      <c r="Q385" s="247"/>
      <c r="R385" s="247"/>
      <c r="S385" s="247"/>
      <c r="T385" s="247"/>
      <c r="U385" s="247"/>
      <c r="V385" s="247"/>
      <c r="W385" s="247"/>
      <c r="X385" s="247"/>
      <c r="Y385" s="247"/>
      <c r="Z385" s="247"/>
      <c r="AA385" s="247"/>
      <c r="AB385" s="247"/>
      <c r="AC385" s="247"/>
      <c r="AD385" s="247"/>
      <c r="AE385" s="247"/>
      <c r="AF385" s="247"/>
      <c r="AG385" s="247"/>
      <c r="AH385" s="247"/>
      <c r="AI385" s="247"/>
      <c r="AJ385" s="247"/>
      <c r="AK385" s="247"/>
      <c r="AL385" s="247"/>
      <c r="AM385" s="247"/>
      <c r="AN385" s="247"/>
      <c r="AO385" s="247"/>
      <c r="AP385" s="247"/>
      <c r="AQ385" s="247"/>
      <c r="AR385" s="247"/>
      <c r="AS385" s="247"/>
      <c r="AT385" s="247"/>
      <c r="AU385" s="261"/>
    </row>
    <row r="386" spans="1:47" ht="60" customHeight="1" outlineLevel="2" x14ac:dyDescent="0.35">
      <c r="A386" s="256" t="s">
        <v>6595</v>
      </c>
      <c r="B386" s="234" t="s">
        <v>6627</v>
      </c>
      <c r="C386" s="234"/>
      <c r="D386" s="238"/>
      <c r="E386" s="234"/>
      <c r="F386" s="242"/>
      <c r="G386" s="245" t="str">
        <f>IF(COUNTIF(H386:AU386,"&lt;&gt;")=0,"",SUMPRODUCT(((Recommendations[ImplStatus]="Implemented")+(Recommendations[ImplStatus]="Compensated"))*ISNUMBER(MATCH(Recommendations[Id],H386:AU386,0)))/COUNTIF(H386:AU386,"&lt;&gt;"))</f>
        <v/>
      </c>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60"/>
    </row>
    <row r="387" spans="1:47" ht="60" customHeight="1" x14ac:dyDescent="0.35">
      <c r="A387" s="257" t="s">
        <v>6595</v>
      </c>
      <c r="B387" s="235" t="s">
        <v>6627</v>
      </c>
      <c r="C387" s="236" t="s">
        <v>6628</v>
      </c>
      <c r="D387" s="239" t="s">
        <v>6629</v>
      </c>
      <c r="E387" s="240" t="s">
        <v>5852</v>
      </c>
      <c r="F387" s="243" t="s">
        <v>6630</v>
      </c>
      <c r="G387" s="246" t="str">
        <f>IF(COUNTIF(H387:AU387,"&lt;&gt;")=0,"",SUMPRODUCT(((Recommendations[ImplStatus]="Implemented")+(Recommendations[ImplStatus]="Compensated"))*ISNUMBER(MATCH(Recommendations[Id],H387:AU387,0)))/COUNTIF(H387:AU387,"&lt;&gt;"))</f>
        <v/>
      </c>
      <c r="H387" s="247"/>
      <c r="I387" s="247"/>
      <c r="J387" s="247"/>
      <c r="K387" s="247"/>
      <c r="L387" s="247"/>
      <c r="M387" s="247"/>
      <c r="N387" s="247"/>
      <c r="O387" s="247"/>
      <c r="P387" s="247"/>
      <c r="Q387" s="247"/>
      <c r="R387" s="247"/>
      <c r="S387" s="247"/>
      <c r="T387" s="247"/>
      <c r="U387" s="247"/>
      <c r="V387" s="247"/>
      <c r="W387" s="247"/>
      <c r="X387" s="247"/>
      <c r="Y387" s="247"/>
      <c r="Z387" s="247"/>
      <c r="AA387" s="247"/>
      <c r="AB387" s="247"/>
      <c r="AC387" s="247"/>
      <c r="AD387" s="247"/>
      <c r="AE387" s="247"/>
      <c r="AF387" s="247"/>
      <c r="AG387" s="247"/>
      <c r="AH387" s="247"/>
      <c r="AI387" s="247"/>
      <c r="AJ387" s="247"/>
      <c r="AK387" s="247"/>
      <c r="AL387" s="247"/>
      <c r="AM387" s="247"/>
      <c r="AN387" s="247"/>
      <c r="AO387" s="247"/>
      <c r="AP387" s="247"/>
      <c r="AQ387" s="247"/>
      <c r="AR387" s="247"/>
      <c r="AS387" s="247"/>
      <c r="AT387" s="247"/>
      <c r="AU387" s="261"/>
    </row>
    <row r="388" spans="1:47" ht="60" customHeight="1" x14ac:dyDescent="0.35">
      <c r="A388" s="257" t="s">
        <v>6595</v>
      </c>
      <c r="B388" s="235" t="s">
        <v>6627</v>
      </c>
      <c r="C388" s="236" t="s">
        <v>6631</v>
      </c>
      <c r="D388" s="239" t="s">
        <v>6632</v>
      </c>
      <c r="E388" s="240" t="s">
        <v>5852</v>
      </c>
      <c r="F388" s="243" t="s">
        <v>6630</v>
      </c>
      <c r="G388" s="246" t="str">
        <f>IF(COUNTIF(H388:AU388,"&lt;&gt;")=0,"",SUMPRODUCT(((Recommendations[ImplStatus]="Implemented")+(Recommendations[ImplStatus]="Compensated"))*ISNUMBER(MATCH(Recommendations[Id],H388:AU388,0)))/COUNTIF(H388:AU388,"&lt;&gt;"))</f>
        <v/>
      </c>
      <c r="H388" s="247"/>
      <c r="I388" s="247"/>
      <c r="J388" s="247"/>
      <c r="K388" s="247"/>
      <c r="L388" s="247"/>
      <c r="M388" s="247"/>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61"/>
    </row>
    <row r="389" spans="1:47" ht="60" customHeight="1" x14ac:dyDescent="0.35">
      <c r="A389" s="257" t="s">
        <v>6595</v>
      </c>
      <c r="B389" s="235" t="s">
        <v>6627</v>
      </c>
      <c r="C389" s="236" t="s">
        <v>6633</v>
      </c>
      <c r="D389" s="239" t="s">
        <v>6634</v>
      </c>
      <c r="E389" s="240" t="s">
        <v>6131</v>
      </c>
      <c r="F389" s="243" t="s">
        <v>6630</v>
      </c>
      <c r="G389" s="246" t="str">
        <f>IF(COUNTIF(H389:AU389,"&lt;&gt;")=0,"",SUMPRODUCT(((Recommendations[ImplStatus]="Implemented")+(Recommendations[ImplStatus]="Compensated"))*ISNUMBER(MATCH(Recommendations[Id],H389:AU389,0)))/COUNTIF(H389:AU389,"&lt;&gt;"))</f>
        <v/>
      </c>
      <c r="H389" s="247"/>
      <c r="I389" s="247"/>
      <c r="J389" s="247"/>
      <c r="K389" s="247"/>
      <c r="L389" s="247"/>
      <c r="M389" s="247"/>
      <c r="N389" s="247"/>
      <c r="O389" s="247"/>
      <c r="P389" s="247"/>
      <c r="Q389" s="247"/>
      <c r="R389" s="247"/>
      <c r="S389" s="247"/>
      <c r="T389" s="247"/>
      <c r="U389" s="247"/>
      <c r="V389" s="247"/>
      <c r="W389" s="247"/>
      <c r="X389" s="247"/>
      <c r="Y389" s="247"/>
      <c r="Z389" s="247"/>
      <c r="AA389" s="247"/>
      <c r="AB389" s="247"/>
      <c r="AC389" s="247"/>
      <c r="AD389" s="247"/>
      <c r="AE389" s="247"/>
      <c r="AF389" s="247"/>
      <c r="AG389" s="247"/>
      <c r="AH389" s="247"/>
      <c r="AI389" s="247"/>
      <c r="AJ389" s="247"/>
      <c r="AK389" s="247"/>
      <c r="AL389" s="247"/>
      <c r="AM389" s="247"/>
      <c r="AN389" s="247"/>
      <c r="AO389" s="247"/>
      <c r="AP389" s="247"/>
      <c r="AQ389" s="247"/>
      <c r="AR389" s="247"/>
      <c r="AS389" s="247"/>
      <c r="AT389" s="247"/>
      <c r="AU389" s="261"/>
    </row>
    <row r="390" spans="1:47" ht="60" customHeight="1" x14ac:dyDescent="0.35">
      <c r="A390" s="257" t="s">
        <v>6595</v>
      </c>
      <c r="B390" s="235" t="s">
        <v>6627</v>
      </c>
      <c r="C390" s="236" t="s">
        <v>6635</v>
      </c>
      <c r="D390" s="239" t="s">
        <v>6636</v>
      </c>
      <c r="E390" s="240" t="s">
        <v>5948</v>
      </c>
      <c r="F390" s="243" t="s">
        <v>6630</v>
      </c>
      <c r="G390" s="246" t="str">
        <f>IF(COUNTIF(H390:AU390,"&lt;&gt;")=0,"",SUMPRODUCT(((Recommendations[ImplStatus]="Implemented")+(Recommendations[ImplStatus]="Compensated"))*ISNUMBER(MATCH(Recommendations[Id],H390:AU390,0)))/COUNTIF(H390:AU390,"&lt;&gt;"))</f>
        <v/>
      </c>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47"/>
      <c r="AD390" s="247"/>
      <c r="AE390" s="247"/>
      <c r="AF390" s="247"/>
      <c r="AG390" s="247"/>
      <c r="AH390" s="247"/>
      <c r="AI390" s="247"/>
      <c r="AJ390" s="247"/>
      <c r="AK390" s="247"/>
      <c r="AL390" s="247"/>
      <c r="AM390" s="247"/>
      <c r="AN390" s="247"/>
      <c r="AO390" s="247"/>
      <c r="AP390" s="247"/>
      <c r="AQ390" s="247"/>
      <c r="AR390" s="247"/>
      <c r="AS390" s="247"/>
      <c r="AT390" s="247"/>
      <c r="AU390" s="261"/>
    </row>
    <row r="391" spans="1:47" ht="60" customHeight="1" x14ac:dyDescent="0.35">
      <c r="A391" s="257" t="s">
        <v>6595</v>
      </c>
      <c r="B391" s="235" t="s">
        <v>6627</v>
      </c>
      <c r="C391" s="236" t="s">
        <v>6637</v>
      </c>
      <c r="D391" s="239" t="s">
        <v>6638</v>
      </c>
      <c r="E391" s="240" t="s">
        <v>6131</v>
      </c>
      <c r="F391" s="243" t="s">
        <v>6630</v>
      </c>
      <c r="G391" s="246" t="str">
        <f>IF(COUNTIF(H391:AU391,"&lt;&gt;")=0,"",SUMPRODUCT(((Recommendations[ImplStatus]="Implemented")+(Recommendations[ImplStatus]="Compensated"))*ISNUMBER(MATCH(Recommendations[Id],H391:AU391,0)))/COUNTIF(H391:AU391,"&lt;&gt;"))</f>
        <v/>
      </c>
      <c r="H391" s="247"/>
      <c r="I391" s="247"/>
      <c r="J391" s="247"/>
      <c r="K391" s="247"/>
      <c r="L391" s="247"/>
      <c r="M391" s="247"/>
      <c r="N391" s="247"/>
      <c r="O391" s="247"/>
      <c r="P391" s="247"/>
      <c r="Q391" s="247"/>
      <c r="R391" s="247"/>
      <c r="S391" s="247"/>
      <c r="T391" s="247"/>
      <c r="U391" s="247"/>
      <c r="V391" s="247"/>
      <c r="W391" s="247"/>
      <c r="X391" s="247"/>
      <c r="Y391" s="247"/>
      <c r="Z391" s="247"/>
      <c r="AA391" s="247"/>
      <c r="AB391" s="247"/>
      <c r="AC391" s="247"/>
      <c r="AD391" s="247"/>
      <c r="AE391" s="247"/>
      <c r="AF391" s="247"/>
      <c r="AG391" s="247"/>
      <c r="AH391" s="247"/>
      <c r="AI391" s="247"/>
      <c r="AJ391" s="247"/>
      <c r="AK391" s="247"/>
      <c r="AL391" s="247"/>
      <c r="AM391" s="247"/>
      <c r="AN391" s="247"/>
      <c r="AO391" s="247"/>
      <c r="AP391" s="247"/>
      <c r="AQ391" s="247"/>
      <c r="AR391" s="247"/>
      <c r="AS391" s="247"/>
      <c r="AT391" s="247"/>
      <c r="AU391" s="261"/>
    </row>
    <row r="392" spans="1:47" ht="60" customHeight="1" x14ac:dyDescent="0.35">
      <c r="A392" s="257" t="s">
        <v>6595</v>
      </c>
      <c r="B392" s="235" t="s">
        <v>6627</v>
      </c>
      <c r="C392" s="236" t="s">
        <v>6639</v>
      </c>
      <c r="D392" s="239" t="s">
        <v>6640</v>
      </c>
      <c r="E392" s="240" t="s">
        <v>5881</v>
      </c>
      <c r="F392" s="243" t="s">
        <v>6630</v>
      </c>
      <c r="G392" s="246" t="str">
        <f>IF(COUNTIF(H392:AU392,"&lt;&gt;")=0,"",SUMPRODUCT(((Recommendations[ImplStatus]="Implemented")+(Recommendations[ImplStatus]="Compensated"))*ISNUMBER(MATCH(Recommendations[Id],H392:AU392,0)))/COUNTIF(H392:AU392,"&lt;&gt;"))</f>
        <v/>
      </c>
      <c r="H392" s="247"/>
      <c r="I392" s="247"/>
      <c r="J392" s="247"/>
      <c r="K392" s="247"/>
      <c r="L392" s="247"/>
      <c r="M392" s="247"/>
      <c r="N392" s="247"/>
      <c r="O392" s="247"/>
      <c r="P392" s="247"/>
      <c r="Q392" s="247"/>
      <c r="R392" s="247"/>
      <c r="S392" s="247"/>
      <c r="T392" s="247"/>
      <c r="U392" s="247"/>
      <c r="V392" s="247"/>
      <c r="W392" s="247"/>
      <c r="X392" s="247"/>
      <c r="Y392" s="247"/>
      <c r="Z392" s="247"/>
      <c r="AA392" s="247"/>
      <c r="AB392" s="247"/>
      <c r="AC392" s="247"/>
      <c r="AD392" s="247"/>
      <c r="AE392" s="247"/>
      <c r="AF392" s="247"/>
      <c r="AG392" s="247"/>
      <c r="AH392" s="247"/>
      <c r="AI392" s="247"/>
      <c r="AJ392" s="247"/>
      <c r="AK392" s="247"/>
      <c r="AL392" s="247"/>
      <c r="AM392" s="247"/>
      <c r="AN392" s="247"/>
      <c r="AO392" s="247"/>
      <c r="AP392" s="247"/>
      <c r="AQ392" s="247"/>
      <c r="AR392" s="247"/>
      <c r="AS392" s="247"/>
      <c r="AT392" s="247"/>
      <c r="AU392" s="261"/>
    </row>
    <row r="393" spans="1:47" ht="60" customHeight="1" x14ac:dyDescent="0.35">
      <c r="A393" s="257" t="s">
        <v>6595</v>
      </c>
      <c r="B393" s="235" t="s">
        <v>6627</v>
      </c>
      <c r="C393" s="236" t="s">
        <v>6641</v>
      </c>
      <c r="D393" s="239" t="s">
        <v>6642</v>
      </c>
      <c r="E393" s="240" t="s">
        <v>5881</v>
      </c>
      <c r="F393" s="243" t="s">
        <v>6630</v>
      </c>
      <c r="G393" s="246" t="str">
        <f>IF(COUNTIF(H393:AU393,"&lt;&gt;")=0,"",SUMPRODUCT(((Recommendations[ImplStatus]="Implemented")+(Recommendations[ImplStatus]="Compensated"))*ISNUMBER(MATCH(Recommendations[Id],H393:AU393,0)))/COUNTIF(H393:AU393,"&lt;&gt;"))</f>
        <v/>
      </c>
      <c r="H393" s="247"/>
      <c r="I393" s="247"/>
      <c r="J393" s="247"/>
      <c r="K393" s="247"/>
      <c r="L393" s="247"/>
      <c r="M393" s="247"/>
      <c r="N393" s="247"/>
      <c r="O393" s="247"/>
      <c r="P393" s="247"/>
      <c r="Q393" s="247"/>
      <c r="R393" s="247"/>
      <c r="S393" s="247"/>
      <c r="T393" s="247"/>
      <c r="U393" s="247"/>
      <c r="V393" s="247"/>
      <c r="W393" s="247"/>
      <c r="X393" s="247"/>
      <c r="Y393" s="247"/>
      <c r="Z393" s="247"/>
      <c r="AA393" s="247"/>
      <c r="AB393" s="247"/>
      <c r="AC393" s="247"/>
      <c r="AD393" s="247"/>
      <c r="AE393" s="247"/>
      <c r="AF393" s="247"/>
      <c r="AG393" s="247"/>
      <c r="AH393" s="247"/>
      <c r="AI393" s="247"/>
      <c r="AJ393" s="247"/>
      <c r="AK393" s="247"/>
      <c r="AL393" s="247"/>
      <c r="AM393" s="247"/>
      <c r="AN393" s="247"/>
      <c r="AO393" s="247"/>
      <c r="AP393" s="247"/>
      <c r="AQ393" s="247"/>
      <c r="AR393" s="247"/>
      <c r="AS393" s="247"/>
      <c r="AT393" s="247"/>
      <c r="AU393" s="261"/>
    </row>
    <row r="394" spans="1:47" ht="60" customHeight="1" x14ac:dyDescent="0.35">
      <c r="A394" s="257" t="s">
        <v>6595</v>
      </c>
      <c r="B394" s="235" t="s">
        <v>6627</v>
      </c>
      <c r="C394" s="236" t="s">
        <v>6643</v>
      </c>
      <c r="D394" s="239" t="s">
        <v>6644</v>
      </c>
      <c r="E394" s="240" t="s">
        <v>6131</v>
      </c>
      <c r="F394" s="243" t="s">
        <v>6630</v>
      </c>
      <c r="G394" s="246" t="str">
        <f>IF(COUNTIF(H394:AU394,"&lt;&gt;")=0,"",SUMPRODUCT(((Recommendations[ImplStatus]="Implemented")+(Recommendations[ImplStatus]="Compensated"))*ISNUMBER(MATCH(Recommendations[Id],H394:AU394,0)))/COUNTIF(H394:AU394,"&lt;&gt;"))</f>
        <v/>
      </c>
      <c r="H394" s="247"/>
      <c r="I394" s="247"/>
      <c r="J394" s="247"/>
      <c r="K394" s="247"/>
      <c r="L394" s="247"/>
      <c r="M394" s="247"/>
      <c r="N394" s="247"/>
      <c r="O394" s="247"/>
      <c r="P394" s="247"/>
      <c r="Q394" s="247"/>
      <c r="R394" s="247"/>
      <c r="S394" s="247"/>
      <c r="T394" s="247"/>
      <c r="U394" s="247"/>
      <c r="V394" s="247"/>
      <c r="W394" s="247"/>
      <c r="X394" s="247"/>
      <c r="Y394" s="247"/>
      <c r="Z394" s="247"/>
      <c r="AA394" s="247"/>
      <c r="AB394" s="247"/>
      <c r="AC394" s="247"/>
      <c r="AD394" s="247"/>
      <c r="AE394" s="247"/>
      <c r="AF394" s="247"/>
      <c r="AG394" s="247"/>
      <c r="AH394" s="247"/>
      <c r="AI394" s="247"/>
      <c r="AJ394" s="247"/>
      <c r="AK394" s="247"/>
      <c r="AL394" s="247"/>
      <c r="AM394" s="247"/>
      <c r="AN394" s="247"/>
      <c r="AO394" s="247"/>
      <c r="AP394" s="247"/>
      <c r="AQ394" s="247"/>
      <c r="AR394" s="247"/>
      <c r="AS394" s="247"/>
      <c r="AT394" s="247"/>
      <c r="AU394" s="261"/>
    </row>
    <row r="395" spans="1:47" ht="60" customHeight="1" x14ac:dyDescent="0.35">
      <c r="A395" s="257" t="s">
        <v>6595</v>
      </c>
      <c r="B395" s="235" t="s">
        <v>6627</v>
      </c>
      <c r="C395" s="236" t="s">
        <v>6645</v>
      </c>
      <c r="D395" s="239" t="s">
        <v>6646</v>
      </c>
      <c r="E395" s="240" t="s">
        <v>5948</v>
      </c>
      <c r="F395" s="243" t="s">
        <v>6630</v>
      </c>
      <c r="G395" s="246" t="str">
        <f>IF(COUNTIF(H395:AU395,"&lt;&gt;")=0,"",SUMPRODUCT(((Recommendations[ImplStatus]="Implemented")+(Recommendations[ImplStatus]="Compensated"))*ISNUMBER(MATCH(Recommendations[Id],H395:AU395,0)))/COUNTIF(H395:AU395,"&lt;&gt;"))</f>
        <v/>
      </c>
      <c r="H395" s="247"/>
      <c r="I395" s="247"/>
      <c r="J395" s="247"/>
      <c r="K395" s="247"/>
      <c r="L395" s="247"/>
      <c r="M395" s="247"/>
      <c r="N395" s="247"/>
      <c r="O395" s="247"/>
      <c r="P395" s="247"/>
      <c r="Q395" s="247"/>
      <c r="R395" s="247"/>
      <c r="S395" s="247"/>
      <c r="T395" s="247"/>
      <c r="U395" s="247"/>
      <c r="V395" s="247"/>
      <c r="W395" s="247"/>
      <c r="X395" s="247"/>
      <c r="Y395" s="247"/>
      <c r="Z395" s="247"/>
      <c r="AA395" s="247"/>
      <c r="AB395" s="247"/>
      <c r="AC395" s="247"/>
      <c r="AD395" s="247"/>
      <c r="AE395" s="247"/>
      <c r="AF395" s="247"/>
      <c r="AG395" s="247"/>
      <c r="AH395" s="247"/>
      <c r="AI395" s="247"/>
      <c r="AJ395" s="247"/>
      <c r="AK395" s="247"/>
      <c r="AL395" s="247"/>
      <c r="AM395" s="247"/>
      <c r="AN395" s="247"/>
      <c r="AO395" s="247"/>
      <c r="AP395" s="247"/>
      <c r="AQ395" s="247"/>
      <c r="AR395" s="247"/>
      <c r="AS395" s="247"/>
      <c r="AT395" s="247"/>
      <c r="AU395" s="261"/>
    </row>
    <row r="396" spans="1:47" ht="60" customHeight="1" x14ac:dyDescent="0.35">
      <c r="A396" s="257" t="s">
        <v>6595</v>
      </c>
      <c r="B396" s="235" t="s">
        <v>6627</v>
      </c>
      <c r="C396" s="236" t="s">
        <v>6647</v>
      </c>
      <c r="D396" s="239" t="s">
        <v>6648</v>
      </c>
      <c r="E396" s="240" t="s">
        <v>6131</v>
      </c>
      <c r="F396" s="243" t="s">
        <v>6630</v>
      </c>
      <c r="G396" s="246" t="str">
        <f>IF(COUNTIF(H396:AU396,"&lt;&gt;")=0,"",SUMPRODUCT(((Recommendations[ImplStatus]="Implemented")+(Recommendations[ImplStatus]="Compensated"))*ISNUMBER(MATCH(Recommendations[Id],H396:AU396,0)))/COUNTIF(H396:AU396,"&lt;&gt;"))</f>
        <v/>
      </c>
      <c r="H396" s="247"/>
      <c r="I396" s="247"/>
      <c r="J396" s="247"/>
      <c r="K396" s="247"/>
      <c r="L396" s="247"/>
      <c r="M396" s="247"/>
      <c r="N396" s="247"/>
      <c r="O396" s="247"/>
      <c r="P396" s="247"/>
      <c r="Q396" s="247"/>
      <c r="R396" s="247"/>
      <c r="S396" s="247"/>
      <c r="T396" s="247"/>
      <c r="U396" s="247"/>
      <c r="V396" s="247"/>
      <c r="W396" s="247"/>
      <c r="X396" s="247"/>
      <c r="Y396" s="247"/>
      <c r="Z396" s="247"/>
      <c r="AA396" s="247"/>
      <c r="AB396" s="247"/>
      <c r="AC396" s="247"/>
      <c r="AD396" s="247"/>
      <c r="AE396" s="247"/>
      <c r="AF396" s="247"/>
      <c r="AG396" s="247"/>
      <c r="AH396" s="247"/>
      <c r="AI396" s="247"/>
      <c r="AJ396" s="247"/>
      <c r="AK396" s="247"/>
      <c r="AL396" s="247"/>
      <c r="AM396" s="247"/>
      <c r="AN396" s="247"/>
      <c r="AO396" s="247"/>
      <c r="AP396" s="247"/>
      <c r="AQ396" s="247"/>
      <c r="AR396" s="247"/>
      <c r="AS396" s="247"/>
      <c r="AT396" s="247"/>
      <c r="AU396" s="261"/>
    </row>
    <row r="397" spans="1:47" ht="60" customHeight="1" x14ac:dyDescent="0.35">
      <c r="A397" s="257" t="s">
        <v>6595</v>
      </c>
      <c r="B397" s="235" t="s">
        <v>6627</v>
      </c>
      <c r="C397" s="236" t="s">
        <v>6649</v>
      </c>
      <c r="D397" s="239" t="s">
        <v>6650</v>
      </c>
      <c r="E397" s="240" t="s">
        <v>5881</v>
      </c>
      <c r="F397" s="243" t="s">
        <v>6630</v>
      </c>
      <c r="G397" s="246" t="str">
        <f>IF(COUNTIF(H397:AU397,"&lt;&gt;")=0,"",SUMPRODUCT(((Recommendations[ImplStatus]="Implemented")+(Recommendations[ImplStatus]="Compensated"))*ISNUMBER(MATCH(Recommendations[Id],H397:AU397,0)))/COUNTIF(H397:AU397,"&lt;&gt;"))</f>
        <v/>
      </c>
      <c r="H397" s="247"/>
      <c r="I397" s="247"/>
      <c r="J397" s="247"/>
      <c r="K397" s="247"/>
      <c r="L397" s="247"/>
      <c r="M397" s="247"/>
      <c r="N397" s="247"/>
      <c r="O397" s="247"/>
      <c r="P397" s="247"/>
      <c r="Q397" s="247"/>
      <c r="R397" s="247"/>
      <c r="S397" s="247"/>
      <c r="T397" s="247"/>
      <c r="U397" s="247"/>
      <c r="V397" s="247"/>
      <c r="W397" s="247"/>
      <c r="X397" s="247"/>
      <c r="Y397" s="247"/>
      <c r="Z397" s="247"/>
      <c r="AA397" s="247"/>
      <c r="AB397" s="247"/>
      <c r="AC397" s="247"/>
      <c r="AD397" s="247"/>
      <c r="AE397" s="247"/>
      <c r="AF397" s="247"/>
      <c r="AG397" s="247"/>
      <c r="AH397" s="247"/>
      <c r="AI397" s="247"/>
      <c r="AJ397" s="247"/>
      <c r="AK397" s="247"/>
      <c r="AL397" s="247"/>
      <c r="AM397" s="247"/>
      <c r="AN397" s="247"/>
      <c r="AO397" s="247"/>
      <c r="AP397" s="247"/>
      <c r="AQ397" s="247"/>
      <c r="AR397" s="247"/>
      <c r="AS397" s="247"/>
      <c r="AT397" s="247"/>
      <c r="AU397" s="261"/>
    </row>
    <row r="398" spans="1:47" ht="60" customHeight="1" x14ac:dyDescent="0.35">
      <c r="A398" s="257" t="s">
        <v>6595</v>
      </c>
      <c r="B398" s="235" t="s">
        <v>6627</v>
      </c>
      <c r="C398" s="236" t="s">
        <v>6651</v>
      </c>
      <c r="D398" s="239" t="s">
        <v>6652</v>
      </c>
      <c r="E398" s="240" t="s">
        <v>5996</v>
      </c>
      <c r="F398" s="243" t="s">
        <v>6630</v>
      </c>
      <c r="G398" s="246" t="str">
        <f>IF(COUNTIF(H398:AU398,"&lt;&gt;")=0,"",SUMPRODUCT(((Recommendations[ImplStatus]="Implemented")+(Recommendations[ImplStatus]="Compensated"))*ISNUMBER(MATCH(Recommendations[Id],H398:AU398,0)))/COUNTIF(H398:AU398,"&lt;&gt;"))</f>
        <v/>
      </c>
      <c r="H398" s="247"/>
      <c r="I398" s="247"/>
      <c r="J398" s="247"/>
      <c r="K398" s="247"/>
      <c r="L398" s="247"/>
      <c r="M398" s="247"/>
      <c r="N398" s="247"/>
      <c r="O398" s="247"/>
      <c r="P398" s="247"/>
      <c r="Q398" s="247"/>
      <c r="R398" s="247"/>
      <c r="S398" s="247"/>
      <c r="T398" s="247"/>
      <c r="U398" s="247"/>
      <c r="V398" s="247"/>
      <c r="W398" s="247"/>
      <c r="X398" s="247"/>
      <c r="Y398" s="247"/>
      <c r="Z398" s="247"/>
      <c r="AA398" s="247"/>
      <c r="AB398" s="247"/>
      <c r="AC398" s="247"/>
      <c r="AD398" s="247"/>
      <c r="AE398" s="247"/>
      <c r="AF398" s="247"/>
      <c r="AG398" s="247"/>
      <c r="AH398" s="247"/>
      <c r="AI398" s="247"/>
      <c r="AJ398" s="247"/>
      <c r="AK398" s="247"/>
      <c r="AL398" s="247"/>
      <c r="AM398" s="247"/>
      <c r="AN398" s="247"/>
      <c r="AO398" s="247"/>
      <c r="AP398" s="247"/>
      <c r="AQ398" s="247"/>
      <c r="AR398" s="247"/>
      <c r="AS398" s="247"/>
      <c r="AT398" s="247"/>
      <c r="AU398" s="261"/>
    </row>
    <row r="399" spans="1:47" ht="60" customHeight="1" x14ac:dyDescent="0.35">
      <c r="A399" s="257" t="s">
        <v>6595</v>
      </c>
      <c r="B399" s="235" t="s">
        <v>6627</v>
      </c>
      <c r="C399" s="236" t="s">
        <v>6653</v>
      </c>
      <c r="D399" s="239" t="s">
        <v>6654</v>
      </c>
      <c r="E399" s="240" t="s">
        <v>6131</v>
      </c>
      <c r="F399" s="243" t="s">
        <v>6630</v>
      </c>
      <c r="G399" s="246" t="str">
        <f>IF(COUNTIF(H399:AU399,"&lt;&gt;")=0,"",SUMPRODUCT(((Recommendations[ImplStatus]="Implemented")+(Recommendations[ImplStatus]="Compensated"))*ISNUMBER(MATCH(Recommendations[Id],H399:AU399,0)))/COUNTIF(H399:AU399,"&lt;&gt;"))</f>
        <v/>
      </c>
      <c r="H399" s="247"/>
      <c r="I399" s="247"/>
      <c r="J399" s="247"/>
      <c r="K399" s="247"/>
      <c r="L399" s="247"/>
      <c r="M399" s="247"/>
      <c r="N399" s="247"/>
      <c r="O399" s="247"/>
      <c r="P399" s="247"/>
      <c r="Q399" s="247"/>
      <c r="R399" s="247"/>
      <c r="S399" s="247"/>
      <c r="T399" s="247"/>
      <c r="U399" s="247"/>
      <c r="V399" s="247"/>
      <c r="W399" s="247"/>
      <c r="X399" s="247"/>
      <c r="Y399" s="247"/>
      <c r="Z399" s="247"/>
      <c r="AA399" s="247"/>
      <c r="AB399" s="247"/>
      <c r="AC399" s="247"/>
      <c r="AD399" s="247"/>
      <c r="AE399" s="247"/>
      <c r="AF399" s="247"/>
      <c r="AG399" s="247"/>
      <c r="AH399" s="247"/>
      <c r="AI399" s="247"/>
      <c r="AJ399" s="247"/>
      <c r="AK399" s="247"/>
      <c r="AL399" s="247"/>
      <c r="AM399" s="247"/>
      <c r="AN399" s="247"/>
      <c r="AO399" s="247"/>
      <c r="AP399" s="247"/>
      <c r="AQ399" s="247"/>
      <c r="AR399" s="247"/>
      <c r="AS399" s="247"/>
      <c r="AT399" s="247"/>
      <c r="AU399" s="261"/>
    </row>
    <row r="400" spans="1:47" ht="60" customHeight="1" x14ac:dyDescent="0.35">
      <c r="A400" s="257" t="s">
        <v>6595</v>
      </c>
      <c r="B400" s="235" t="s">
        <v>6627</v>
      </c>
      <c r="C400" s="236" t="s">
        <v>6655</v>
      </c>
      <c r="D400" s="239" t="s">
        <v>6656</v>
      </c>
      <c r="E400" s="240" t="s">
        <v>6131</v>
      </c>
      <c r="F400" s="243" t="s">
        <v>6630</v>
      </c>
      <c r="G400" s="246" t="str">
        <f>IF(COUNTIF(H400:AU400,"&lt;&gt;")=0,"",SUMPRODUCT(((Recommendations[ImplStatus]="Implemented")+(Recommendations[ImplStatus]="Compensated"))*ISNUMBER(MATCH(Recommendations[Id],H400:AU400,0)))/COUNTIF(H400:AU400,"&lt;&gt;"))</f>
        <v/>
      </c>
      <c r="H400" s="247"/>
      <c r="I400" s="247"/>
      <c r="J400" s="247"/>
      <c r="K400" s="247"/>
      <c r="L400" s="247"/>
      <c r="M400" s="247"/>
      <c r="N400" s="247"/>
      <c r="O400" s="247"/>
      <c r="P400" s="247"/>
      <c r="Q400" s="247"/>
      <c r="R400" s="247"/>
      <c r="S400" s="247"/>
      <c r="T400" s="247"/>
      <c r="U400" s="247"/>
      <c r="V400" s="247"/>
      <c r="W400" s="247"/>
      <c r="X400" s="247"/>
      <c r="Y400" s="247"/>
      <c r="Z400" s="247"/>
      <c r="AA400" s="247"/>
      <c r="AB400" s="247"/>
      <c r="AC400" s="247"/>
      <c r="AD400" s="247"/>
      <c r="AE400" s="247"/>
      <c r="AF400" s="247"/>
      <c r="AG400" s="247"/>
      <c r="AH400" s="247"/>
      <c r="AI400" s="247"/>
      <c r="AJ400" s="247"/>
      <c r="AK400" s="247"/>
      <c r="AL400" s="247"/>
      <c r="AM400" s="247"/>
      <c r="AN400" s="247"/>
      <c r="AO400" s="247"/>
      <c r="AP400" s="247"/>
      <c r="AQ400" s="247"/>
      <c r="AR400" s="247"/>
      <c r="AS400" s="247"/>
      <c r="AT400" s="247"/>
      <c r="AU400" s="261"/>
    </row>
    <row r="401" spans="1:47" ht="60" customHeight="1" x14ac:dyDescent="0.35">
      <c r="A401" s="257" t="s">
        <v>6595</v>
      </c>
      <c r="B401" s="235" t="s">
        <v>6627</v>
      </c>
      <c r="C401" s="236" t="s">
        <v>6657</v>
      </c>
      <c r="D401" s="239" t="s">
        <v>6658</v>
      </c>
      <c r="E401" s="240" t="s">
        <v>5881</v>
      </c>
      <c r="F401" s="243" t="s">
        <v>6630</v>
      </c>
      <c r="G401" s="246" t="str">
        <f>IF(COUNTIF(H401:AU401,"&lt;&gt;")=0,"",SUMPRODUCT(((Recommendations[ImplStatus]="Implemented")+(Recommendations[ImplStatus]="Compensated"))*ISNUMBER(MATCH(Recommendations[Id],H401:AU401,0)))/COUNTIF(H401:AU401,"&lt;&gt;"))</f>
        <v/>
      </c>
      <c r="H401" s="247"/>
      <c r="I401" s="247"/>
      <c r="J401" s="247"/>
      <c r="K401" s="247"/>
      <c r="L401" s="247"/>
      <c r="M401" s="247"/>
      <c r="N401" s="247"/>
      <c r="O401" s="247"/>
      <c r="P401" s="247"/>
      <c r="Q401" s="247"/>
      <c r="R401" s="247"/>
      <c r="S401" s="247"/>
      <c r="T401" s="247"/>
      <c r="U401" s="247"/>
      <c r="V401" s="247"/>
      <c r="W401" s="247"/>
      <c r="X401" s="247"/>
      <c r="Y401" s="247"/>
      <c r="Z401" s="247"/>
      <c r="AA401" s="247"/>
      <c r="AB401" s="247"/>
      <c r="AC401" s="247"/>
      <c r="AD401" s="247"/>
      <c r="AE401" s="247"/>
      <c r="AF401" s="247"/>
      <c r="AG401" s="247"/>
      <c r="AH401" s="247"/>
      <c r="AI401" s="247"/>
      <c r="AJ401" s="247"/>
      <c r="AK401" s="247"/>
      <c r="AL401" s="247"/>
      <c r="AM401" s="247"/>
      <c r="AN401" s="247"/>
      <c r="AO401" s="247"/>
      <c r="AP401" s="247"/>
      <c r="AQ401" s="247"/>
      <c r="AR401" s="247"/>
      <c r="AS401" s="247"/>
      <c r="AT401" s="247"/>
      <c r="AU401" s="261"/>
    </row>
    <row r="402" spans="1:47" ht="60" customHeight="1" x14ac:dyDescent="0.35">
      <c r="A402" s="257" t="s">
        <v>6595</v>
      </c>
      <c r="B402" s="235" t="s">
        <v>6627</v>
      </c>
      <c r="C402" s="236" t="s">
        <v>6659</v>
      </c>
      <c r="D402" s="239" t="s">
        <v>6660</v>
      </c>
      <c r="E402" s="240" t="s">
        <v>5881</v>
      </c>
      <c r="F402" s="243" t="s">
        <v>6630</v>
      </c>
      <c r="G402" s="246" t="str">
        <f>IF(COUNTIF(H402:AU402,"&lt;&gt;")=0,"",SUMPRODUCT(((Recommendations[ImplStatus]="Implemented")+(Recommendations[ImplStatus]="Compensated"))*ISNUMBER(MATCH(Recommendations[Id],H402:AU402,0)))/COUNTIF(H402:AU402,"&lt;&gt;"))</f>
        <v/>
      </c>
      <c r="H402" s="247"/>
      <c r="I402" s="247"/>
      <c r="J402" s="247"/>
      <c r="K402" s="247"/>
      <c r="L402" s="247"/>
      <c r="M402" s="247"/>
      <c r="N402" s="247"/>
      <c r="O402" s="247"/>
      <c r="P402" s="247"/>
      <c r="Q402" s="247"/>
      <c r="R402" s="247"/>
      <c r="S402" s="247"/>
      <c r="T402" s="247"/>
      <c r="U402" s="247"/>
      <c r="V402" s="247"/>
      <c r="W402" s="247"/>
      <c r="X402" s="247"/>
      <c r="Y402" s="247"/>
      <c r="Z402" s="247"/>
      <c r="AA402" s="247"/>
      <c r="AB402" s="247"/>
      <c r="AC402" s="247"/>
      <c r="AD402" s="247"/>
      <c r="AE402" s="247"/>
      <c r="AF402" s="247"/>
      <c r="AG402" s="247"/>
      <c r="AH402" s="247"/>
      <c r="AI402" s="247"/>
      <c r="AJ402" s="247"/>
      <c r="AK402" s="247"/>
      <c r="AL402" s="247"/>
      <c r="AM402" s="247"/>
      <c r="AN402" s="247"/>
      <c r="AO402" s="247"/>
      <c r="AP402" s="247"/>
      <c r="AQ402" s="247"/>
      <c r="AR402" s="247"/>
      <c r="AS402" s="247"/>
      <c r="AT402" s="247"/>
      <c r="AU402" s="261"/>
    </row>
    <row r="403" spans="1:47" ht="60" customHeight="1" x14ac:dyDescent="0.35">
      <c r="A403" s="257" t="s">
        <v>6595</v>
      </c>
      <c r="B403" s="235" t="s">
        <v>6627</v>
      </c>
      <c r="C403" s="236" t="s">
        <v>6661</v>
      </c>
      <c r="D403" s="239" t="s">
        <v>6662</v>
      </c>
      <c r="E403" s="240" t="s">
        <v>5881</v>
      </c>
      <c r="F403" s="243" t="s">
        <v>6630</v>
      </c>
      <c r="G403" s="246" t="str">
        <f>IF(COUNTIF(H403:AU403,"&lt;&gt;")=0,"",SUMPRODUCT(((Recommendations[ImplStatus]="Implemented")+(Recommendations[ImplStatus]="Compensated"))*ISNUMBER(MATCH(Recommendations[Id],H403:AU403,0)))/COUNTIF(H403:AU403,"&lt;&gt;"))</f>
        <v/>
      </c>
      <c r="H403" s="247"/>
      <c r="I403" s="247"/>
      <c r="J403" s="247"/>
      <c r="K403" s="247"/>
      <c r="L403" s="247"/>
      <c r="M403" s="247"/>
      <c r="N403" s="247"/>
      <c r="O403" s="247"/>
      <c r="P403" s="247"/>
      <c r="Q403" s="247"/>
      <c r="R403" s="247"/>
      <c r="S403" s="247"/>
      <c r="T403" s="247"/>
      <c r="U403" s="247"/>
      <c r="V403" s="247"/>
      <c r="W403" s="247"/>
      <c r="X403" s="247"/>
      <c r="Y403" s="247"/>
      <c r="Z403" s="247"/>
      <c r="AA403" s="247"/>
      <c r="AB403" s="247"/>
      <c r="AC403" s="247"/>
      <c r="AD403" s="247"/>
      <c r="AE403" s="247"/>
      <c r="AF403" s="247"/>
      <c r="AG403" s="247"/>
      <c r="AH403" s="247"/>
      <c r="AI403" s="247"/>
      <c r="AJ403" s="247"/>
      <c r="AK403" s="247"/>
      <c r="AL403" s="247"/>
      <c r="AM403" s="247"/>
      <c r="AN403" s="247"/>
      <c r="AO403" s="247"/>
      <c r="AP403" s="247"/>
      <c r="AQ403" s="247"/>
      <c r="AR403" s="247"/>
      <c r="AS403" s="247"/>
      <c r="AT403" s="247"/>
      <c r="AU403" s="261"/>
    </row>
    <row r="404" spans="1:47" ht="60" customHeight="1" x14ac:dyDescent="0.35">
      <c r="A404" s="257" t="s">
        <v>6595</v>
      </c>
      <c r="B404" s="235" t="s">
        <v>6627</v>
      </c>
      <c r="C404" s="236" t="s">
        <v>6663</v>
      </c>
      <c r="D404" s="239" t="s">
        <v>6664</v>
      </c>
      <c r="E404" s="240" t="s">
        <v>5996</v>
      </c>
      <c r="F404" s="243" t="s">
        <v>6630</v>
      </c>
      <c r="G404" s="246" t="str">
        <f>IF(COUNTIF(H404:AU404,"&lt;&gt;")=0,"",SUMPRODUCT(((Recommendations[ImplStatus]="Implemented")+(Recommendations[ImplStatus]="Compensated"))*ISNUMBER(MATCH(Recommendations[Id],H404:AU404,0)))/COUNTIF(H404:AU404,"&lt;&gt;"))</f>
        <v/>
      </c>
      <c r="H404" s="247"/>
      <c r="I404" s="247"/>
      <c r="J404" s="247"/>
      <c r="K404" s="247"/>
      <c r="L404" s="247"/>
      <c r="M404" s="247"/>
      <c r="N404" s="247"/>
      <c r="O404" s="247"/>
      <c r="P404" s="247"/>
      <c r="Q404" s="247"/>
      <c r="R404" s="247"/>
      <c r="S404" s="247"/>
      <c r="T404" s="247"/>
      <c r="U404" s="247"/>
      <c r="V404" s="247"/>
      <c r="W404" s="247"/>
      <c r="X404" s="247"/>
      <c r="Y404" s="247"/>
      <c r="Z404" s="247"/>
      <c r="AA404" s="247"/>
      <c r="AB404" s="247"/>
      <c r="AC404" s="247"/>
      <c r="AD404" s="247"/>
      <c r="AE404" s="247"/>
      <c r="AF404" s="247"/>
      <c r="AG404" s="247"/>
      <c r="AH404" s="247"/>
      <c r="AI404" s="247"/>
      <c r="AJ404" s="247"/>
      <c r="AK404" s="247"/>
      <c r="AL404" s="247"/>
      <c r="AM404" s="247"/>
      <c r="AN404" s="247"/>
      <c r="AO404" s="247"/>
      <c r="AP404" s="247"/>
      <c r="AQ404" s="247"/>
      <c r="AR404" s="247"/>
      <c r="AS404" s="247"/>
      <c r="AT404" s="247"/>
      <c r="AU404" s="261"/>
    </row>
    <row r="405" spans="1:47" ht="60" customHeight="1" x14ac:dyDescent="0.35">
      <c r="A405" s="257" t="s">
        <v>6595</v>
      </c>
      <c r="B405" s="235" t="s">
        <v>6627</v>
      </c>
      <c r="C405" s="236" t="s">
        <v>6665</v>
      </c>
      <c r="D405" s="239" t="s">
        <v>6666</v>
      </c>
      <c r="E405" s="240" t="s">
        <v>5996</v>
      </c>
      <c r="F405" s="243" t="s">
        <v>6630</v>
      </c>
      <c r="G405" s="246" t="str">
        <f>IF(COUNTIF(H405:AU405,"&lt;&gt;")=0,"",SUMPRODUCT(((Recommendations[ImplStatus]="Implemented")+(Recommendations[ImplStatus]="Compensated"))*ISNUMBER(MATCH(Recommendations[Id],H405:AU405,0)))/COUNTIF(H405:AU405,"&lt;&gt;"))</f>
        <v/>
      </c>
      <c r="H405" s="247"/>
      <c r="I405" s="247"/>
      <c r="J405" s="247"/>
      <c r="K405" s="247"/>
      <c r="L405" s="247"/>
      <c r="M405" s="247"/>
      <c r="N405" s="247"/>
      <c r="O405" s="247"/>
      <c r="P405" s="247"/>
      <c r="Q405" s="247"/>
      <c r="R405" s="247"/>
      <c r="S405" s="247"/>
      <c r="T405" s="247"/>
      <c r="U405" s="247"/>
      <c r="V405" s="247"/>
      <c r="W405" s="247"/>
      <c r="X405" s="247"/>
      <c r="Y405" s="247"/>
      <c r="Z405" s="247"/>
      <c r="AA405" s="247"/>
      <c r="AB405" s="247"/>
      <c r="AC405" s="247"/>
      <c r="AD405" s="247"/>
      <c r="AE405" s="247"/>
      <c r="AF405" s="247"/>
      <c r="AG405" s="247"/>
      <c r="AH405" s="247"/>
      <c r="AI405" s="247"/>
      <c r="AJ405" s="247"/>
      <c r="AK405" s="247"/>
      <c r="AL405" s="247"/>
      <c r="AM405" s="247"/>
      <c r="AN405" s="247"/>
      <c r="AO405" s="247"/>
      <c r="AP405" s="247"/>
      <c r="AQ405" s="247"/>
      <c r="AR405" s="247"/>
      <c r="AS405" s="247"/>
      <c r="AT405" s="247"/>
      <c r="AU405" s="261"/>
    </row>
    <row r="406" spans="1:47" ht="60" customHeight="1" x14ac:dyDescent="0.35">
      <c r="A406" s="257" t="s">
        <v>6595</v>
      </c>
      <c r="B406" s="235" t="s">
        <v>6627</v>
      </c>
      <c r="C406" s="236" t="s">
        <v>6667</v>
      </c>
      <c r="D406" s="239" t="s">
        <v>6668</v>
      </c>
      <c r="E406" s="240" t="s">
        <v>5996</v>
      </c>
      <c r="F406" s="243" t="s">
        <v>6669</v>
      </c>
      <c r="G406" s="246" t="str">
        <f>IF(COUNTIF(H406:AU406,"&lt;&gt;")=0,"",SUMPRODUCT(((Recommendations[ImplStatus]="Implemented")+(Recommendations[ImplStatus]="Compensated"))*ISNUMBER(MATCH(Recommendations[Id],H406:AU406,0)))/COUNTIF(H406:AU406,"&lt;&gt;"))</f>
        <v/>
      </c>
      <c r="H406" s="247"/>
      <c r="I406" s="247"/>
      <c r="J406" s="247"/>
      <c r="K406" s="247"/>
      <c r="L406" s="247"/>
      <c r="M406" s="247"/>
      <c r="N406" s="247"/>
      <c r="O406" s="247"/>
      <c r="P406" s="247"/>
      <c r="Q406" s="247"/>
      <c r="R406" s="247"/>
      <c r="S406" s="247"/>
      <c r="T406" s="247"/>
      <c r="U406" s="247"/>
      <c r="V406" s="247"/>
      <c r="W406" s="247"/>
      <c r="X406" s="247"/>
      <c r="Y406" s="247"/>
      <c r="Z406" s="247"/>
      <c r="AA406" s="247"/>
      <c r="AB406" s="247"/>
      <c r="AC406" s="247"/>
      <c r="AD406" s="247"/>
      <c r="AE406" s="247"/>
      <c r="AF406" s="247"/>
      <c r="AG406" s="247"/>
      <c r="AH406" s="247"/>
      <c r="AI406" s="247"/>
      <c r="AJ406" s="247"/>
      <c r="AK406" s="247"/>
      <c r="AL406" s="247"/>
      <c r="AM406" s="247"/>
      <c r="AN406" s="247"/>
      <c r="AO406" s="247"/>
      <c r="AP406" s="247"/>
      <c r="AQ406" s="247"/>
      <c r="AR406" s="247"/>
      <c r="AS406" s="247"/>
      <c r="AT406" s="247"/>
      <c r="AU406" s="261"/>
    </row>
    <row r="407" spans="1:47" ht="60" customHeight="1" x14ac:dyDescent="0.35">
      <c r="A407" s="257" t="s">
        <v>6595</v>
      </c>
      <c r="B407" s="235" t="s">
        <v>6627</v>
      </c>
      <c r="C407" s="236" t="s">
        <v>6670</v>
      </c>
      <c r="D407" s="239" t="s">
        <v>6671</v>
      </c>
      <c r="E407" s="240" t="s">
        <v>5996</v>
      </c>
      <c r="F407" s="243" t="s">
        <v>6630</v>
      </c>
      <c r="G407" s="246" t="str">
        <f>IF(COUNTIF(H407:AU407,"&lt;&gt;")=0,"",SUMPRODUCT(((Recommendations[ImplStatus]="Implemented")+(Recommendations[ImplStatus]="Compensated"))*ISNUMBER(MATCH(Recommendations[Id],H407:AU407,0)))/COUNTIF(H407:AU407,"&lt;&gt;"))</f>
        <v/>
      </c>
      <c r="H407" s="247"/>
      <c r="I407" s="247"/>
      <c r="J407" s="247"/>
      <c r="K407" s="247"/>
      <c r="L407" s="247"/>
      <c r="M407" s="247"/>
      <c r="N407" s="247"/>
      <c r="O407" s="247"/>
      <c r="P407" s="247"/>
      <c r="Q407" s="247"/>
      <c r="R407" s="247"/>
      <c r="S407" s="247"/>
      <c r="T407" s="247"/>
      <c r="U407" s="247"/>
      <c r="V407" s="247"/>
      <c r="W407" s="247"/>
      <c r="X407" s="247"/>
      <c r="Y407" s="247"/>
      <c r="Z407" s="247"/>
      <c r="AA407" s="247"/>
      <c r="AB407" s="247"/>
      <c r="AC407" s="247"/>
      <c r="AD407" s="247"/>
      <c r="AE407" s="247"/>
      <c r="AF407" s="247"/>
      <c r="AG407" s="247"/>
      <c r="AH407" s="247"/>
      <c r="AI407" s="247"/>
      <c r="AJ407" s="247"/>
      <c r="AK407" s="247"/>
      <c r="AL407" s="247"/>
      <c r="AM407" s="247"/>
      <c r="AN407" s="247"/>
      <c r="AO407" s="247"/>
      <c r="AP407" s="247"/>
      <c r="AQ407" s="247"/>
      <c r="AR407" s="247"/>
      <c r="AS407" s="247"/>
      <c r="AT407" s="247"/>
      <c r="AU407" s="261"/>
    </row>
    <row r="408" spans="1:47" ht="60" customHeight="1" x14ac:dyDescent="0.35">
      <c r="A408" s="257" t="s">
        <v>6595</v>
      </c>
      <c r="B408" s="235" t="s">
        <v>6627</v>
      </c>
      <c r="C408" s="236" t="s">
        <v>6672</v>
      </c>
      <c r="D408" s="239" t="s">
        <v>6673</v>
      </c>
      <c r="E408" s="240" t="s">
        <v>5996</v>
      </c>
      <c r="F408" s="243" t="s">
        <v>6630</v>
      </c>
      <c r="G408" s="246" t="str">
        <f>IF(COUNTIF(H408:AU408,"&lt;&gt;")=0,"",SUMPRODUCT(((Recommendations[ImplStatus]="Implemented")+(Recommendations[ImplStatus]="Compensated"))*ISNUMBER(MATCH(Recommendations[Id],H408:AU408,0)))/COUNTIF(H408:AU408,"&lt;&gt;"))</f>
        <v/>
      </c>
      <c r="H408" s="247"/>
      <c r="I408" s="247"/>
      <c r="J408" s="247"/>
      <c r="K408" s="247"/>
      <c r="L408" s="247"/>
      <c r="M408" s="247"/>
      <c r="N408" s="247"/>
      <c r="O408" s="247"/>
      <c r="P408" s="247"/>
      <c r="Q408" s="247"/>
      <c r="R408" s="247"/>
      <c r="S408" s="247"/>
      <c r="T408" s="247"/>
      <c r="U408" s="247"/>
      <c r="V408" s="247"/>
      <c r="W408" s="247"/>
      <c r="X408" s="247"/>
      <c r="Y408" s="247"/>
      <c r="Z408" s="247"/>
      <c r="AA408" s="247"/>
      <c r="AB408" s="247"/>
      <c r="AC408" s="247"/>
      <c r="AD408" s="247"/>
      <c r="AE408" s="247"/>
      <c r="AF408" s="247"/>
      <c r="AG408" s="247"/>
      <c r="AH408" s="247"/>
      <c r="AI408" s="247"/>
      <c r="AJ408" s="247"/>
      <c r="AK408" s="247"/>
      <c r="AL408" s="247"/>
      <c r="AM408" s="247"/>
      <c r="AN408" s="247"/>
      <c r="AO408" s="247"/>
      <c r="AP408" s="247"/>
      <c r="AQ408" s="247"/>
      <c r="AR408" s="247"/>
      <c r="AS408" s="247"/>
      <c r="AT408" s="247"/>
      <c r="AU408" s="261"/>
    </row>
    <row r="409" spans="1:47" ht="60" customHeight="1" x14ac:dyDescent="0.35">
      <c r="A409" s="257" t="s">
        <v>6595</v>
      </c>
      <c r="B409" s="235" t="s">
        <v>6627</v>
      </c>
      <c r="C409" s="236" t="s">
        <v>6674</v>
      </c>
      <c r="D409" s="239" t="s">
        <v>6675</v>
      </c>
      <c r="E409" s="240" t="s">
        <v>5996</v>
      </c>
      <c r="F409" s="243" t="s">
        <v>6676</v>
      </c>
      <c r="G409" s="246" t="str">
        <f>IF(COUNTIF(H409:AU409,"&lt;&gt;")=0,"",SUMPRODUCT(((Recommendations[ImplStatus]="Implemented")+(Recommendations[ImplStatus]="Compensated"))*ISNUMBER(MATCH(Recommendations[Id],H409:AU409,0)))/COUNTIF(H409:AU409,"&lt;&gt;"))</f>
        <v/>
      </c>
      <c r="H409" s="247"/>
      <c r="I409" s="247"/>
      <c r="J409" s="247"/>
      <c r="K409" s="247"/>
      <c r="L409" s="247"/>
      <c r="M409" s="247"/>
      <c r="N409" s="247"/>
      <c r="O409" s="247"/>
      <c r="P409" s="247"/>
      <c r="Q409" s="247"/>
      <c r="R409" s="247"/>
      <c r="S409" s="247"/>
      <c r="T409" s="247"/>
      <c r="U409" s="247"/>
      <c r="V409" s="247"/>
      <c r="W409" s="247"/>
      <c r="X409" s="247"/>
      <c r="Y409" s="247"/>
      <c r="Z409" s="247"/>
      <c r="AA409" s="247"/>
      <c r="AB409" s="247"/>
      <c r="AC409" s="247"/>
      <c r="AD409" s="247"/>
      <c r="AE409" s="247"/>
      <c r="AF409" s="247"/>
      <c r="AG409" s="247"/>
      <c r="AH409" s="247"/>
      <c r="AI409" s="247"/>
      <c r="AJ409" s="247"/>
      <c r="AK409" s="247"/>
      <c r="AL409" s="247"/>
      <c r="AM409" s="247"/>
      <c r="AN409" s="247"/>
      <c r="AO409" s="247"/>
      <c r="AP409" s="247"/>
      <c r="AQ409" s="247"/>
      <c r="AR409" s="247"/>
      <c r="AS409" s="247"/>
      <c r="AT409" s="247"/>
      <c r="AU409" s="261"/>
    </row>
    <row r="410" spans="1:47" ht="60" customHeight="1" outlineLevel="2" x14ac:dyDescent="0.35">
      <c r="A410" s="256" t="s">
        <v>6595</v>
      </c>
      <c r="B410" s="234" t="s">
        <v>6677</v>
      </c>
      <c r="C410" s="234"/>
      <c r="D410" s="238"/>
      <c r="E410" s="234"/>
      <c r="F410" s="242"/>
      <c r="G410" s="245" t="str">
        <f>IF(COUNTIF(H410:AU410,"&lt;&gt;")=0,"",SUMPRODUCT(((Recommendations[ImplStatus]="Implemented")+(Recommendations[ImplStatus]="Compensated"))*ISNUMBER(MATCH(Recommendations[Id],H410:AU410,0)))/COUNTIF(H410:AU410,"&lt;&gt;"))</f>
        <v/>
      </c>
      <c r="H410" s="242"/>
      <c r="I410" s="242"/>
      <c r="J410" s="242"/>
      <c r="K410" s="242"/>
      <c r="L410" s="242"/>
      <c r="M410" s="242"/>
      <c r="N410" s="242"/>
      <c r="O410" s="242"/>
      <c r="P410" s="242"/>
      <c r="Q410" s="242"/>
      <c r="R410" s="242"/>
      <c r="S410" s="242"/>
      <c r="T410" s="242"/>
      <c r="U410" s="242"/>
      <c r="V410" s="242"/>
      <c r="W410" s="242"/>
      <c r="X410" s="242"/>
      <c r="Y410" s="242"/>
      <c r="Z410" s="242"/>
      <c r="AA410" s="242"/>
      <c r="AB410" s="242"/>
      <c r="AC410" s="242"/>
      <c r="AD410" s="242"/>
      <c r="AE410" s="242"/>
      <c r="AF410" s="242"/>
      <c r="AG410" s="242"/>
      <c r="AH410" s="242"/>
      <c r="AI410" s="242"/>
      <c r="AJ410" s="242"/>
      <c r="AK410" s="242"/>
      <c r="AL410" s="242"/>
      <c r="AM410" s="242"/>
      <c r="AN410" s="242"/>
      <c r="AO410" s="242"/>
      <c r="AP410" s="242"/>
      <c r="AQ410" s="242"/>
      <c r="AR410" s="242"/>
      <c r="AS410" s="242"/>
      <c r="AT410" s="242"/>
      <c r="AU410" s="260"/>
    </row>
    <row r="411" spans="1:47" ht="60" customHeight="1" x14ac:dyDescent="0.35">
      <c r="A411" s="257" t="s">
        <v>6595</v>
      </c>
      <c r="B411" s="235" t="s">
        <v>6677</v>
      </c>
      <c r="C411" s="236" t="s">
        <v>6678</v>
      </c>
      <c r="D411" s="239" t="s">
        <v>6679</v>
      </c>
      <c r="E411" s="240" t="s">
        <v>5852</v>
      </c>
      <c r="F411" s="243" t="s">
        <v>6602</v>
      </c>
      <c r="G411" s="246" t="str">
        <f>IF(COUNTIF(H411:AU411,"&lt;&gt;")=0,"",SUMPRODUCT(((Recommendations[ImplStatus]="Implemented")+(Recommendations[ImplStatus]="Compensated"))*ISNUMBER(MATCH(Recommendations[Id],H411:AU411,0)))/COUNTIF(H411:AU411,"&lt;&gt;"))</f>
        <v/>
      </c>
      <c r="H411" s="247"/>
      <c r="I411" s="247"/>
      <c r="J411" s="247"/>
      <c r="K411" s="247"/>
      <c r="L411" s="247"/>
      <c r="M411" s="247"/>
      <c r="N411" s="247"/>
      <c r="O411" s="247"/>
      <c r="P411" s="247"/>
      <c r="Q411" s="247"/>
      <c r="R411" s="247"/>
      <c r="S411" s="247"/>
      <c r="T411" s="247"/>
      <c r="U411" s="247"/>
      <c r="V411" s="247"/>
      <c r="W411" s="247"/>
      <c r="X411" s="247"/>
      <c r="Y411" s="247"/>
      <c r="Z411" s="247"/>
      <c r="AA411" s="247"/>
      <c r="AB411" s="247"/>
      <c r="AC411" s="247"/>
      <c r="AD411" s="247"/>
      <c r="AE411" s="247"/>
      <c r="AF411" s="247"/>
      <c r="AG411" s="247"/>
      <c r="AH411" s="247"/>
      <c r="AI411" s="247"/>
      <c r="AJ411" s="247"/>
      <c r="AK411" s="247"/>
      <c r="AL411" s="247"/>
      <c r="AM411" s="247"/>
      <c r="AN411" s="247"/>
      <c r="AO411" s="247"/>
      <c r="AP411" s="247"/>
      <c r="AQ411" s="247"/>
      <c r="AR411" s="247"/>
      <c r="AS411" s="247"/>
      <c r="AT411" s="247"/>
      <c r="AU411" s="261"/>
    </row>
    <row r="412" spans="1:47" ht="60" customHeight="1" x14ac:dyDescent="0.35">
      <c r="A412" s="257" t="s">
        <v>6595</v>
      </c>
      <c r="B412" s="235" t="s">
        <v>6677</v>
      </c>
      <c r="C412" s="236" t="s">
        <v>6680</v>
      </c>
      <c r="D412" s="239" t="s">
        <v>6681</v>
      </c>
      <c r="E412" s="240" t="s">
        <v>5852</v>
      </c>
      <c r="F412" s="243" t="s">
        <v>6602</v>
      </c>
      <c r="G412" s="246" t="str">
        <f>IF(COUNTIF(H412:AU412,"&lt;&gt;")=0,"",SUMPRODUCT(((Recommendations[ImplStatus]="Implemented")+(Recommendations[ImplStatus]="Compensated"))*ISNUMBER(MATCH(Recommendations[Id],H412:AU412,0)))/COUNTIF(H412:AU412,"&lt;&gt;"))</f>
        <v/>
      </c>
      <c r="H412" s="247"/>
      <c r="I412" s="247"/>
      <c r="J412" s="247"/>
      <c r="K412" s="247"/>
      <c r="L412" s="247"/>
      <c r="M412" s="247"/>
      <c r="N412" s="247"/>
      <c r="O412" s="247"/>
      <c r="P412" s="247"/>
      <c r="Q412" s="247"/>
      <c r="R412" s="247"/>
      <c r="S412" s="247"/>
      <c r="T412" s="247"/>
      <c r="U412" s="247"/>
      <c r="V412" s="247"/>
      <c r="W412" s="247"/>
      <c r="X412" s="247"/>
      <c r="Y412" s="247"/>
      <c r="Z412" s="247"/>
      <c r="AA412" s="247"/>
      <c r="AB412" s="247"/>
      <c r="AC412" s="247"/>
      <c r="AD412" s="247"/>
      <c r="AE412" s="247"/>
      <c r="AF412" s="247"/>
      <c r="AG412" s="247"/>
      <c r="AH412" s="247"/>
      <c r="AI412" s="247"/>
      <c r="AJ412" s="247"/>
      <c r="AK412" s="247"/>
      <c r="AL412" s="247"/>
      <c r="AM412" s="247"/>
      <c r="AN412" s="247"/>
      <c r="AO412" s="247"/>
      <c r="AP412" s="247"/>
      <c r="AQ412" s="247"/>
      <c r="AR412" s="247"/>
      <c r="AS412" s="247"/>
      <c r="AT412" s="247"/>
      <c r="AU412" s="261"/>
    </row>
    <row r="413" spans="1:47" ht="60" customHeight="1" x14ac:dyDescent="0.35">
      <c r="A413" s="257" t="s">
        <v>6595</v>
      </c>
      <c r="B413" s="235" t="s">
        <v>6677</v>
      </c>
      <c r="C413" s="236" t="s">
        <v>6682</v>
      </c>
      <c r="D413" s="239" t="s">
        <v>6683</v>
      </c>
      <c r="E413" s="240" t="s">
        <v>5852</v>
      </c>
      <c r="F413" s="243" t="s">
        <v>6602</v>
      </c>
      <c r="G413" s="246" t="str">
        <f>IF(COUNTIF(H413:AU413,"&lt;&gt;")=0,"",SUMPRODUCT(((Recommendations[ImplStatus]="Implemented")+(Recommendations[ImplStatus]="Compensated"))*ISNUMBER(MATCH(Recommendations[Id],H413:AU413,0)))/COUNTIF(H413:AU413,"&lt;&gt;"))</f>
        <v/>
      </c>
      <c r="H413" s="247"/>
      <c r="I413" s="247"/>
      <c r="J413" s="247"/>
      <c r="K413" s="247"/>
      <c r="L413" s="247"/>
      <c r="M413" s="247"/>
      <c r="N413" s="247"/>
      <c r="O413" s="247"/>
      <c r="P413" s="247"/>
      <c r="Q413" s="247"/>
      <c r="R413" s="247"/>
      <c r="S413" s="247"/>
      <c r="T413" s="247"/>
      <c r="U413" s="247"/>
      <c r="V413" s="247"/>
      <c r="W413" s="247"/>
      <c r="X413" s="247"/>
      <c r="Y413" s="247"/>
      <c r="Z413" s="247"/>
      <c r="AA413" s="247"/>
      <c r="AB413" s="247"/>
      <c r="AC413" s="247"/>
      <c r="AD413" s="247"/>
      <c r="AE413" s="247"/>
      <c r="AF413" s="247"/>
      <c r="AG413" s="247"/>
      <c r="AH413" s="247"/>
      <c r="AI413" s="247"/>
      <c r="AJ413" s="247"/>
      <c r="AK413" s="247"/>
      <c r="AL413" s="247"/>
      <c r="AM413" s="247"/>
      <c r="AN413" s="247"/>
      <c r="AO413" s="247"/>
      <c r="AP413" s="247"/>
      <c r="AQ413" s="247"/>
      <c r="AR413" s="247"/>
      <c r="AS413" s="247"/>
      <c r="AT413" s="247"/>
      <c r="AU413" s="261"/>
    </row>
    <row r="414" spans="1:47" ht="60" customHeight="1" x14ac:dyDescent="0.35">
      <c r="A414" s="257" t="s">
        <v>6595</v>
      </c>
      <c r="B414" s="235" t="s">
        <v>6677</v>
      </c>
      <c r="C414" s="236" t="s">
        <v>6684</v>
      </c>
      <c r="D414" s="239" t="s">
        <v>6685</v>
      </c>
      <c r="E414" s="240" t="s">
        <v>5852</v>
      </c>
      <c r="F414" s="243" t="s">
        <v>6602</v>
      </c>
      <c r="G414" s="246" t="str">
        <f>IF(COUNTIF(H414:AU414,"&lt;&gt;")=0,"",SUMPRODUCT(((Recommendations[ImplStatus]="Implemented")+(Recommendations[ImplStatus]="Compensated"))*ISNUMBER(MATCH(Recommendations[Id],H414:AU414,0)))/COUNTIF(H414:AU414,"&lt;&gt;"))</f>
        <v/>
      </c>
      <c r="H414" s="247"/>
      <c r="I414" s="247"/>
      <c r="J414" s="247"/>
      <c r="K414" s="247"/>
      <c r="L414" s="247"/>
      <c r="M414" s="247"/>
      <c r="N414" s="247"/>
      <c r="O414" s="247"/>
      <c r="P414" s="247"/>
      <c r="Q414" s="247"/>
      <c r="R414" s="247"/>
      <c r="S414" s="247"/>
      <c r="T414" s="247"/>
      <c r="U414" s="247"/>
      <c r="V414" s="247"/>
      <c r="W414" s="247"/>
      <c r="X414" s="247"/>
      <c r="Y414" s="247"/>
      <c r="Z414" s="247"/>
      <c r="AA414" s="247"/>
      <c r="AB414" s="247"/>
      <c r="AC414" s="247"/>
      <c r="AD414" s="247"/>
      <c r="AE414" s="247"/>
      <c r="AF414" s="247"/>
      <c r="AG414" s="247"/>
      <c r="AH414" s="247"/>
      <c r="AI414" s="247"/>
      <c r="AJ414" s="247"/>
      <c r="AK414" s="247"/>
      <c r="AL414" s="247"/>
      <c r="AM414" s="247"/>
      <c r="AN414" s="247"/>
      <c r="AO414" s="247"/>
      <c r="AP414" s="247"/>
      <c r="AQ414" s="247"/>
      <c r="AR414" s="247"/>
      <c r="AS414" s="247"/>
      <c r="AT414" s="247"/>
      <c r="AU414" s="261"/>
    </row>
    <row r="415" spans="1:47" ht="60" customHeight="1" x14ac:dyDescent="0.35">
      <c r="A415" s="257" t="s">
        <v>6595</v>
      </c>
      <c r="B415" s="235" t="s">
        <v>6677</v>
      </c>
      <c r="C415" s="236" t="s">
        <v>6686</v>
      </c>
      <c r="D415" s="239" t="s">
        <v>6687</v>
      </c>
      <c r="E415" s="240" t="s">
        <v>5881</v>
      </c>
      <c r="F415" s="243" t="s">
        <v>6602</v>
      </c>
      <c r="G415" s="246" t="str">
        <f>IF(COUNTIF(H415:AU415,"&lt;&gt;")=0,"",SUMPRODUCT(((Recommendations[ImplStatus]="Implemented")+(Recommendations[ImplStatus]="Compensated"))*ISNUMBER(MATCH(Recommendations[Id],H415:AU415,0)))/COUNTIF(H415:AU415,"&lt;&gt;"))</f>
        <v/>
      </c>
      <c r="H415" s="247"/>
      <c r="I415" s="247"/>
      <c r="J415" s="247"/>
      <c r="K415" s="247"/>
      <c r="L415" s="247"/>
      <c r="M415" s="247"/>
      <c r="N415" s="247"/>
      <c r="O415" s="247"/>
      <c r="P415" s="247"/>
      <c r="Q415" s="247"/>
      <c r="R415" s="247"/>
      <c r="S415" s="247"/>
      <c r="T415" s="247"/>
      <c r="U415" s="247"/>
      <c r="V415" s="247"/>
      <c r="W415" s="247"/>
      <c r="X415" s="247"/>
      <c r="Y415" s="247"/>
      <c r="Z415" s="247"/>
      <c r="AA415" s="247"/>
      <c r="AB415" s="247"/>
      <c r="AC415" s="247"/>
      <c r="AD415" s="247"/>
      <c r="AE415" s="247"/>
      <c r="AF415" s="247"/>
      <c r="AG415" s="247"/>
      <c r="AH415" s="247"/>
      <c r="AI415" s="247"/>
      <c r="AJ415" s="247"/>
      <c r="AK415" s="247"/>
      <c r="AL415" s="247"/>
      <c r="AM415" s="247"/>
      <c r="AN415" s="247"/>
      <c r="AO415" s="247"/>
      <c r="AP415" s="247"/>
      <c r="AQ415" s="247"/>
      <c r="AR415" s="247"/>
      <c r="AS415" s="247"/>
      <c r="AT415" s="247"/>
      <c r="AU415" s="261"/>
    </row>
    <row r="416" spans="1:47" ht="60" customHeight="1" x14ac:dyDescent="0.35">
      <c r="A416" s="257" t="s">
        <v>6595</v>
      </c>
      <c r="B416" s="235" t="s">
        <v>6677</v>
      </c>
      <c r="C416" s="236" t="s">
        <v>6688</v>
      </c>
      <c r="D416" s="239" t="s">
        <v>6689</v>
      </c>
      <c r="E416" s="240" t="s">
        <v>5881</v>
      </c>
      <c r="F416" s="243" t="s">
        <v>6690</v>
      </c>
      <c r="G416" s="246" t="str">
        <f>IF(COUNTIF(H416:AU416,"&lt;&gt;")=0,"",SUMPRODUCT(((Recommendations[ImplStatus]="Implemented")+(Recommendations[ImplStatus]="Compensated"))*ISNUMBER(MATCH(Recommendations[Id],H416:AU416,0)))/COUNTIF(H416:AU416,"&lt;&gt;"))</f>
        <v/>
      </c>
      <c r="H416" s="247"/>
      <c r="I416" s="247"/>
      <c r="J416" s="247"/>
      <c r="K416" s="247"/>
      <c r="L416" s="247"/>
      <c r="M416" s="247"/>
      <c r="N416" s="247"/>
      <c r="O416" s="247"/>
      <c r="P416" s="247"/>
      <c r="Q416" s="247"/>
      <c r="R416" s="247"/>
      <c r="S416" s="247"/>
      <c r="T416" s="247"/>
      <c r="U416" s="247"/>
      <c r="V416" s="247"/>
      <c r="W416" s="247"/>
      <c r="X416" s="247"/>
      <c r="Y416" s="247"/>
      <c r="Z416" s="247"/>
      <c r="AA416" s="247"/>
      <c r="AB416" s="247"/>
      <c r="AC416" s="247"/>
      <c r="AD416" s="247"/>
      <c r="AE416" s="247"/>
      <c r="AF416" s="247"/>
      <c r="AG416" s="247"/>
      <c r="AH416" s="247"/>
      <c r="AI416" s="247"/>
      <c r="AJ416" s="247"/>
      <c r="AK416" s="247"/>
      <c r="AL416" s="247"/>
      <c r="AM416" s="247"/>
      <c r="AN416" s="247"/>
      <c r="AO416" s="247"/>
      <c r="AP416" s="247"/>
      <c r="AQ416" s="247"/>
      <c r="AR416" s="247"/>
      <c r="AS416" s="247"/>
      <c r="AT416" s="247"/>
      <c r="AU416" s="261"/>
    </row>
    <row r="417" spans="1:47" ht="60" customHeight="1" x14ac:dyDescent="0.35">
      <c r="A417" s="257" t="s">
        <v>6595</v>
      </c>
      <c r="B417" s="235" t="s">
        <v>6677</v>
      </c>
      <c r="C417" s="236" t="s">
        <v>6691</v>
      </c>
      <c r="D417" s="239" t="s">
        <v>6692</v>
      </c>
      <c r="E417" s="240" t="s">
        <v>5881</v>
      </c>
      <c r="F417" s="243" t="s">
        <v>6690</v>
      </c>
      <c r="G417" s="246" t="str">
        <f>IF(COUNTIF(H417:AU417,"&lt;&gt;")=0,"",SUMPRODUCT(((Recommendations[ImplStatus]="Implemented")+(Recommendations[ImplStatus]="Compensated"))*ISNUMBER(MATCH(Recommendations[Id],H417:AU417,0)))/COUNTIF(H417:AU417,"&lt;&gt;"))</f>
        <v/>
      </c>
      <c r="H417" s="247"/>
      <c r="I417" s="247"/>
      <c r="J417" s="247"/>
      <c r="K417" s="247"/>
      <c r="L417" s="247"/>
      <c r="M417" s="247"/>
      <c r="N417" s="247"/>
      <c r="O417" s="247"/>
      <c r="P417" s="247"/>
      <c r="Q417" s="247"/>
      <c r="R417" s="247"/>
      <c r="S417" s="247"/>
      <c r="T417" s="247"/>
      <c r="U417" s="247"/>
      <c r="V417" s="247"/>
      <c r="W417" s="247"/>
      <c r="X417" s="247"/>
      <c r="Y417" s="247"/>
      <c r="Z417" s="247"/>
      <c r="AA417" s="247"/>
      <c r="AB417" s="247"/>
      <c r="AC417" s="247"/>
      <c r="AD417" s="247"/>
      <c r="AE417" s="247"/>
      <c r="AF417" s="247"/>
      <c r="AG417" s="247"/>
      <c r="AH417" s="247"/>
      <c r="AI417" s="247"/>
      <c r="AJ417" s="247"/>
      <c r="AK417" s="247"/>
      <c r="AL417" s="247"/>
      <c r="AM417" s="247"/>
      <c r="AN417" s="247"/>
      <c r="AO417" s="247"/>
      <c r="AP417" s="247"/>
      <c r="AQ417" s="247"/>
      <c r="AR417" s="247"/>
      <c r="AS417" s="247"/>
      <c r="AT417" s="247"/>
      <c r="AU417" s="261"/>
    </row>
    <row r="418" spans="1:47" ht="60" customHeight="1" x14ac:dyDescent="0.35">
      <c r="A418" s="257" t="s">
        <v>6595</v>
      </c>
      <c r="B418" s="235" t="s">
        <v>6677</v>
      </c>
      <c r="C418" s="236" t="s">
        <v>6693</v>
      </c>
      <c r="D418" s="239" t="s">
        <v>6694</v>
      </c>
      <c r="E418" s="240" t="s">
        <v>6131</v>
      </c>
      <c r="F418" s="243" t="s">
        <v>6690</v>
      </c>
      <c r="G418" s="246" t="str">
        <f>IF(COUNTIF(H418:AU418,"&lt;&gt;")=0,"",SUMPRODUCT(((Recommendations[ImplStatus]="Implemented")+(Recommendations[ImplStatus]="Compensated"))*ISNUMBER(MATCH(Recommendations[Id],H418:AU418,0)))/COUNTIF(H418:AU418,"&lt;&gt;"))</f>
        <v/>
      </c>
      <c r="H418" s="247"/>
      <c r="I418" s="247"/>
      <c r="J418" s="247"/>
      <c r="K418" s="247"/>
      <c r="L418" s="247"/>
      <c r="M418" s="247"/>
      <c r="N418" s="247"/>
      <c r="O418" s="247"/>
      <c r="P418" s="247"/>
      <c r="Q418" s="247"/>
      <c r="R418" s="247"/>
      <c r="S418" s="247"/>
      <c r="T418" s="247"/>
      <c r="U418" s="247"/>
      <c r="V418" s="247"/>
      <c r="W418" s="247"/>
      <c r="X418" s="247"/>
      <c r="Y418" s="247"/>
      <c r="Z418" s="247"/>
      <c r="AA418" s="247"/>
      <c r="AB418" s="247"/>
      <c r="AC418" s="247"/>
      <c r="AD418" s="247"/>
      <c r="AE418" s="247"/>
      <c r="AF418" s="247"/>
      <c r="AG418" s="247"/>
      <c r="AH418" s="247"/>
      <c r="AI418" s="247"/>
      <c r="AJ418" s="247"/>
      <c r="AK418" s="247"/>
      <c r="AL418" s="247"/>
      <c r="AM418" s="247"/>
      <c r="AN418" s="247"/>
      <c r="AO418" s="247"/>
      <c r="AP418" s="247"/>
      <c r="AQ418" s="247"/>
      <c r="AR418" s="247"/>
      <c r="AS418" s="247"/>
      <c r="AT418" s="247"/>
      <c r="AU418" s="261"/>
    </row>
    <row r="419" spans="1:47" ht="60" customHeight="1" x14ac:dyDescent="0.35">
      <c r="A419" s="257" t="s">
        <v>6595</v>
      </c>
      <c r="B419" s="235" t="s">
        <v>6677</v>
      </c>
      <c r="C419" s="236" t="s">
        <v>6695</v>
      </c>
      <c r="D419" s="239" t="s">
        <v>6696</v>
      </c>
      <c r="E419" s="240" t="s">
        <v>5881</v>
      </c>
      <c r="F419" s="243" t="s">
        <v>6690</v>
      </c>
      <c r="G419" s="246" t="str">
        <f>IF(COUNTIF(H419:AU419,"&lt;&gt;")=0,"",SUMPRODUCT(((Recommendations[ImplStatus]="Implemented")+(Recommendations[ImplStatus]="Compensated"))*ISNUMBER(MATCH(Recommendations[Id],H419:AU419,0)))/COUNTIF(H419:AU419,"&lt;&gt;"))</f>
        <v/>
      </c>
      <c r="H419" s="247"/>
      <c r="I419" s="247"/>
      <c r="J419" s="247"/>
      <c r="K419" s="247"/>
      <c r="L419" s="247"/>
      <c r="M419" s="247"/>
      <c r="N419" s="247"/>
      <c r="O419" s="247"/>
      <c r="P419" s="247"/>
      <c r="Q419" s="247"/>
      <c r="R419" s="247"/>
      <c r="S419" s="247"/>
      <c r="T419" s="247"/>
      <c r="U419" s="247"/>
      <c r="V419" s="247"/>
      <c r="W419" s="247"/>
      <c r="X419" s="247"/>
      <c r="Y419" s="247"/>
      <c r="Z419" s="247"/>
      <c r="AA419" s="247"/>
      <c r="AB419" s="247"/>
      <c r="AC419" s="247"/>
      <c r="AD419" s="247"/>
      <c r="AE419" s="247"/>
      <c r="AF419" s="247"/>
      <c r="AG419" s="247"/>
      <c r="AH419" s="247"/>
      <c r="AI419" s="247"/>
      <c r="AJ419" s="247"/>
      <c r="AK419" s="247"/>
      <c r="AL419" s="247"/>
      <c r="AM419" s="247"/>
      <c r="AN419" s="247"/>
      <c r="AO419" s="247"/>
      <c r="AP419" s="247"/>
      <c r="AQ419" s="247"/>
      <c r="AR419" s="247"/>
      <c r="AS419" s="247"/>
      <c r="AT419" s="247"/>
      <c r="AU419" s="261"/>
    </row>
    <row r="420" spans="1:47" ht="60" customHeight="1" x14ac:dyDescent="0.35">
      <c r="A420" s="257" t="s">
        <v>6595</v>
      </c>
      <c r="B420" s="235" t="s">
        <v>6677</v>
      </c>
      <c r="C420" s="236" t="s">
        <v>6697</v>
      </c>
      <c r="D420" s="239" t="s">
        <v>6698</v>
      </c>
      <c r="E420" s="240" t="s">
        <v>6131</v>
      </c>
      <c r="F420" s="243" t="s">
        <v>6690</v>
      </c>
      <c r="G420" s="246" t="str">
        <f>IF(COUNTIF(H420:AU420,"&lt;&gt;")=0,"",SUMPRODUCT(((Recommendations[ImplStatus]="Implemented")+(Recommendations[ImplStatus]="Compensated"))*ISNUMBER(MATCH(Recommendations[Id],H420:AU420,0)))/COUNTIF(H420:AU420,"&lt;&gt;"))</f>
        <v/>
      </c>
      <c r="H420" s="247"/>
      <c r="I420" s="247"/>
      <c r="J420" s="247"/>
      <c r="K420" s="247"/>
      <c r="L420" s="247"/>
      <c r="M420" s="247"/>
      <c r="N420" s="247"/>
      <c r="O420" s="247"/>
      <c r="P420" s="247"/>
      <c r="Q420" s="247"/>
      <c r="R420" s="247"/>
      <c r="S420" s="247"/>
      <c r="T420" s="247"/>
      <c r="U420" s="247"/>
      <c r="V420" s="247"/>
      <c r="W420" s="247"/>
      <c r="X420" s="247"/>
      <c r="Y420" s="247"/>
      <c r="Z420" s="247"/>
      <c r="AA420" s="247"/>
      <c r="AB420" s="247"/>
      <c r="AC420" s="247"/>
      <c r="AD420" s="247"/>
      <c r="AE420" s="247"/>
      <c r="AF420" s="247"/>
      <c r="AG420" s="247"/>
      <c r="AH420" s="247"/>
      <c r="AI420" s="247"/>
      <c r="AJ420" s="247"/>
      <c r="AK420" s="247"/>
      <c r="AL420" s="247"/>
      <c r="AM420" s="247"/>
      <c r="AN420" s="247"/>
      <c r="AO420" s="247"/>
      <c r="AP420" s="247"/>
      <c r="AQ420" s="247"/>
      <c r="AR420" s="247"/>
      <c r="AS420" s="247"/>
      <c r="AT420" s="247"/>
      <c r="AU420" s="261"/>
    </row>
    <row r="421" spans="1:47" ht="60" customHeight="1" x14ac:dyDescent="0.35">
      <c r="A421" s="257" t="s">
        <v>6595</v>
      </c>
      <c r="B421" s="235" t="s">
        <v>6677</v>
      </c>
      <c r="C421" s="236" t="s">
        <v>6699</v>
      </c>
      <c r="D421" s="239" t="s">
        <v>6700</v>
      </c>
      <c r="E421" s="240" t="s">
        <v>6131</v>
      </c>
      <c r="F421" s="243" t="s">
        <v>6690</v>
      </c>
      <c r="G421" s="246" t="str">
        <f>IF(COUNTIF(H421:AU421,"&lt;&gt;")=0,"",SUMPRODUCT(((Recommendations[ImplStatus]="Implemented")+(Recommendations[ImplStatus]="Compensated"))*ISNUMBER(MATCH(Recommendations[Id],H421:AU421,0)))/COUNTIF(H421:AU421,"&lt;&gt;"))</f>
        <v/>
      </c>
      <c r="H421" s="247"/>
      <c r="I421" s="247"/>
      <c r="J421" s="247"/>
      <c r="K421" s="247"/>
      <c r="L421" s="247"/>
      <c r="M421" s="247"/>
      <c r="N421" s="247"/>
      <c r="O421" s="247"/>
      <c r="P421" s="247"/>
      <c r="Q421" s="247"/>
      <c r="R421" s="247"/>
      <c r="S421" s="247"/>
      <c r="T421" s="247"/>
      <c r="U421" s="247"/>
      <c r="V421" s="247"/>
      <c r="W421" s="247"/>
      <c r="X421" s="247"/>
      <c r="Y421" s="247"/>
      <c r="Z421" s="247"/>
      <c r="AA421" s="247"/>
      <c r="AB421" s="247"/>
      <c r="AC421" s="247"/>
      <c r="AD421" s="247"/>
      <c r="AE421" s="247"/>
      <c r="AF421" s="247"/>
      <c r="AG421" s="247"/>
      <c r="AH421" s="247"/>
      <c r="AI421" s="247"/>
      <c r="AJ421" s="247"/>
      <c r="AK421" s="247"/>
      <c r="AL421" s="247"/>
      <c r="AM421" s="247"/>
      <c r="AN421" s="247"/>
      <c r="AO421" s="247"/>
      <c r="AP421" s="247"/>
      <c r="AQ421" s="247"/>
      <c r="AR421" s="247"/>
      <c r="AS421" s="247"/>
      <c r="AT421" s="247"/>
      <c r="AU421" s="261"/>
    </row>
    <row r="422" spans="1:47" ht="60" customHeight="1" x14ac:dyDescent="0.35">
      <c r="A422" s="257" t="s">
        <v>6595</v>
      </c>
      <c r="B422" s="235" t="s">
        <v>6677</v>
      </c>
      <c r="C422" s="236" t="s">
        <v>6701</v>
      </c>
      <c r="D422" s="239" t="s">
        <v>6702</v>
      </c>
      <c r="E422" s="240" t="s">
        <v>5881</v>
      </c>
      <c r="F422" s="243" t="s">
        <v>6690</v>
      </c>
      <c r="G422" s="246" t="str">
        <f>IF(COUNTIF(H422:AU422,"&lt;&gt;")=0,"",SUMPRODUCT(((Recommendations[ImplStatus]="Implemented")+(Recommendations[ImplStatus]="Compensated"))*ISNUMBER(MATCH(Recommendations[Id],H422:AU422,0)))/COUNTIF(H422:AU422,"&lt;&gt;"))</f>
        <v/>
      </c>
      <c r="H422" s="247"/>
      <c r="I422" s="247"/>
      <c r="J422" s="247"/>
      <c r="K422" s="247"/>
      <c r="L422" s="247"/>
      <c r="M422" s="247"/>
      <c r="N422" s="247"/>
      <c r="O422" s="247"/>
      <c r="P422" s="247"/>
      <c r="Q422" s="247"/>
      <c r="R422" s="247"/>
      <c r="S422" s="247"/>
      <c r="T422" s="247"/>
      <c r="U422" s="247"/>
      <c r="V422" s="247"/>
      <c r="W422" s="247"/>
      <c r="X422" s="247"/>
      <c r="Y422" s="247"/>
      <c r="Z422" s="247"/>
      <c r="AA422" s="247"/>
      <c r="AB422" s="247"/>
      <c r="AC422" s="247"/>
      <c r="AD422" s="247"/>
      <c r="AE422" s="247"/>
      <c r="AF422" s="247"/>
      <c r="AG422" s="247"/>
      <c r="AH422" s="247"/>
      <c r="AI422" s="247"/>
      <c r="AJ422" s="247"/>
      <c r="AK422" s="247"/>
      <c r="AL422" s="247"/>
      <c r="AM422" s="247"/>
      <c r="AN422" s="247"/>
      <c r="AO422" s="247"/>
      <c r="AP422" s="247"/>
      <c r="AQ422" s="247"/>
      <c r="AR422" s="247"/>
      <c r="AS422" s="247"/>
      <c r="AT422" s="247"/>
      <c r="AU422" s="261"/>
    </row>
    <row r="423" spans="1:47" ht="60" customHeight="1" x14ac:dyDescent="0.35">
      <c r="A423" s="257" t="s">
        <v>6595</v>
      </c>
      <c r="B423" s="235" t="s">
        <v>6677</v>
      </c>
      <c r="C423" s="236" t="s">
        <v>6703</v>
      </c>
      <c r="D423" s="239" t="s">
        <v>6704</v>
      </c>
      <c r="E423" s="240" t="s">
        <v>5881</v>
      </c>
      <c r="F423" s="243" t="s">
        <v>6690</v>
      </c>
      <c r="G423" s="246" t="str">
        <f>IF(COUNTIF(H423:AU423,"&lt;&gt;")=0,"",SUMPRODUCT(((Recommendations[ImplStatus]="Implemented")+(Recommendations[ImplStatus]="Compensated"))*ISNUMBER(MATCH(Recommendations[Id],H423:AU423,0)))/COUNTIF(H423:AU423,"&lt;&gt;"))</f>
        <v/>
      </c>
      <c r="H423" s="247"/>
      <c r="I423" s="247"/>
      <c r="J423" s="247"/>
      <c r="K423" s="247"/>
      <c r="L423" s="247"/>
      <c r="M423" s="247"/>
      <c r="N423" s="247"/>
      <c r="O423" s="247"/>
      <c r="P423" s="247"/>
      <c r="Q423" s="247"/>
      <c r="R423" s="247"/>
      <c r="S423" s="247"/>
      <c r="T423" s="247"/>
      <c r="U423" s="247"/>
      <c r="V423" s="247"/>
      <c r="W423" s="247"/>
      <c r="X423" s="247"/>
      <c r="Y423" s="247"/>
      <c r="Z423" s="247"/>
      <c r="AA423" s="247"/>
      <c r="AB423" s="247"/>
      <c r="AC423" s="247"/>
      <c r="AD423" s="247"/>
      <c r="AE423" s="247"/>
      <c r="AF423" s="247"/>
      <c r="AG423" s="247"/>
      <c r="AH423" s="247"/>
      <c r="AI423" s="247"/>
      <c r="AJ423" s="247"/>
      <c r="AK423" s="247"/>
      <c r="AL423" s="247"/>
      <c r="AM423" s="247"/>
      <c r="AN423" s="247"/>
      <c r="AO423" s="247"/>
      <c r="AP423" s="247"/>
      <c r="AQ423" s="247"/>
      <c r="AR423" s="247"/>
      <c r="AS423" s="247"/>
      <c r="AT423" s="247"/>
      <c r="AU423" s="261"/>
    </row>
    <row r="424" spans="1:47" ht="60" customHeight="1" outlineLevel="1" x14ac:dyDescent="0.35">
      <c r="A424" s="255" t="s">
        <v>6705</v>
      </c>
      <c r="B424" s="233"/>
      <c r="C424" s="233"/>
      <c r="D424" s="237"/>
      <c r="E424" s="233"/>
      <c r="F424" s="241"/>
      <c r="G424" s="244" t="str">
        <f>IF(COUNTIF(H424:AU424,"&lt;&gt;")=0,"",SUMPRODUCT(((Recommendations[ImplStatus]="Implemented")+(Recommendations[ImplStatus]="Compensated"))*ISNUMBER(MATCH(Recommendations[Id],H424:AU424,0)))/COUNTIF(H424:AU424,"&lt;&gt;"))</f>
        <v/>
      </c>
      <c r="H424" s="241"/>
      <c r="I424" s="241"/>
      <c r="J424" s="241"/>
      <c r="K424" s="241"/>
      <c r="L424" s="241"/>
      <c r="M424" s="241"/>
      <c r="N424" s="241"/>
      <c r="O424" s="241"/>
      <c r="P424" s="241"/>
      <c r="Q424" s="241"/>
      <c r="R424" s="241"/>
      <c r="S424" s="241"/>
      <c r="T424" s="241"/>
      <c r="U424" s="241"/>
      <c r="V424" s="241"/>
      <c r="W424" s="241"/>
      <c r="X424" s="241"/>
      <c r="Y424" s="241"/>
      <c r="Z424" s="241"/>
      <c r="AA424" s="241"/>
      <c r="AB424" s="241"/>
      <c r="AC424" s="241"/>
      <c r="AD424" s="241"/>
      <c r="AE424" s="241"/>
      <c r="AF424" s="241"/>
      <c r="AG424" s="241"/>
      <c r="AH424" s="241"/>
      <c r="AI424" s="241"/>
      <c r="AJ424" s="241"/>
      <c r="AK424" s="241"/>
      <c r="AL424" s="241"/>
      <c r="AM424" s="241"/>
      <c r="AN424" s="241"/>
      <c r="AO424" s="241"/>
      <c r="AP424" s="241"/>
      <c r="AQ424" s="241"/>
      <c r="AR424" s="241"/>
      <c r="AS424" s="241"/>
      <c r="AT424" s="241"/>
      <c r="AU424" s="259"/>
    </row>
    <row r="425" spans="1:47" ht="60" customHeight="1" outlineLevel="2" x14ac:dyDescent="0.35">
      <c r="A425" s="256" t="s">
        <v>6705</v>
      </c>
      <c r="B425" s="234" t="s">
        <v>6706</v>
      </c>
      <c r="C425" s="234"/>
      <c r="D425" s="238"/>
      <c r="E425" s="234"/>
      <c r="F425" s="242"/>
      <c r="G425" s="245" t="str">
        <f>IF(COUNTIF(H425:AU425,"&lt;&gt;")=0,"",SUMPRODUCT(((Recommendations[ImplStatus]="Implemented")+(Recommendations[ImplStatus]="Compensated"))*ISNUMBER(MATCH(Recommendations[Id],H425:AU425,0)))/COUNTIF(H425:AU425,"&lt;&gt;"))</f>
        <v/>
      </c>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60"/>
    </row>
    <row r="426" spans="1:47" ht="60" customHeight="1" x14ac:dyDescent="0.35">
      <c r="A426" s="257" t="s">
        <v>6705</v>
      </c>
      <c r="B426" s="235" t="s">
        <v>6706</v>
      </c>
      <c r="C426" s="236" t="s">
        <v>6707</v>
      </c>
      <c r="D426" s="239" t="s">
        <v>6708</v>
      </c>
      <c r="E426" s="240" t="s">
        <v>5852</v>
      </c>
      <c r="F426" s="243" t="s">
        <v>6669</v>
      </c>
      <c r="G426" s="246" t="str">
        <f>IF(COUNTIF(H426:AU426,"&lt;&gt;")=0,"",SUMPRODUCT(((Recommendations[ImplStatus]="Implemented")+(Recommendations[ImplStatus]="Compensated"))*ISNUMBER(MATCH(Recommendations[Id],H426:AU426,0)))/COUNTIF(H426:AU426,"&lt;&gt;"))</f>
        <v/>
      </c>
      <c r="H426" s="247"/>
      <c r="I426" s="247"/>
      <c r="J426" s="247"/>
      <c r="K426" s="247"/>
      <c r="L426" s="247"/>
      <c r="M426" s="247"/>
      <c r="N426" s="247"/>
      <c r="O426" s="247"/>
      <c r="P426" s="247"/>
      <c r="Q426" s="247"/>
      <c r="R426" s="247"/>
      <c r="S426" s="247"/>
      <c r="T426" s="247"/>
      <c r="U426" s="247"/>
      <c r="V426" s="247"/>
      <c r="W426" s="247"/>
      <c r="X426" s="247"/>
      <c r="Y426" s="247"/>
      <c r="Z426" s="247"/>
      <c r="AA426" s="247"/>
      <c r="AB426" s="247"/>
      <c r="AC426" s="247"/>
      <c r="AD426" s="247"/>
      <c r="AE426" s="247"/>
      <c r="AF426" s="247"/>
      <c r="AG426" s="247"/>
      <c r="AH426" s="247"/>
      <c r="AI426" s="247"/>
      <c r="AJ426" s="247"/>
      <c r="AK426" s="247"/>
      <c r="AL426" s="247"/>
      <c r="AM426" s="247"/>
      <c r="AN426" s="247"/>
      <c r="AO426" s="247"/>
      <c r="AP426" s="247"/>
      <c r="AQ426" s="247"/>
      <c r="AR426" s="247"/>
      <c r="AS426" s="247"/>
      <c r="AT426" s="247"/>
      <c r="AU426" s="261"/>
    </row>
    <row r="427" spans="1:47" ht="60" customHeight="1" x14ac:dyDescent="0.35">
      <c r="A427" s="257" t="s">
        <v>6705</v>
      </c>
      <c r="B427" s="235" t="s">
        <v>6706</v>
      </c>
      <c r="C427" s="236" t="s">
        <v>6709</v>
      </c>
      <c r="D427" s="239" t="s">
        <v>6710</v>
      </c>
      <c r="E427" s="240" t="s">
        <v>5852</v>
      </c>
      <c r="F427" s="243" t="s">
        <v>6669</v>
      </c>
      <c r="G427" s="246" t="str">
        <f>IF(COUNTIF(H427:AU427,"&lt;&gt;")=0,"",SUMPRODUCT(((Recommendations[ImplStatus]="Implemented")+(Recommendations[ImplStatus]="Compensated"))*ISNUMBER(MATCH(Recommendations[Id],H427:AU427,0)))/COUNTIF(H427:AU427,"&lt;&gt;"))</f>
        <v/>
      </c>
      <c r="H427" s="247"/>
      <c r="I427" s="247"/>
      <c r="J427" s="247"/>
      <c r="K427" s="247"/>
      <c r="L427" s="247"/>
      <c r="M427" s="247"/>
      <c r="N427" s="247"/>
      <c r="O427" s="247"/>
      <c r="P427" s="247"/>
      <c r="Q427" s="247"/>
      <c r="R427" s="247"/>
      <c r="S427" s="247"/>
      <c r="T427" s="247"/>
      <c r="U427" s="247"/>
      <c r="V427" s="247"/>
      <c r="W427" s="247"/>
      <c r="X427" s="247"/>
      <c r="Y427" s="247"/>
      <c r="Z427" s="247"/>
      <c r="AA427" s="247"/>
      <c r="AB427" s="247"/>
      <c r="AC427" s="247"/>
      <c r="AD427" s="247"/>
      <c r="AE427" s="247"/>
      <c r="AF427" s="247"/>
      <c r="AG427" s="247"/>
      <c r="AH427" s="247"/>
      <c r="AI427" s="247"/>
      <c r="AJ427" s="247"/>
      <c r="AK427" s="247"/>
      <c r="AL427" s="247"/>
      <c r="AM427" s="247"/>
      <c r="AN427" s="247"/>
      <c r="AO427" s="247"/>
      <c r="AP427" s="247"/>
      <c r="AQ427" s="247"/>
      <c r="AR427" s="247"/>
      <c r="AS427" s="247"/>
      <c r="AT427" s="247"/>
      <c r="AU427" s="261"/>
    </row>
    <row r="428" spans="1:47" ht="60" customHeight="1" x14ac:dyDescent="0.35">
      <c r="A428" s="257" t="s">
        <v>6705</v>
      </c>
      <c r="B428" s="235" t="s">
        <v>6706</v>
      </c>
      <c r="C428" s="236" t="s">
        <v>6711</v>
      </c>
      <c r="D428" s="239" t="s">
        <v>6712</v>
      </c>
      <c r="E428" s="240" t="s">
        <v>6131</v>
      </c>
      <c r="F428" s="243" t="s">
        <v>6669</v>
      </c>
      <c r="G428" s="246" t="str">
        <f>IF(COUNTIF(H428:AU428,"&lt;&gt;")=0,"",SUMPRODUCT(((Recommendations[ImplStatus]="Implemented")+(Recommendations[ImplStatus]="Compensated"))*ISNUMBER(MATCH(Recommendations[Id],H428:AU428,0)))/COUNTIF(H428:AU428,"&lt;&gt;"))</f>
        <v/>
      </c>
      <c r="H428" s="247"/>
      <c r="I428" s="247"/>
      <c r="J428" s="247"/>
      <c r="K428" s="247"/>
      <c r="L428" s="247"/>
      <c r="M428" s="247"/>
      <c r="N428" s="247"/>
      <c r="O428" s="247"/>
      <c r="P428" s="247"/>
      <c r="Q428" s="247"/>
      <c r="R428" s="247"/>
      <c r="S428" s="247"/>
      <c r="T428" s="247"/>
      <c r="U428" s="247"/>
      <c r="V428" s="247"/>
      <c r="W428" s="247"/>
      <c r="X428" s="247"/>
      <c r="Y428" s="247"/>
      <c r="Z428" s="247"/>
      <c r="AA428" s="247"/>
      <c r="AB428" s="247"/>
      <c r="AC428" s="247"/>
      <c r="AD428" s="247"/>
      <c r="AE428" s="247"/>
      <c r="AF428" s="247"/>
      <c r="AG428" s="247"/>
      <c r="AH428" s="247"/>
      <c r="AI428" s="247"/>
      <c r="AJ428" s="247"/>
      <c r="AK428" s="247"/>
      <c r="AL428" s="247"/>
      <c r="AM428" s="247"/>
      <c r="AN428" s="247"/>
      <c r="AO428" s="247"/>
      <c r="AP428" s="247"/>
      <c r="AQ428" s="247"/>
      <c r="AR428" s="247"/>
      <c r="AS428" s="247"/>
      <c r="AT428" s="247"/>
      <c r="AU428" s="261"/>
    </row>
    <row r="429" spans="1:47" ht="60" customHeight="1" x14ac:dyDescent="0.35">
      <c r="A429" s="257" t="s">
        <v>6705</v>
      </c>
      <c r="B429" s="235" t="s">
        <v>6706</v>
      </c>
      <c r="C429" s="236" t="s">
        <v>6713</v>
      </c>
      <c r="D429" s="239" t="s">
        <v>6714</v>
      </c>
      <c r="E429" s="240" t="s">
        <v>5881</v>
      </c>
      <c r="F429" s="243" t="s">
        <v>6669</v>
      </c>
      <c r="G429" s="246" t="str">
        <f>IF(COUNTIF(H429:AU429,"&lt;&gt;")=0,"",SUMPRODUCT(((Recommendations[ImplStatus]="Implemented")+(Recommendations[ImplStatus]="Compensated"))*ISNUMBER(MATCH(Recommendations[Id],H429:AU429,0)))/COUNTIF(H429:AU429,"&lt;&gt;"))</f>
        <v/>
      </c>
      <c r="H429" s="247"/>
      <c r="I429" s="247"/>
      <c r="J429" s="247"/>
      <c r="K429" s="247"/>
      <c r="L429" s="247"/>
      <c r="M429" s="247"/>
      <c r="N429" s="247"/>
      <c r="O429" s="247"/>
      <c r="P429" s="247"/>
      <c r="Q429" s="247"/>
      <c r="R429" s="247"/>
      <c r="S429" s="247"/>
      <c r="T429" s="247"/>
      <c r="U429" s="247"/>
      <c r="V429" s="247"/>
      <c r="W429" s="247"/>
      <c r="X429" s="247"/>
      <c r="Y429" s="247"/>
      <c r="Z429" s="247"/>
      <c r="AA429" s="247"/>
      <c r="AB429" s="247"/>
      <c r="AC429" s="247"/>
      <c r="AD429" s="247"/>
      <c r="AE429" s="247"/>
      <c r="AF429" s="247"/>
      <c r="AG429" s="247"/>
      <c r="AH429" s="247"/>
      <c r="AI429" s="247"/>
      <c r="AJ429" s="247"/>
      <c r="AK429" s="247"/>
      <c r="AL429" s="247"/>
      <c r="AM429" s="247"/>
      <c r="AN429" s="247"/>
      <c r="AO429" s="247"/>
      <c r="AP429" s="247"/>
      <c r="AQ429" s="247"/>
      <c r="AR429" s="247"/>
      <c r="AS429" s="247"/>
      <c r="AT429" s="247"/>
      <c r="AU429" s="261"/>
    </row>
    <row r="430" spans="1:47" ht="60" customHeight="1" x14ac:dyDescent="0.35">
      <c r="A430" s="257" t="s">
        <v>6705</v>
      </c>
      <c r="B430" s="235" t="s">
        <v>6706</v>
      </c>
      <c r="C430" s="236" t="s">
        <v>6715</v>
      </c>
      <c r="D430" s="239" t="s">
        <v>6716</v>
      </c>
      <c r="E430" s="240" t="s">
        <v>5881</v>
      </c>
      <c r="F430" s="243" t="s">
        <v>6669</v>
      </c>
      <c r="G430" s="246" t="str">
        <f>IF(COUNTIF(H430:AU430,"&lt;&gt;")=0,"",SUMPRODUCT(((Recommendations[ImplStatus]="Implemented")+(Recommendations[ImplStatus]="Compensated"))*ISNUMBER(MATCH(Recommendations[Id],H430:AU430,0)))/COUNTIF(H430:AU430,"&lt;&gt;"))</f>
        <v/>
      </c>
      <c r="H430" s="247"/>
      <c r="I430" s="247"/>
      <c r="J430" s="247"/>
      <c r="K430" s="247"/>
      <c r="L430" s="247"/>
      <c r="M430" s="247"/>
      <c r="N430" s="247"/>
      <c r="O430" s="247"/>
      <c r="P430" s="247"/>
      <c r="Q430" s="247"/>
      <c r="R430" s="247"/>
      <c r="S430" s="247"/>
      <c r="T430" s="247"/>
      <c r="U430" s="247"/>
      <c r="V430" s="247"/>
      <c r="W430" s="247"/>
      <c r="X430" s="247"/>
      <c r="Y430" s="247"/>
      <c r="Z430" s="247"/>
      <c r="AA430" s="247"/>
      <c r="AB430" s="247"/>
      <c r="AC430" s="247"/>
      <c r="AD430" s="247"/>
      <c r="AE430" s="247"/>
      <c r="AF430" s="247"/>
      <c r="AG430" s="247"/>
      <c r="AH430" s="247"/>
      <c r="AI430" s="247"/>
      <c r="AJ430" s="247"/>
      <c r="AK430" s="247"/>
      <c r="AL430" s="247"/>
      <c r="AM430" s="247"/>
      <c r="AN430" s="247"/>
      <c r="AO430" s="247"/>
      <c r="AP430" s="247"/>
      <c r="AQ430" s="247"/>
      <c r="AR430" s="247"/>
      <c r="AS430" s="247"/>
      <c r="AT430" s="247"/>
      <c r="AU430" s="261"/>
    </row>
    <row r="431" spans="1:47" ht="60" customHeight="1" x14ac:dyDescent="0.35">
      <c r="A431" s="257" t="s">
        <v>6705</v>
      </c>
      <c r="B431" s="235" t="s">
        <v>6706</v>
      </c>
      <c r="C431" s="236" t="s">
        <v>6717</v>
      </c>
      <c r="D431" s="239" t="s">
        <v>6718</v>
      </c>
      <c r="E431" s="240" t="s">
        <v>6131</v>
      </c>
      <c r="F431" s="243" t="s">
        <v>6669</v>
      </c>
      <c r="G431" s="246" t="str">
        <f>IF(COUNTIF(H431:AU431,"&lt;&gt;")=0,"",SUMPRODUCT(((Recommendations[ImplStatus]="Implemented")+(Recommendations[ImplStatus]="Compensated"))*ISNUMBER(MATCH(Recommendations[Id],H431:AU431,0)))/COUNTIF(H431:AU431,"&lt;&gt;"))</f>
        <v/>
      </c>
      <c r="H431" s="247"/>
      <c r="I431" s="247"/>
      <c r="J431" s="247"/>
      <c r="K431" s="247"/>
      <c r="L431" s="247"/>
      <c r="M431" s="247"/>
      <c r="N431" s="247"/>
      <c r="O431" s="247"/>
      <c r="P431" s="247"/>
      <c r="Q431" s="247"/>
      <c r="R431" s="247"/>
      <c r="S431" s="247"/>
      <c r="T431" s="247"/>
      <c r="U431" s="247"/>
      <c r="V431" s="247"/>
      <c r="W431" s="247"/>
      <c r="X431" s="247"/>
      <c r="Y431" s="247"/>
      <c r="Z431" s="247"/>
      <c r="AA431" s="247"/>
      <c r="AB431" s="247"/>
      <c r="AC431" s="247"/>
      <c r="AD431" s="247"/>
      <c r="AE431" s="247"/>
      <c r="AF431" s="247"/>
      <c r="AG431" s="247"/>
      <c r="AH431" s="247"/>
      <c r="AI431" s="247"/>
      <c r="AJ431" s="247"/>
      <c r="AK431" s="247"/>
      <c r="AL431" s="247"/>
      <c r="AM431" s="247"/>
      <c r="AN431" s="247"/>
      <c r="AO431" s="247"/>
      <c r="AP431" s="247"/>
      <c r="AQ431" s="247"/>
      <c r="AR431" s="247"/>
      <c r="AS431" s="247"/>
      <c r="AT431" s="247"/>
      <c r="AU431" s="261"/>
    </row>
    <row r="432" spans="1:47" ht="60" customHeight="1" x14ac:dyDescent="0.35">
      <c r="A432" s="257" t="s">
        <v>6705</v>
      </c>
      <c r="B432" s="235" t="s">
        <v>6706</v>
      </c>
      <c r="C432" s="236" t="s">
        <v>6719</v>
      </c>
      <c r="D432" s="239" t="s">
        <v>6720</v>
      </c>
      <c r="E432" s="240" t="s">
        <v>6131</v>
      </c>
      <c r="F432" s="243" t="s">
        <v>6669</v>
      </c>
      <c r="G432" s="246" t="str">
        <f>IF(COUNTIF(H432:AU432,"&lt;&gt;")=0,"",SUMPRODUCT(((Recommendations[ImplStatus]="Implemented")+(Recommendations[ImplStatus]="Compensated"))*ISNUMBER(MATCH(Recommendations[Id],H432:AU432,0)))/COUNTIF(H432:AU432,"&lt;&gt;"))</f>
        <v/>
      </c>
      <c r="H432" s="247"/>
      <c r="I432" s="247"/>
      <c r="J432" s="247"/>
      <c r="K432" s="247"/>
      <c r="L432" s="247"/>
      <c r="M432" s="247"/>
      <c r="N432" s="247"/>
      <c r="O432" s="247"/>
      <c r="P432" s="247"/>
      <c r="Q432" s="247"/>
      <c r="R432" s="247"/>
      <c r="S432" s="247"/>
      <c r="T432" s="247"/>
      <c r="U432" s="247"/>
      <c r="V432" s="247"/>
      <c r="W432" s="247"/>
      <c r="X432" s="247"/>
      <c r="Y432" s="247"/>
      <c r="Z432" s="247"/>
      <c r="AA432" s="247"/>
      <c r="AB432" s="247"/>
      <c r="AC432" s="247"/>
      <c r="AD432" s="247"/>
      <c r="AE432" s="247"/>
      <c r="AF432" s="247"/>
      <c r="AG432" s="247"/>
      <c r="AH432" s="247"/>
      <c r="AI432" s="247"/>
      <c r="AJ432" s="247"/>
      <c r="AK432" s="247"/>
      <c r="AL432" s="247"/>
      <c r="AM432" s="247"/>
      <c r="AN432" s="247"/>
      <c r="AO432" s="247"/>
      <c r="AP432" s="247"/>
      <c r="AQ432" s="247"/>
      <c r="AR432" s="247"/>
      <c r="AS432" s="247"/>
      <c r="AT432" s="247"/>
      <c r="AU432" s="261"/>
    </row>
    <row r="433" spans="1:47" ht="60" customHeight="1" x14ac:dyDescent="0.35">
      <c r="A433" s="257" t="s">
        <v>6705</v>
      </c>
      <c r="B433" s="235" t="s">
        <v>6706</v>
      </c>
      <c r="C433" s="236" t="s">
        <v>6721</v>
      </c>
      <c r="D433" s="239" t="s">
        <v>6722</v>
      </c>
      <c r="E433" s="240" t="s">
        <v>5948</v>
      </c>
      <c r="F433" s="243" t="s">
        <v>6669</v>
      </c>
      <c r="G433" s="246" t="str">
        <f>IF(COUNTIF(H433:AU433,"&lt;&gt;")=0,"",SUMPRODUCT(((Recommendations[ImplStatus]="Implemented")+(Recommendations[ImplStatus]="Compensated"))*ISNUMBER(MATCH(Recommendations[Id],H433:AU433,0)))/COUNTIF(H433:AU433,"&lt;&gt;"))</f>
        <v/>
      </c>
      <c r="H433" s="247"/>
      <c r="I433" s="247"/>
      <c r="J433" s="247"/>
      <c r="K433" s="247"/>
      <c r="L433" s="247"/>
      <c r="M433" s="247"/>
      <c r="N433" s="247"/>
      <c r="O433" s="247"/>
      <c r="P433" s="247"/>
      <c r="Q433" s="247"/>
      <c r="R433" s="247"/>
      <c r="S433" s="247"/>
      <c r="T433" s="247"/>
      <c r="U433" s="247"/>
      <c r="V433" s="247"/>
      <c r="W433" s="247"/>
      <c r="X433" s="247"/>
      <c r="Y433" s="247"/>
      <c r="Z433" s="247"/>
      <c r="AA433" s="247"/>
      <c r="AB433" s="247"/>
      <c r="AC433" s="247"/>
      <c r="AD433" s="247"/>
      <c r="AE433" s="247"/>
      <c r="AF433" s="247"/>
      <c r="AG433" s="247"/>
      <c r="AH433" s="247"/>
      <c r="AI433" s="247"/>
      <c r="AJ433" s="247"/>
      <c r="AK433" s="247"/>
      <c r="AL433" s="247"/>
      <c r="AM433" s="247"/>
      <c r="AN433" s="247"/>
      <c r="AO433" s="247"/>
      <c r="AP433" s="247"/>
      <c r="AQ433" s="247"/>
      <c r="AR433" s="247"/>
      <c r="AS433" s="247"/>
      <c r="AT433" s="247"/>
      <c r="AU433" s="261"/>
    </row>
    <row r="434" spans="1:47" ht="60" customHeight="1" x14ac:dyDescent="0.35">
      <c r="A434" s="257" t="s">
        <v>6705</v>
      </c>
      <c r="B434" s="235" t="s">
        <v>6706</v>
      </c>
      <c r="C434" s="236" t="s">
        <v>6723</v>
      </c>
      <c r="D434" s="239" t="s">
        <v>6724</v>
      </c>
      <c r="E434" s="240" t="s">
        <v>5948</v>
      </c>
      <c r="F434" s="243" t="s">
        <v>6669</v>
      </c>
      <c r="G434" s="246" t="str">
        <f>IF(COUNTIF(H434:AU434,"&lt;&gt;")=0,"",SUMPRODUCT(((Recommendations[ImplStatus]="Implemented")+(Recommendations[ImplStatus]="Compensated"))*ISNUMBER(MATCH(Recommendations[Id],H434:AU434,0)))/COUNTIF(H434:AU434,"&lt;&gt;"))</f>
        <v/>
      </c>
      <c r="H434" s="247"/>
      <c r="I434" s="247"/>
      <c r="J434" s="247"/>
      <c r="K434" s="247"/>
      <c r="L434" s="247"/>
      <c r="M434" s="247"/>
      <c r="N434" s="247"/>
      <c r="O434" s="247"/>
      <c r="P434" s="247"/>
      <c r="Q434" s="247"/>
      <c r="R434" s="247"/>
      <c r="S434" s="247"/>
      <c r="T434" s="247"/>
      <c r="U434" s="247"/>
      <c r="V434" s="247"/>
      <c r="W434" s="247"/>
      <c r="X434" s="247"/>
      <c r="Y434" s="247"/>
      <c r="Z434" s="247"/>
      <c r="AA434" s="247"/>
      <c r="AB434" s="247"/>
      <c r="AC434" s="247"/>
      <c r="AD434" s="247"/>
      <c r="AE434" s="247"/>
      <c r="AF434" s="247"/>
      <c r="AG434" s="247"/>
      <c r="AH434" s="247"/>
      <c r="AI434" s="247"/>
      <c r="AJ434" s="247"/>
      <c r="AK434" s="247"/>
      <c r="AL434" s="247"/>
      <c r="AM434" s="247"/>
      <c r="AN434" s="247"/>
      <c r="AO434" s="247"/>
      <c r="AP434" s="247"/>
      <c r="AQ434" s="247"/>
      <c r="AR434" s="247"/>
      <c r="AS434" s="247"/>
      <c r="AT434" s="247"/>
      <c r="AU434" s="261"/>
    </row>
    <row r="435" spans="1:47" ht="60" customHeight="1" x14ac:dyDescent="0.35">
      <c r="A435" s="257" t="s">
        <v>6705</v>
      </c>
      <c r="B435" s="235" t="s">
        <v>6706</v>
      </c>
      <c r="C435" s="236" t="s">
        <v>6725</v>
      </c>
      <c r="D435" s="239" t="s">
        <v>6726</v>
      </c>
      <c r="E435" s="240" t="s">
        <v>5881</v>
      </c>
      <c r="F435" s="243" t="s">
        <v>6669</v>
      </c>
      <c r="G435" s="246" t="str">
        <f>IF(COUNTIF(H435:AU435,"&lt;&gt;")=0,"",SUMPRODUCT(((Recommendations[ImplStatus]="Implemented")+(Recommendations[ImplStatus]="Compensated"))*ISNUMBER(MATCH(Recommendations[Id],H435:AU435,0)))/COUNTIF(H435:AU435,"&lt;&gt;"))</f>
        <v/>
      </c>
      <c r="H435" s="247"/>
      <c r="I435" s="247"/>
      <c r="J435" s="247"/>
      <c r="K435" s="247"/>
      <c r="L435" s="247"/>
      <c r="M435" s="247"/>
      <c r="N435" s="247"/>
      <c r="O435" s="247"/>
      <c r="P435" s="247"/>
      <c r="Q435" s="247"/>
      <c r="R435" s="247"/>
      <c r="S435" s="247"/>
      <c r="T435" s="247"/>
      <c r="U435" s="247"/>
      <c r="V435" s="247"/>
      <c r="W435" s="247"/>
      <c r="X435" s="247"/>
      <c r="Y435" s="247"/>
      <c r="Z435" s="247"/>
      <c r="AA435" s="247"/>
      <c r="AB435" s="247"/>
      <c r="AC435" s="247"/>
      <c r="AD435" s="247"/>
      <c r="AE435" s="247"/>
      <c r="AF435" s="247"/>
      <c r="AG435" s="247"/>
      <c r="AH435" s="247"/>
      <c r="AI435" s="247"/>
      <c r="AJ435" s="247"/>
      <c r="AK435" s="247"/>
      <c r="AL435" s="247"/>
      <c r="AM435" s="247"/>
      <c r="AN435" s="247"/>
      <c r="AO435" s="247"/>
      <c r="AP435" s="247"/>
      <c r="AQ435" s="247"/>
      <c r="AR435" s="247"/>
      <c r="AS435" s="247"/>
      <c r="AT435" s="247"/>
      <c r="AU435" s="261"/>
    </row>
    <row r="436" spans="1:47" ht="60" customHeight="1" x14ac:dyDescent="0.35">
      <c r="A436" s="257" t="s">
        <v>6705</v>
      </c>
      <c r="B436" s="235" t="s">
        <v>6706</v>
      </c>
      <c r="C436" s="236" t="s">
        <v>6727</v>
      </c>
      <c r="D436" s="239" t="s">
        <v>6728</v>
      </c>
      <c r="E436" s="240" t="s">
        <v>5948</v>
      </c>
      <c r="F436" s="243" t="s">
        <v>6669</v>
      </c>
      <c r="G436" s="246" t="str">
        <f>IF(COUNTIF(H436:AU436,"&lt;&gt;")=0,"",SUMPRODUCT(((Recommendations[ImplStatus]="Implemented")+(Recommendations[ImplStatus]="Compensated"))*ISNUMBER(MATCH(Recommendations[Id],H436:AU436,0)))/COUNTIF(H436:AU436,"&lt;&gt;"))</f>
        <v/>
      </c>
      <c r="H436" s="247"/>
      <c r="I436" s="247"/>
      <c r="J436" s="247"/>
      <c r="K436" s="247"/>
      <c r="L436" s="247"/>
      <c r="M436" s="247"/>
      <c r="N436" s="247"/>
      <c r="O436" s="247"/>
      <c r="P436" s="247"/>
      <c r="Q436" s="247"/>
      <c r="R436" s="247"/>
      <c r="S436" s="247"/>
      <c r="T436" s="247"/>
      <c r="U436" s="247"/>
      <c r="V436" s="247"/>
      <c r="W436" s="247"/>
      <c r="X436" s="247"/>
      <c r="Y436" s="247"/>
      <c r="Z436" s="247"/>
      <c r="AA436" s="247"/>
      <c r="AB436" s="247"/>
      <c r="AC436" s="247"/>
      <c r="AD436" s="247"/>
      <c r="AE436" s="247"/>
      <c r="AF436" s="247"/>
      <c r="AG436" s="247"/>
      <c r="AH436" s="247"/>
      <c r="AI436" s="247"/>
      <c r="AJ436" s="247"/>
      <c r="AK436" s="247"/>
      <c r="AL436" s="247"/>
      <c r="AM436" s="247"/>
      <c r="AN436" s="247"/>
      <c r="AO436" s="247"/>
      <c r="AP436" s="247"/>
      <c r="AQ436" s="247"/>
      <c r="AR436" s="247"/>
      <c r="AS436" s="247"/>
      <c r="AT436" s="247"/>
      <c r="AU436" s="261"/>
    </row>
    <row r="437" spans="1:47" ht="60" customHeight="1" x14ac:dyDescent="0.35">
      <c r="A437" s="257" t="s">
        <v>6705</v>
      </c>
      <c r="B437" s="235" t="s">
        <v>6706</v>
      </c>
      <c r="C437" s="236" t="s">
        <v>6729</v>
      </c>
      <c r="D437" s="239" t="s">
        <v>6730</v>
      </c>
      <c r="E437" s="240" t="s">
        <v>5881</v>
      </c>
      <c r="F437" s="243" t="s">
        <v>6669</v>
      </c>
      <c r="G437" s="246" t="str">
        <f>IF(COUNTIF(H437:AU437,"&lt;&gt;")=0,"",SUMPRODUCT(((Recommendations[ImplStatus]="Implemented")+(Recommendations[ImplStatus]="Compensated"))*ISNUMBER(MATCH(Recommendations[Id],H437:AU437,0)))/COUNTIF(H437:AU437,"&lt;&gt;"))</f>
        <v/>
      </c>
      <c r="H437" s="247"/>
      <c r="I437" s="247"/>
      <c r="J437" s="247"/>
      <c r="K437" s="247"/>
      <c r="L437" s="247"/>
      <c r="M437" s="247"/>
      <c r="N437" s="247"/>
      <c r="O437" s="247"/>
      <c r="P437" s="247"/>
      <c r="Q437" s="247"/>
      <c r="R437" s="247"/>
      <c r="S437" s="247"/>
      <c r="T437" s="247"/>
      <c r="U437" s="247"/>
      <c r="V437" s="247"/>
      <c r="W437" s="247"/>
      <c r="X437" s="247"/>
      <c r="Y437" s="247"/>
      <c r="Z437" s="247"/>
      <c r="AA437" s="247"/>
      <c r="AB437" s="247"/>
      <c r="AC437" s="247"/>
      <c r="AD437" s="247"/>
      <c r="AE437" s="247"/>
      <c r="AF437" s="247"/>
      <c r="AG437" s="247"/>
      <c r="AH437" s="247"/>
      <c r="AI437" s="247"/>
      <c r="AJ437" s="247"/>
      <c r="AK437" s="247"/>
      <c r="AL437" s="247"/>
      <c r="AM437" s="247"/>
      <c r="AN437" s="247"/>
      <c r="AO437" s="247"/>
      <c r="AP437" s="247"/>
      <c r="AQ437" s="247"/>
      <c r="AR437" s="247"/>
      <c r="AS437" s="247"/>
      <c r="AT437" s="247"/>
      <c r="AU437" s="261"/>
    </row>
    <row r="438" spans="1:47" ht="60" customHeight="1" outlineLevel="2" x14ac:dyDescent="0.35">
      <c r="A438" s="256" t="s">
        <v>6705</v>
      </c>
      <c r="B438" s="234" t="s">
        <v>6731</v>
      </c>
      <c r="C438" s="234"/>
      <c r="D438" s="238"/>
      <c r="E438" s="234"/>
      <c r="F438" s="242"/>
      <c r="G438" s="245" t="str">
        <f>IF(COUNTIF(H438:AU438,"&lt;&gt;")=0,"",SUMPRODUCT(((Recommendations[ImplStatus]="Implemented")+(Recommendations[ImplStatus]="Compensated"))*ISNUMBER(MATCH(Recommendations[Id],H438:AU438,0)))/COUNTIF(H438:AU438,"&lt;&gt;"))</f>
        <v/>
      </c>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60"/>
    </row>
    <row r="439" spans="1:47" ht="60" customHeight="1" x14ac:dyDescent="0.35">
      <c r="A439" s="257" t="s">
        <v>6705</v>
      </c>
      <c r="B439" s="235" t="s">
        <v>6731</v>
      </c>
      <c r="C439" s="236" t="s">
        <v>6732</v>
      </c>
      <c r="D439" s="239" t="s">
        <v>6733</v>
      </c>
      <c r="E439" s="240" t="s">
        <v>5852</v>
      </c>
      <c r="F439" s="243" t="s">
        <v>6734</v>
      </c>
      <c r="G439" s="246" t="str">
        <f>IF(COUNTIF(H439:AU439,"&lt;&gt;")=0,"",SUMPRODUCT(((Recommendations[ImplStatus]="Implemented")+(Recommendations[ImplStatus]="Compensated"))*ISNUMBER(MATCH(Recommendations[Id],H439:AU439,0)))/COUNTIF(H439:AU439,"&lt;&gt;"))</f>
        <v/>
      </c>
      <c r="H439" s="247"/>
      <c r="I439" s="247"/>
      <c r="J439" s="247"/>
      <c r="K439" s="247"/>
      <c r="L439" s="247"/>
      <c r="M439" s="247"/>
      <c r="N439" s="247"/>
      <c r="O439" s="247"/>
      <c r="P439" s="247"/>
      <c r="Q439" s="247"/>
      <c r="R439" s="247"/>
      <c r="S439" s="247"/>
      <c r="T439" s="247"/>
      <c r="U439" s="247"/>
      <c r="V439" s="247"/>
      <c r="W439" s="247"/>
      <c r="X439" s="247"/>
      <c r="Y439" s="247"/>
      <c r="Z439" s="247"/>
      <c r="AA439" s="247"/>
      <c r="AB439" s="247"/>
      <c r="AC439" s="247"/>
      <c r="AD439" s="247"/>
      <c r="AE439" s="247"/>
      <c r="AF439" s="247"/>
      <c r="AG439" s="247"/>
      <c r="AH439" s="247"/>
      <c r="AI439" s="247"/>
      <c r="AJ439" s="247"/>
      <c r="AK439" s="247"/>
      <c r="AL439" s="247"/>
      <c r="AM439" s="247"/>
      <c r="AN439" s="247"/>
      <c r="AO439" s="247"/>
      <c r="AP439" s="247"/>
      <c r="AQ439" s="247"/>
      <c r="AR439" s="247"/>
      <c r="AS439" s="247"/>
      <c r="AT439" s="247"/>
      <c r="AU439" s="261"/>
    </row>
    <row r="440" spans="1:47" ht="60" customHeight="1" x14ac:dyDescent="0.35">
      <c r="A440" s="257" t="s">
        <v>6705</v>
      </c>
      <c r="B440" s="235" t="s">
        <v>6731</v>
      </c>
      <c r="C440" s="236" t="s">
        <v>6735</v>
      </c>
      <c r="D440" s="239" t="s">
        <v>6736</v>
      </c>
      <c r="E440" s="240" t="s">
        <v>5852</v>
      </c>
      <c r="F440" s="243" t="s">
        <v>6734</v>
      </c>
      <c r="G440" s="246" t="str">
        <f>IF(COUNTIF(H440:AU440,"&lt;&gt;")=0,"",SUMPRODUCT(((Recommendations[ImplStatus]="Implemented")+(Recommendations[ImplStatus]="Compensated"))*ISNUMBER(MATCH(Recommendations[Id],H440:AU440,0)))/COUNTIF(H440:AU440,"&lt;&gt;"))</f>
        <v/>
      </c>
      <c r="H440" s="247"/>
      <c r="I440" s="247"/>
      <c r="J440" s="247"/>
      <c r="K440" s="247"/>
      <c r="L440" s="247"/>
      <c r="M440" s="247"/>
      <c r="N440" s="247"/>
      <c r="O440" s="247"/>
      <c r="P440" s="247"/>
      <c r="Q440" s="247"/>
      <c r="R440" s="247"/>
      <c r="S440" s="247"/>
      <c r="T440" s="247"/>
      <c r="U440" s="247"/>
      <c r="V440" s="247"/>
      <c r="W440" s="247"/>
      <c r="X440" s="247"/>
      <c r="Y440" s="247"/>
      <c r="Z440" s="247"/>
      <c r="AA440" s="247"/>
      <c r="AB440" s="247"/>
      <c r="AC440" s="247"/>
      <c r="AD440" s="247"/>
      <c r="AE440" s="247"/>
      <c r="AF440" s="247"/>
      <c r="AG440" s="247"/>
      <c r="AH440" s="247"/>
      <c r="AI440" s="247"/>
      <c r="AJ440" s="247"/>
      <c r="AK440" s="247"/>
      <c r="AL440" s="247"/>
      <c r="AM440" s="247"/>
      <c r="AN440" s="247"/>
      <c r="AO440" s="247"/>
      <c r="AP440" s="247"/>
      <c r="AQ440" s="247"/>
      <c r="AR440" s="247"/>
      <c r="AS440" s="247"/>
      <c r="AT440" s="247"/>
      <c r="AU440" s="261"/>
    </row>
    <row r="441" spans="1:47" ht="60" customHeight="1" x14ac:dyDescent="0.35">
      <c r="A441" s="257" t="s">
        <v>6705</v>
      </c>
      <c r="B441" s="235" t="s">
        <v>6731</v>
      </c>
      <c r="C441" s="236" t="s">
        <v>6737</v>
      </c>
      <c r="D441" s="239" t="s">
        <v>6738</v>
      </c>
      <c r="E441" s="240" t="s">
        <v>5852</v>
      </c>
      <c r="F441" s="243" t="s">
        <v>6734</v>
      </c>
      <c r="G441" s="246" t="str">
        <f>IF(COUNTIF(H441:AU441,"&lt;&gt;")=0,"",SUMPRODUCT(((Recommendations[ImplStatus]="Implemented")+(Recommendations[ImplStatus]="Compensated"))*ISNUMBER(MATCH(Recommendations[Id],H441:AU441,0)))/COUNTIF(H441:AU441,"&lt;&gt;"))</f>
        <v/>
      </c>
      <c r="H441" s="247"/>
      <c r="I441" s="247"/>
      <c r="J441" s="247"/>
      <c r="K441" s="247"/>
      <c r="L441" s="247"/>
      <c r="M441" s="247"/>
      <c r="N441" s="247"/>
      <c r="O441" s="247"/>
      <c r="P441" s="247"/>
      <c r="Q441" s="247"/>
      <c r="R441" s="247"/>
      <c r="S441" s="247"/>
      <c r="T441" s="247"/>
      <c r="U441" s="247"/>
      <c r="V441" s="247"/>
      <c r="W441" s="247"/>
      <c r="X441" s="247"/>
      <c r="Y441" s="247"/>
      <c r="Z441" s="247"/>
      <c r="AA441" s="247"/>
      <c r="AB441" s="247"/>
      <c r="AC441" s="247"/>
      <c r="AD441" s="247"/>
      <c r="AE441" s="247"/>
      <c r="AF441" s="247"/>
      <c r="AG441" s="247"/>
      <c r="AH441" s="247"/>
      <c r="AI441" s="247"/>
      <c r="AJ441" s="247"/>
      <c r="AK441" s="247"/>
      <c r="AL441" s="247"/>
      <c r="AM441" s="247"/>
      <c r="AN441" s="247"/>
      <c r="AO441" s="247"/>
      <c r="AP441" s="247"/>
      <c r="AQ441" s="247"/>
      <c r="AR441" s="247"/>
      <c r="AS441" s="247"/>
      <c r="AT441" s="247"/>
      <c r="AU441" s="261"/>
    </row>
    <row r="442" spans="1:47" ht="60" customHeight="1" x14ac:dyDescent="0.35">
      <c r="A442" s="257" t="s">
        <v>6705</v>
      </c>
      <c r="B442" s="235" t="s">
        <v>6731</v>
      </c>
      <c r="C442" s="236" t="s">
        <v>6739</v>
      </c>
      <c r="D442" s="239" t="s">
        <v>6740</v>
      </c>
      <c r="E442" s="240" t="s">
        <v>5852</v>
      </c>
      <c r="F442" s="243" t="s">
        <v>6734</v>
      </c>
      <c r="G442" s="246" t="str">
        <f>IF(COUNTIF(H442:AU442,"&lt;&gt;")=0,"",SUMPRODUCT(((Recommendations[ImplStatus]="Implemented")+(Recommendations[ImplStatus]="Compensated"))*ISNUMBER(MATCH(Recommendations[Id],H442:AU442,0)))/COUNTIF(H442:AU442,"&lt;&gt;"))</f>
        <v/>
      </c>
      <c r="H442" s="247"/>
      <c r="I442" s="247"/>
      <c r="J442" s="247"/>
      <c r="K442" s="247"/>
      <c r="L442" s="247"/>
      <c r="M442" s="247"/>
      <c r="N442" s="247"/>
      <c r="O442" s="247"/>
      <c r="P442" s="247"/>
      <c r="Q442" s="247"/>
      <c r="R442" s="247"/>
      <c r="S442" s="247"/>
      <c r="T442" s="247"/>
      <c r="U442" s="247"/>
      <c r="V442" s="247"/>
      <c r="W442" s="247"/>
      <c r="X442" s="247"/>
      <c r="Y442" s="247"/>
      <c r="Z442" s="247"/>
      <c r="AA442" s="247"/>
      <c r="AB442" s="247"/>
      <c r="AC442" s="247"/>
      <c r="AD442" s="247"/>
      <c r="AE442" s="247"/>
      <c r="AF442" s="247"/>
      <c r="AG442" s="247"/>
      <c r="AH442" s="247"/>
      <c r="AI442" s="247"/>
      <c r="AJ442" s="247"/>
      <c r="AK442" s="247"/>
      <c r="AL442" s="247"/>
      <c r="AM442" s="247"/>
      <c r="AN442" s="247"/>
      <c r="AO442" s="247"/>
      <c r="AP442" s="247"/>
      <c r="AQ442" s="247"/>
      <c r="AR442" s="247"/>
      <c r="AS442" s="247"/>
      <c r="AT442" s="247"/>
      <c r="AU442" s="261"/>
    </row>
    <row r="443" spans="1:47" ht="60" customHeight="1" x14ac:dyDescent="0.35">
      <c r="A443" s="257" t="s">
        <v>6705</v>
      </c>
      <c r="B443" s="235" t="s">
        <v>6731</v>
      </c>
      <c r="C443" s="236" t="s">
        <v>6741</v>
      </c>
      <c r="D443" s="239" t="s">
        <v>6742</v>
      </c>
      <c r="E443" s="240" t="s">
        <v>5881</v>
      </c>
      <c r="F443" s="243" t="s">
        <v>6734</v>
      </c>
      <c r="G443" s="246" t="str">
        <f>IF(COUNTIF(H443:AU443,"&lt;&gt;")=0,"",SUMPRODUCT(((Recommendations[ImplStatus]="Implemented")+(Recommendations[ImplStatus]="Compensated"))*ISNUMBER(MATCH(Recommendations[Id],H443:AU443,0)))/COUNTIF(H443:AU443,"&lt;&gt;"))</f>
        <v/>
      </c>
      <c r="H443" s="247"/>
      <c r="I443" s="247"/>
      <c r="J443" s="247"/>
      <c r="K443" s="247"/>
      <c r="L443" s="247"/>
      <c r="M443" s="247"/>
      <c r="N443" s="247"/>
      <c r="O443" s="247"/>
      <c r="P443" s="247"/>
      <c r="Q443" s="247"/>
      <c r="R443" s="247"/>
      <c r="S443" s="247"/>
      <c r="T443" s="247"/>
      <c r="U443" s="247"/>
      <c r="V443" s="247"/>
      <c r="W443" s="247"/>
      <c r="X443" s="247"/>
      <c r="Y443" s="247"/>
      <c r="Z443" s="247"/>
      <c r="AA443" s="247"/>
      <c r="AB443" s="247"/>
      <c r="AC443" s="247"/>
      <c r="AD443" s="247"/>
      <c r="AE443" s="247"/>
      <c r="AF443" s="247"/>
      <c r="AG443" s="247"/>
      <c r="AH443" s="247"/>
      <c r="AI443" s="247"/>
      <c r="AJ443" s="247"/>
      <c r="AK443" s="247"/>
      <c r="AL443" s="247"/>
      <c r="AM443" s="247"/>
      <c r="AN443" s="247"/>
      <c r="AO443" s="247"/>
      <c r="AP443" s="247"/>
      <c r="AQ443" s="247"/>
      <c r="AR443" s="247"/>
      <c r="AS443" s="247"/>
      <c r="AT443" s="247"/>
      <c r="AU443" s="261"/>
    </row>
    <row r="444" spans="1:47" ht="60" customHeight="1" x14ac:dyDescent="0.35">
      <c r="A444" s="257" t="s">
        <v>6705</v>
      </c>
      <c r="B444" s="235" t="s">
        <v>6731</v>
      </c>
      <c r="C444" s="236" t="s">
        <v>6743</v>
      </c>
      <c r="D444" s="239" t="s">
        <v>6744</v>
      </c>
      <c r="E444" s="240" t="s">
        <v>5881</v>
      </c>
      <c r="F444" s="243" t="s">
        <v>6734</v>
      </c>
      <c r="G444" s="246" t="str">
        <f>IF(COUNTIF(H444:AU444,"&lt;&gt;")=0,"",SUMPRODUCT(((Recommendations[ImplStatus]="Implemented")+(Recommendations[ImplStatus]="Compensated"))*ISNUMBER(MATCH(Recommendations[Id],H444:AU444,0)))/COUNTIF(H444:AU444,"&lt;&gt;"))</f>
        <v/>
      </c>
      <c r="H444" s="247"/>
      <c r="I444" s="247"/>
      <c r="J444" s="247"/>
      <c r="K444" s="247"/>
      <c r="L444" s="247"/>
      <c r="M444" s="247"/>
      <c r="N444" s="247"/>
      <c r="O444" s="247"/>
      <c r="P444" s="247"/>
      <c r="Q444" s="247"/>
      <c r="R444" s="247"/>
      <c r="S444" s="247"/>
      <c r="T444" s="247"/>
      <c r="U444" s="247"/>
      <c r="V444" s="247"/>
      <c r="W444" s="247"/>
      <c r="X444" s="247"/>
      <c r="Y444" s="247"/>
      <c r="Z444" s="247"/>
      <c r="AA444" s="247"/>
      <c r="AB444" s="247"/>
      <c r="AC444" s="247"/>
      <c r="AD444" s="247"/>
      <c r="AE444" s="247"/>
      <c r="AF444" s="247"/>
      <c r="AG444" s="247"/>
      <c r="AH444" s="247"/>
      <c r="AI444" s="247"/>
      <c r="AJ444" s="247"/>
      <c r="AK444" s="247"/>
      <c r="AL444" s="247"/>
      <c r="AM444" s="247"/>
      <c r="AN444" s="247"/>
      <c r="AO444" s="247"/>
      <c r="AP444" s="247"/>
      <c r="AQ444" s="247"/>
      <c r="AR444" s="247"/>
      <c r="AS444" s="247"/>
      <c r="AT444" s="247"/>
      <c r="AU444" s="261"/>
    </row>
    <row r="445" spans="1:47" ht="60" customHeight="1" x14ac:dyDescent="0.35">
      <c r="A445" s="257" t="s">
        <v>6705</v>
      </c>
      <c r="B445" s="235" t="s">
        <v>6731</v>
      </c>
      <c r="C445" s="236" t="s">
        <v>6745</v>
      </c>
      <c r="D445" s="239" t="s">
        <v>6746</v>
      </c>
      <c r="E445" s="240" t="s">
        <v>5881</v>
      </c>
      <c r="F445" s="243" t="s">
        <v>6734</v>
      </c>
      <c r="G445" s="246" t="str">
        <f>IF(COUNTIF(H445:AU445,"&lt;&gt;")=0,"",SUMPRODUCT(((Recommendations[ImplStatus]="Implemented")+(Recommendations[ImplStatus]="Compensated"))*ISNUMBER(MATCH(Recommendations[Id],H445:AU445,0)))/COUNTIF(H445:AU445,"&lt;&gt;"))</f>
        <v/>
      </c>
      <c r="H445" s="247"/>
      <c r="I445" s="247"/>
      <c r="J445" s="247"/>
      <c r="K445" s="247"/>
      <c r="L445" s="247"/>
      <c r="M445" s="247"/>
      <c r="N445" s="247"/>
      <c r="O445" s="247"/>
      <c r="P445" s="247"/>
      <c r="Q445" s="247"/>
      <c r="R445" s="247"/>
      <c r="S445" s="247"/>
      <c r="T445" s="247"/>
      <c r="U445" s="247"/>
      <c r="V445" s="247"/>
      <c r="W445" s="247"/>
      <c r="X445" s="247"/>
      <c r="Y445" s="247"/>
      <c r="Z445" s="247"/>
      <c r="AA445" s="247"/>
      <c r="AB445" s="247"/>
      <c r="AC445" s="247"/>
      <c r="AD445" s="247"/>
      <c r="AE445" s="247"/>
      <c r="AF445" s="247"/>
      <c r="AG445" s="247"/>
      <c r="AH445" s="247"/>
      <c r="AI445" s="247"/>
      <c r="AJ445" s="247"/>
      <c r="AK445" s="247"/>
      <c r="AL445" s="247"/>
      <c r="AM445" s="247"/>
      <c r="AN445" s="247"/>
      <c r="AO445" s="247"/>
      <c r="AP445" s="247"/>
      <c r="AQ445" s="247"/>
      <c r="AR445" s="247"/>
      <c r="AS445" s="247"/>
      <c r="AT445" s="247"/>
      <c r="AU445" s="261"/>
    </row>
    <row r="446" spans="1:47" ht="60" customHeight="1" x14ac:dyDescent="0.35">
      <c r="A446" s="257" t="s">
        <v>6705</v>
      </c>
      <c r="B446" s="235" t="s">
        <v>6731</v>
      </c>
      <c r="C446" s="236" t="s">
        <v>6747</v>
      </c>
      <c r="D446" s="239" t="s">
        <v>6748</v>
      </c>
      <c r="E446" s="240" t="s">
        <v>5996</v>
      </c>
      <c r="F446" s="243" t="s">
        <v>6734</v>
      </c>
      <c r="G446" s="246" t="str">
        <f>IF(COUNTIF(H446:AU446,"&lt;&gt;")=0,"",SUMPRODUCT(((Recommendations[ImplStatus]="Implemented")+(Recommendations[ImplStatus]="Compensated"))*ISNUMBER(MATCH(Recommendations[Id],H446:AU446,0)))/COUNTIF(H446:AU446,"&lt;&gt;"))</f>
        <v/>
      </c>
      <c r="H446" s="247"/>
      <c r="I446" s="247"/>
      <c r="J446" s="247"/>
      <c r="K446" s="247"/>
      <c r="L446" s="247"/>
      <c r="M446" s="247"/>
      <c r="N446" s="247"/>
      <c r="O446" s="247"/>
      <c r="P446" s="247"/>
      <c r="Q446" s="247"/>
      <c r="R446" s="247"/>
      <c r="S446" s="247"/>
      <c r="T446" s="247"/>
      <c r="U446" s="247"/>
      <c r="V446" s="247"/>
      <c r="W446" s="247"/>
      <c r="X446" s="247"/>
      <c r="Y446" s="247"/>
      <c r="Z446" s="247"/>
      <c r="AA446" s="247"/>
      <c r="AB446" s="247"/>
      <c r="AC446" s="247"/>
      <c r="AD446" s="247"/>
      <c r="AE446" s="247"/>
      <c r="AF446" s="247"/>
      <c r="AG446" s="247"/>
      <c r="AH446" s="247"/>
      <c r="AI446" s="247"/>
      <c r="AJ446" s="247"/>
      <c r="AK446" s="247"/>
      <c r="AL446" s="247"/>
      <c r="AM446" s="247"/>
      <c r="AN446" s="247"/>
      <c r="AO446" s="247"/>
      <c r="AP446" s="247"/>
      <c r="AQ446" s="247"/>
      <c r="AR446" s="247"/>
      <c r="AS446" s="247"/>
      <c r="AT446" s="247"/>
      <c r="AU446" s="261"/>
    </row>
    <row r="447" spans="1:47" ht="60" customHeight="1" x14ac:dyDescent="0.35">
      <c r="A447" s="257" t="s">
        <v>6705</v>
      </c>
      <c r="B447" s="235" t="s">
        <v>6731</v>
      </c>
      <c r="C447" s="236" t="s">
        <v>6749</v>
      </c>
      <c r="D447" s="239" t="s">
        <v>6750</v>
      </c>
      <c r="E447" s="240" t="s">
        <v>5881</v>
      </c>
      <c r="F447" s="243" t="s">
        <v>6734</v>
      </c>
      <c r="G447" s="246" t="str">
        <f>IF(COUNTIF(H447:AU447,"&lt;&gt;")=0,"",SUMPRODUCT(((Recommendations[ImplStatus]="Implemented")+(Recommendations[ImplStatus]="Compensated"))*ISNUMBER(MATCH(Recommendations[Id],H447:AU447,0)))/COUNTIF(H447:AU447,"&lt;&gt;"))</f>
        <v/>
      </c>
      <c r="H447" s="247"/>
      <c r="I447" s="247"/>
      <c r="J447" s="247"/>
      <c r="K447" s="247"/>
      <c r="L447" s="247"/>
      <c r="M447" s="247"/>
      <c r="N447" s="247"/>
      <c r="O447" s="247"/>
      <c r="P447" s="247"/>
      <c r="Q447" s="247"/>
      <c r="R447" s="247"/>
      <c r="S447" s="247"/>
      <c r="T447" s="247"/>
      <c r="U447" s="247"/>
      <c r="V447" s="247"/>
      <c r="W447" s="247"/>
      <c r="X447" s="247"/>
      <c r="Y447" s="247"/>
      <c r="Z447" s="247"/>
      <c r="AA447" s="247"/>
      <c r="AB447" s="247"/>
      <c r="AC447" s="247"/>
      <c r="AD447" s="247"/>
      <c r="AE447" s="247"/>
      <c r="AF447" s="247"/>
      <c r="AG447" s="247"/>
      <c r="AH447" s="247"/>
      <c r="AI447" s="247"/>
      <c r="AJ447" s="247"/>
      <c r="AK447" s="247"/>
      <c r="AL447" s="247"/>
      <c r="AM447" s="247"/>
      <c r="AN447" s="247"/>
      <c r="AO447" s="247"/>
      <c r="AP447" s="247"/>
      <c r="AQ447" s="247"/>
      <c r="AR447" s="247"/>
      <c r="AS447" s="247"/>
      <c r="AT447" s="247"/>
      <c r="AU447" s="261"/>
    </row>
    <row r="448" spans="1:47" ht="60" customHeight="1" x14ac:dyDescent="0.35">
      <c r="A448" s="257" t="s">
        <v>6705</v>
      </c>
      <c r="B448" s="235" t="s">
        <v>6731</v>
      </c>
      <c r="C448" s="236" t="s">
        <v>6751</v>
      </c>
      <c r="D448" s="239" t="s">
        <v>6752</v>
      </c>
      <c r="E448" s="240" t="s">
        <v>5996</v>
      </c>
      <c r="F448" s="243" t="s">
        <v>6734</v>
      </c>
      <c r="G448" s="246" t="str">
        <f>IF(COUNTIF(H448:AU448,"&lt;&gt;")=0,"",SUMPRODUCT(((Recommendations[ImplStatus]="Implemented")+(Recommendations[ImplStatus]="Compensated"))*ISNUMBER(MATCH(Recommendations[Id],H448:AU448,0)))/COUNTIF(H448:AU448,"&lt;&gt;"))</f>
        <v/>
      </c>
      <c r="H448" s="247"/>
      <c r="I448" s="247"/>
      <c r="J448" s="247"/>
      <c r="K448" s="247"/>
      <c r="L448" s="247"/>
      <c r="M448" s="247"/>
      <c r="N448" s="247"/>
      <c r="O448" s="247"/>
      <c r="P448" s="247"/>
      <c r="Q448" s="247"/>
      <c r="R448" s="247"/>
      <c r="S448" s="247"/>
      <c r="T448" s="247"/>
      <c r="U448" s="247"/>
      <c r="V448" s="247"/>
      <c r="W448" s="247"/>
      <c r="X448" s="247"/>
      <c r="Y448" s="247"/>
      <c r="Z448" s="247"/>
      <c r="AA448" s="247"/>
      <c r="AB448" s="247"/>
      <c r="AC448" s="247"/>
      <c r="AD448" s="247"/>
      <c r="AE448" s="247"/>
      <c r="AF448" s="247"/>
      <c r="AG448" s="247"/>
      <c r="AH448" s="247"/>
      <c r="AI448" s="247"/>
      <c r="AJ448" s="247"/>
      <c r="AK448" s="247"/>
      <c r="AL448" s="247"/>
      <c r="AM448" s="247"/>
      <c r="AN448" s="247"/>
      <c r="AO448" s="247"/>
      <c r="AP448" s="247"/>
      <c r="AQ448" s="247"/>
      <c r="AR448" s="247"/>
      <c r="AS448" s="247"/>
      <c r="AT448" s="247"/>
      <c r="AU448" s="261"/>
    </row>
    <row r="449" spans="1:47" ht="60" customHeight="1" x14ac:dyDescent="0.35">
      <c r="A449" s="257" t="s">
        <v>6705</v>
      </c>
      <c r="B449" s="235" t="s">
        <v>6731</v>
      </c>
      <c r="C449" s="236" t="s">
        <v>6753</v>
      </c>
      <c r="D449" s="239" t="s">
        <v>6754</v>
      </c>
      <c r="E449" s="240" t="s">
        <v>5996</v>
      </c>
      <c r="F449" s="243" t="s">
        <v>6734</v>
      </c>
      <c r="G449" s="246" t="str">
        <f>IF(COUNTIF(H449:AU449,"&lt;&gt;")=0,"",SUMPRODUCT(((Recommendations[ImplStatus]="Implemented")+(Recommendations[ImplStatus]="Compensated"))*ISNUMBER(MATCH(Recommendations[Id],H449:AU449,0)))/COUNTIF(H449:AU449,"&lt;&gt;"))</f>
        <v/>
      </c>
      <c r="H449" s="247"/>
      <c r="I449" s="247"/>
      <c r="J449" s="247"/>
      <c r="K449" s="247"/>
      <c r="L449" s="247"/>
      <c r="M449" s="247"/>
      <c r="N449" s="247"/>
      <c r="O449" s="247"/>
      <c r="P449" s="247"/>
      <c r="Q449" s="247"/>
      <c r="R449" s="247"/>
      <c r="S449" s="247"/>
      <c r="T449" s="247"/>
      <c r="U449" s="247"/>
      <c r="V449" s="247"/>
      <c r="W449" s="247"/>
      <c r="X449" s="247"/>
      <c r="Y449" s="247"/>
      <c r="Z449" s="247"/>
      <c r="AA449" s="247"/>
      <c r="AB449" s="247"/>
      <c r="AC449" s="247"/>
      <c r="AD449" s="247"/>
      <c r="AE449" s="247"/>
      <c r="AF449" s="247"/>
      <c r="AG449" s="247"/>
      <c r="AH449" s="247"/>
      <c r="AI449" s="247"/>
      <c r="AJ449" s="247"/>
      <c r="AK449" s="247"/>
      <c r="AL449" s="247"/>
      <c r="AM449" s="247"/>
      <c r="AN449" s="247"/>
      <c r="AO449" s="247"/>
      <c r="AP449" s="247"/>
      <c r="AQ449" s="247"/>
      <c r="AR449" s="247"/>
      <c r="AS449" s="247"/>
      <c r="AT449" s="247"/>
      <c r="AU449" s="261"/>
    </row>
    <row r="450" spans="1:47" ht="60" customHeight="1" outlineLevel="1" x14ac:dyDescent="0.35">
      <c r="A450" s="255" t="s">
        <v>6755</v>
      </c>
      <c r="B450" s="233"/>
      <c r="C450" s="233"/>
      <c r="D450" s="237"/>
      <c r="E450" s="233"/>
      <c r="F450" s="241"/>
      <c r="G450" s="244" t="str">
        <f>IF(COUNTIF(H450:AU450,"&lt;&gt;")=0,"",SUMPRODUCT(((Recommendations[ImplStatus]="Implemented")+(Recommendations[ImplStatus]="Compensated"))*ISNUMBER(MATCH(Recommendations[Id],H450:AU450,0)))/COUNTIF(H450:AU450,"&lt;&gt;"))</f>
        <v/>
      </c>
      <c r="H450" s="241"/>
      <c r="I450" s="241"/>
      <c r="J450" s="241"/>
      <c r="K450" s="241"/>
      <c r="L450" s="241"/>
      <c r="M450" s="241"/>
      <c r="N450" s="241"/>
      <c r="O450" s="241"/>
      <c r="P450" s="241"/>
      <c r="Q450" s="241"/>
      <c r="R450" s="241"/>
      <c r="S450" s="241"/>
      <c r="T450" s="241"/>
      <c r="U450" s="241"/>
      <c r="V450" s="241"/>
      <c r="W450" s="241"/>
      <c r="X450" s="241"/>
      <c r="Y450" s="241"/>
      <c r="Z450" s="241"/>
      <c r="AA450" s="241"/>
      <c r="AB450" s="241"/>
      <c r="AC450" s="241"/>
      <c r="AD450" s="241"/>
      <c r="AE450" s="241"/>
      <c r="AF450" s="241"/>
      <c r="AG450" s="241"/>
      <c r="AH450" s="241"/>
      <c r="AI450" s="241"/>
      <c r="AJ450" s="241"/>
      <c r="AK450" s="241"/>
      <c r="AL450" s="241"/>
      <c r="AM450" s="241"/>
      <c r="AN450" s="241"/>
      <c r="AO450" s="241"/>
      <c r="AP450" s="241"/>
      <c r="AQ450" s="241"/>
      <c r="AR450" s="241"/>
      <c r="AS450" s="241"/>
      <c r="AT450" s="241"/>
      <c r="AU450" s="259"/>
    </row>
    <row r="451" spans="1:47" ht="60" customHeight="1" outlineLevel="2" x14ac:dyDescent="0.35">
      <c r="A451" s="256" t="s">
        <v>6755</v>
      </c>
      <c r="B451" s="234" t="s">
        <v>6756</v>
      </c>
      <c r="C451" s="234"/>
      <c r="D451" s="238"/>
      <c r="E451" s="234"/>
      <c r="F451" s="242"/>
      <c r="G451" s="245" t="str">
        <f>IF(COUNTIF(H451:AU451,"&lt;&gt;")=0,"",SUMPRODUCT(((Recommendations[ImplStatus]="Implemented")+(Recommendations[ImplStatus]="Compensated"))*ISNUMBER(MATCH(Recommendations[Id],H451:AU451,0)))/COUNTIF(H451:AU451,"&lt;&gt;"))</f>
        <v/>
      </c>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60"/>
    </row>
    <row r="452" spans="1:47" ht="60" customHeight="1" x14ac:dyDescent="0.35">
      <c r="A452" s="257" t="s">
        <v>6755</v>
      </c>
      <c r="B452" s="235" t="s">
        <v>6756</v>
      </c>
      <c r="C452" s="236" t="s">
        <v>6757</v>
      </c>
      <c r="D452" s="239" t="s">
        <v>6758</v>
      </c>
      <c r="E452" s="240" t="s">
        <v>5852</v>
      </c>
      <c r="F452" s="243" t="s">
        <v>6759</v>
      </c>
      <c r="G452" s="246" t="str">
        <f>IF(COUNTIF(H452:AU452,"&lt;&gt;")=0,"",SUMPRODUCT(((Recommendations[ImplStatus]="Implemented")+(Recommendations[ImplStatus]="Compensated"))*ISNUMBER(MATCH(Recommendations[Id],H452:AU452,0)))/COUNTIF(H452:AU452,"&lt;&gt;"))</f>
        <v/>
      </c>
      <c r="H452" s="247"/>
      <c r="I452" s="247"/>
      <c r="J452" s="247"/>
      <c r="K452" s="247"/>
      <c r="L452" s="247"/>
      <c r="M452" s="247"/>
      <c r="N452" s="247"/>
      <c r="O452" s="247"/>
      <c r="P452" s="247"/>
      <c r="Q452" s="247"/>
      <c r="R452" s="247"/>
      <c r="S452" s="247"/>
      <c r="T452" s="247"/>
      <c r="U452" s="247"/>
      <c r="V452" s="247"/>
      <c r="W452" s="247"/>
      <c r="X452" s="247"/>
      <c r="Y452" s="247"/>
      <c r="Z452" s="247"/>
      <c r="AA452" s="247"/>
      <c r="AB452" s="247"/>
      <c r="AC452" s="247"/>
      <c r="AD452" s="247"/>
      <c r="AE452" s="247"/>
      <c r="AF452" s="247"/>
      <c r="AG452" s="247"/>
      <c r="AH452" s="247"/>
      <c r="AI452" s="247"/>
      <c r="AJ452" s="247"/>
      <c r="AK452" s="247"/>
      <c r="AL452" s="247"/>
      <c r="AM452" s="247"/>
      <c r="AN452" s="247"/>
      <c r="AO452" s="247"/>
      <c r="AP452" s="247"/>
      <c r="AQ452" s="247"/>
      <c r="AR452" s="247"/>
      <c r="AS452" s="247"/>
      <c r="AT452" s="247"/>
      <c r="AU452" s="261"/>
    </row>
    <row r="453" spans="1:47" ht="60" customHeight="1" x14ac:dyDescent="0.35">
      <c r="A453" s="257" t="s">
        <v>6755</v>
      </c>
      <c r="B453" s="235" t="s">
        <v>6756</v>
      </c>
      <c r="C453" s="236" t="s">
        <v>6760</v>
      </c>
      <c r="D453" s="239" t="s">
        <v>6761</v>
      </c>
      <c r="E453" s="240" t="s">
        <v>5852</v>
      </c>
      <c r="F453" s="243" t="s">
        <v>6759</v>
      </c>
      <c r="G453" s="246" t="str">
        <f>IF(COUNTIF(H453:AU453,"&lt;&gt;")=0,"",SUMPRODUCT(((Recommendations[ImplStatus]="Implemented")+(Recommendations[ImplStatus]="Compensated"))*ISNUMBER(MATCH(Recommendations[Id],H453:AU453,0)))/COUNTIF(H453:AU453,"&lt;&gt;"))</f>
        <v/>
      </c>
      <c r="H453" s="247"/>
      <c r="I453" s="247"/>
      <c r="J453" s="247"/>
      <c r="K453" s="247"/>
      <c r="L453" s="247"/>
      <c r="M453" s="247"/>
      <c r="N453" s="247"/>
      <c r="O453" s="247"/>
      <c r="P453" s="247"/>
      <c r="Q453" s="247"/>
      <c r="R453" s="247"/>
      <c r="S453" s="247"/>
      <c r="T453" s="247"/>
      <c r="U453" s="247"/>
      <c r="V453" s="247"/>
      <c r="W453" s="247"/>
      <c r="X453" s="247"/>
      <c r="Y453" s="247"/>
      <c r="Z453" s="247"/>
      <c r="AA453" s="247"/>
      <c r="AB453" s="247"/>
      <c r="AC453" s="247"/>
      <c r="AD453" s="247"/>
      <c r="AE453" s="247"/>
      <c r="AF453" s="247"/>
      <c r="AG453" s="247"/>
      <c r="AH453" s="247"/>
      <c r="AI453" s="247"/>
      <c r="AJ453" s="247"/>
      <c r="AK453" s="247"/>
      <c r="AL453" s="247"/>
      <c r="AM453" s="247"/>
      <c r="AN453" s="247"/>
      <c r="AO453" s="247"/>
      <c r="AP453" s="247"/>
      <c r="AQ453" s="247"/>
      <c r="AR453" s="247"/>
      <c r="AS453" s="247"/>
      <c r="AT453" s="247"/>
      <c r="AU453" s="261"/>
    </row>
    <row r="454" spans="1:47" ht="60" customHeight="1" x14ac:dyDescent="0.35">
      <c r="A454" s="257" t="s">
        <v>6755</v>
      </c>
      <c r="B454" s="235" t="s">
        <v>6756</v>
      </c>
      <c r="C454" s="236" t="s">
        <v>6762</v>
      </c>
      <c r="D454" s="239" t="s">
        <v>6763</v>
      </c>
      <c r="E454" s="240" t="s">
        <v>5852</v>
      </c>
      <c r="F454" s="243" t="s">
        <v>6759</v>
      </c>
      <c r="G454" s="246" t="str">
        <f>IF(COUNTIF(H454:AU454,"&lt;&gt;")=0,"",SUMPRODUCT(((Recommendations[ImplStatus]="Implemented")+(Recommendations[ImplStatus]="Compensated"))*ISNUMBER(MATCH(Recommendations[Id],H454:AU454,0)))/COUNTIF(H454:AU454,"&lt;&gt;"))</f>
        <v/>
      </c>
      <c r="H454" s="247"/>
      <c r="I454" s="247"/>
      <c r="J454" s="247"/>
      <c r="K454" s="247"/>
      <c r="L454" s="247"/>
      <c r="M454" s="247"/>
      <c r="N454" s="247"/>
      <c r="O454" s="247"/>
      <c r="P454" s="247"/>
      <c r="Q454" s="247"/>
      <c r="R454" s="247"/>
      <c r="S454" s="247"/>
      <c r="T454" s="247"/>
      <c r="U454" s="247"/>
      <c r="V454" s="247"/>
      <c r="W454" s="247"/>
      <c r="X454" s="247"/>
      <c r="Y454" s="247"/>
      <c r="Z454" s="247"/>
      <c r="AA454" s="247"/>
      <c r="AB454" s="247"/>
      <c r="AC454" s="247"/>
      <c r="AD454" s="247"/>
      <c r="AE454" s="247"/>
      <c r="AF454" s="247"/>
      <c r="AG454" s="247"/>
      <c r="AH454" s="247"/>
      <c r="AI454" s="247"/>
      <c r="AJ454" s="247"/>
      <c r="AK454" s="247"/>
      <c r="AL454" s="247"/>
      <c r="AM454" s="247"/>
      <c r="AN454" s="247"/>
      <c r="AO454" s="247"/>
      <c r="AP454" s="247"/>
      <c r="AQ454" s="247"/>
      <c r="AR454" s="247"/>
      <c r="AS454" s="247"/>
      <c r="AT454" s="247"/>
      <c r="AU454" s="261"/>
    </row>
    <row r="455" spans="1:47" ht="60" customHeight="1" x14ac:dyDescent="0.35">
      <c r="A455" s="257" t="s">
        <v>6755</v>
      </c>
      <c r="B455" s="235" t="s">
        <v>6756</v>
      </c>
      <c r="C455" s="236" t="s">
        <v>6764</v>
      </c>
      <c r="D455" s="239" t="s">
        <v>6765</v>
      </c>
      <c r="E455" s="240" t="s">
        <v>5852</v>
      </c>
      <c r="F455" s="243" t="s">
        <v>6759</v>
      </c>
      <c r="G455" s="246" t="str">
        <f>IF(COUNTIF(H455:AU455,"&lt;&gt;")=0,"",SUMPRODUCT(((Recommendations[ImplStatus]="Implemented")+(Recommendations[ImplStatus]="Compensated"))*ISNUMBER(MATCH(Recommendations[Id],H455:AU455,0)))/COUNTIF(H455:AU455,"&lt;&gt;"))</f>
        <v/>
      </c>
      <c r="H455" s="247"/>
      <c r="I455" s="247"/>
      <c r="J455" s="247"/>
      <c r="K455" s="247"/>
      <c r="L455" s="247"/>
      <c r="M455" s="247"/>
      <c r="N455" s="247"/>
      <c r="O455" s="247"/>
      <c r="P455" s="247"/>
      <c r="Q455" s="247"/>
      <c r="R455" s="247"/>
      <c r="S455" s="247"/>
      <c r="T455" s="247"/>
      <c r="U455" s="247"/>
      <c r="V455" s="247"/>
      <c r="W455" s="247"/>
      <c r="X455" s="247"/>
      <c r="Y455" s="247"/>
      <c r="Z455" s="247"/>
      <c r="AA455" s="247"/>
      <c r="AB455" s="247"/>
      <c r="AC455" s="247"/>
      <c r="AD455" s="247"/>
      <c r="AE455" s="247"/>
      <c r="AF455" s="247"/>
      <c r="AG455" s="247"/>
      <c r="AH455" s="247"/>
      <c r="AI455" s="247"/>
      <c r="AJ455" s="247"/>
      <c r="AK455" s="247"/>
      <c r="AL455" s="247"/>
      <c r="AM455" s="247"/>
      <c r="AN455" s="247"/>
      <c r="AO455" s="247"/>
      <c r="AP455" s="247"/>
      <c r="AQ455" s="247"/>
      <c r="AR455" s="247"/>
      <c r="AS455" s="247"/>
      <c r="AT455" s="247"/>
      <c r="AU455" s="261"/>
    </row>
    <row r="456" spans="1:47" ht="60" customHeight="1" x14ac:dyDescent="0.35">
      <c r="A456" s="257" t="s">
        <v>6755</v>
      </c>
      <c r="B456" s="235" t="s">
        <v>6756</v>
      </c>
      <c r="C456" s="236" t="s">
        <v>6766</v>
      </c>
      <c r="D456" s="239" t="s">
        <v>6767</v>
      </c>
      <c r="E456" s="240" t="s">
        <v>5852</v>
      </c>
      <c r="F456" s="243" t="s">
        <v>6759</v>
      </c>
      <c r="G456" s="246" t="str">
        <f>IF(COUNTIF(H456:AU456,"&lt;&gt;")=0,"",SUMPRODUCT(((Recommendations[ImplStatus]="Implemented")+(Recommendations[ImplStatus]="Compensated"))*ISNUMBER(MATCH(Recommendations[Id],H456:AU456,0)))/COUNTIF(H456:AU456,"&lt;&gt;"))</f>
        <v/>
      </c>
      <c r="H456" s="247"/>
      <c r="I456" s="247"/>
      <c r="J456" s="247"/>
      <c r="K456" s="247"/>
      <c r="L456" s="247"/>
      <c r="M456" s="247"/>
      <c r="N456" s="247"/>
      <c r="O456" s="247"/>
      <c r="P456" s="247"/>
      <c r="Q456" s="247"/>
      <c r="R456" s="247"/>
      <c r="S456" s="247"/>
      <c r="T456" s="247"/>
      <c r="U456" s="247"/>
      <c r="V456" s="247"/>
      <c r="W456" s="247"/>
      <c r="X456" s="247"/>
      <c r="Y456" s="247"/>
      <c r="Z456" s="247"/>
      <c r="AA456" s="247"/>
      <c r="AB456" s="247"/>
      <c r="AC456" s="247"/>
      <c r="AD456" s="247"/>
      <c r="AE456" s="247"/>
      <c r="AF456" s="247"/>
      <c r="AG456" s="247"/>
      <c r="AH456" s="247"/>
      <c r="AI456" s="247"/>
      <c r="AJ456" s="247"/>
      <c r="AK456" s="247"/>
      <c r="AL456" s="247"/>
      <c r="AM456" s="247"/>
      <c r="AN456" s="247"/>
      <c r="AO456" s="247"/>
      <c r="AP456" s="247"/>
      <c r="AQ456" s="247"/>
      <c r="AR456" s="247"/>
      <c r="AS456" s="247"/>
      <c r="AT456" s="247"/>
      <c r="AU456" s="261"/>
    </row>
    <row r="457" spans="1:47" ht="60" customHeight="1" x14ac:dyDescent="0.35">
      <c r="A457" s="257" t="s">
        <v>6755</v>
      </c>
      <c r="B457" s="235" t="s">
        <v>6756</v>
      </c>
      <c r="C457" s="236" t="s">
        <v>6768</v>
      </c>
      <c r="D457" s="239" t="s">
        <v>6769</v>
      </c>
      <c r="E457" s="240" t="s">
        <v>5881</v>
      </c>
      <c r="F457" s="243" t="s">
        <v>6759</v>
      </c>
      <c r="G457" s="246" t="str">
        <f>IF(COUNTIF(H457:AU457,"&lt;&gt;")=0,"",SUMPRODUCT(((Recommendations[ImplStatus]="Implemented")+(Recommendations[ImplStatus]="Compensated"))*ISNUMBER(MATCH(Recommendations[Id],H457:AU457,0)))/COUNTIF(H457:AU457,"&lt;&gt;"))</f>
        <v/>
      </c>
      <c r="H457" s="247"/>
      <c r="I457" s="247"/>
      <c r="J457" s="247"/>
      <c r="K457" s="247"/>
      <c r="L457" s="247"/>
      <c r="M457" s="247"/>
      <c r="N457" s="247"/>
      <c r="O457" s="247"/>
      <c r="P457" s="247"/>
      <c r="Q457" s="247"/>
      <c r="R457" s="247"/>
      <c r="S457" s="247"/>
      <c r="T457" s="247"/>
      <c r="U457" s="247"/>
      <c r="V457" s="247"/>
      <c r="W457" s="247"/>
      <c r="X457" s="247"/>
      <c r="Y457" s="247"/>
      <c r="Z457" s="247"/>
      <c r="AA457" s="247"/>
      <c r="AB457" s="247"/>
      <c r="AC457" s="247"/>
      <c r="AD457" s="247"/>
      <c r="AE457" s="247"/>
      <c r="AF457" s="247"/>
      <c r="AG457" s="247"/>
      <c r="AH457" s="247"/>
      <c r="AI457" s="247"/>
      <c r="AJ457" s="247"/>
      <c r="AK457" s="247"/>
      <c r="AL457" s="247"/>
      <c r="AM457" s="247"/>
      <c r="AN457" s="247"/>
      <c r="AO457" s="247"/>
      <c r="AP457" s="247"/>
      <c r="AQ457" s="247"/>
      <c r="AR457" s="247"/>
      <c r="AS457" s="247"/>
      <c r="AT457" s="247"/>
      <c r="AU457" s="261"/>
    </row>
    <row r="458" spans="1:47" ht="60" customHeight="1" x14ac:dyDescent="0.35">
      <c r="A458" s="257" t="s">
        <v>6755</v>
      </c>
      <c r="B458" s="235" t="s">
        <v>6756</v>
      </c>
      <c r="C458" s="236" t="s">
        <v>6770</v>
      </c>
      <c r="D458" s="239" t="s">
        <v>6771</v>
      </c>
      <c r="E458" s="240" t="s">
        <v>5881</v>
      </c>
      <c r="F458" s="243" t="s">
        <v>6759</v>
      </c>
      <c r="G458" s="246" t="str">
        <f>IF(COUNTIF(H458:AU458,"&lt;&gt;")=0,"",SUMPRODUCT(((Recommendations[ImplStatus]="Implemented")+(Recommendations[ImplStatus]="Compensated"))*ISNUMBER(MATCH(Recommendations[Id],H458:AU458,0)))/COUNTIF(H458:AU458,"&lt;&gt;"))</f>
        <v/>
      </c>
      <c r="H458" s="247"/>
      <c r="I458" s="247"/>
      <c r="J458" s="247"/>
      <c r="K458" s="247"/>
      <c r="L458" s="247"/>
      <c r="M458" s="247"/>
      <c r="N458" s="247"/>
      <c r="O458" s="247"/>
      <c r="P458" s="247"/>
      <c r="Q458" s="247"/>
      <c r="R458" s="247"/>
      <c r="S458" s="247"/>
      <c r="T458" s="247"/>
      <c r="U458" s="247"/>
      <c r="V458" s="247"/>
      <c r="W458" s="247"/>
      <c r="X458" s="247"/>
      <c r="Y458" s="247"/>
      <c r="Z458" s="247"/>
      <c r="AA458" s="247"/>
      <c r="AB458" s="247"/>
      <c r="AC458" s="247"/>
      <c r="AD458" s="247"/>
      <c r="AE458" s="247"/>
      <c r="AF458" s="247"/>
      <c r="AG458" s="247"/>
      <c r="AH458" s="247"/>
      <c r="AI458" s="247"/>
      <c r="AJ458" s="247"/>
      <c r="AK458" s="247"/>
      <c r="AL458" s="247"/>
      <c r="AM458" s="247"/>
      <c r="AN458" s="247"/>
      <c r="AO458" s="247"/>
      <c r="AP458" s="247"/>
      <c r="AQ458" s="247"/>
      <c r="AR458" s="247"/>
      <c r="AS458" s="247"/>
      <c r="AT458" s="247"/>
      <c r="AU458" s="261"/>
    </row>
    <row r="459" spans="1:47" ht="60" customHeight="1" x14ac:dyDescent="0.35">
      <c r="A459" s="257" t="s">
        <v>6755</v>
      </c>
      <c r="B459" s="235" t="s">
        <v>6756</v>
      </c>
      <c r="C459" s="236" t="s">
        <v>6772</v>
      </c>
      <c r="D459" s="239" t="s">
        <v>6773</v>
      </c>
      <c r="E459" s="240" t="s">
        <v>5881</v>
      </c>
      <c r="F459" s="243" t="s">
        <v>6759</v>
      </c>
      <c r="G459" s="246" t="str">
        <f>IF(COUNTIF(H459:AU459,"&lt;&gt;")=0,"",SUMPRODUCT(((Recommendations[ImplStatus]="Implemented")+(Recommendations[ImplStatus]="Compensated"))*ISNUMBER(MATCH(Recommendations[Id],H459:AU459,0)))/COUNTIF(H459:AU459,"&lt;&gt;"))</f>
        <v/>
      </c>
      <c r="H459" s="247"/>
      <c r="I459" s="247"/>
      <c r="J459" s="247"/>
      <c r="K459" s="247"/>
      <c r="L459" s="247"/>
      <c r="M459" s="247"/>
      <c r="N459" s="247"/>
      <c r="O459" s="247"/>
      <c r="P459" s="247"/>
      <c r="Q459" s="247"/>
      <c r="R459" s="247"/>
      <c r="S459" s="247"/>
      <c r="T459" s="247"/>
      <c r="U459" s="247"/>
      <c r="V459" s="247"/>
      <c r="W459" s="247"/>
      <c r="X459" s="247"/>
      <c r="Y459" s="247"/>
      <c r="Z459" s="247"/>
      <c r="AA459" s="247"/>
      <c r="AB459" s="247"/>
      <c r="AC459" s="247"/>
      <c r="AD459" s="247"/>
      <c r="AE459" s="247"/>
      <c r="AF459" s="247"/>
      <c r="AG459" s="247"/>
      <c r="AH459" s="247"/>
      <c r="AI459" s="247"/>
      <c r="AJ459" s="247"/>
      <c r="AK459" s="247"/>
      <c r="AL459" s="247"/>
      <c r="AM459" s="247"/>
      <c r="AN459" s="247"/>
      <c r="AO459" s="247"/>
      <c r="AP459" s="247"/>
      <c r="AQ459" s="247"/>
      <c r="AR459" s="247"/>
      <c r="AS459" s="247"/>
      <c r="AT459" s="247"/>
      <c r="AU459" s="261"/>
    </row>
    <row r="460" spans="1:47" ht="60" customHeight="1" x14ac:dyDescent="0.35">
      <c r="A460" s="257" t="s">
        <v>6755</v>
      </c>
      <c r="B460" s="235" t="s">
        <v>6756</v>
      </c>
      <c r="C460" s="236" t="s">
        <v>6774</v>
      </c>
      <c r="D460" s="239" t="s">
        <v>6775</v>
      </c>
      <c r="E460" s="240" t="s">
        <v>5881</v>
      </c>
      <c r="F460" s="243" t="s">
        <v>6759</v>
      </c>
      <c r="G460" s="246" t="str">
        <f>IF(COUNTIF(H460:AU460,"&lt;&gt;")=0,"",SUMPRODUCT(((Recommendations[ImplStatus]="Implemented")+(Recommendations[ImplStatus]="Compensated"))*ISNUMBER(MATCH(Recommendations[Id],H460:AU460,0)))/COUNTIF(H460:AU460,"&lt;&gt;"))</f>
        <v/>
      </c>
      <c r="H460" s="247"/>
      <c r="I460" s="247"/>
      <c r="J460" s="247"/>
      <c r="K460" s="247"/>
      <c r="L460" s="247"/>
      <c r="M460" s="247"/>
      <c r="N460" s="247"/>
      <c r="O460" s="247"/>
      <c r="P460" s="247"/>
      <c r="Q460" s="247"/>
      <c r="R460" s="247"/>
      <c r="S460" s="247"/>
      <c r="T460" s="247"/>
      <c r="U460" s="247"/>
      <c r="V460" s="247"/>
      <c r="W460" s="247"/>
      <c r="X460" s="247"/>
      <c r="Y460" s="247"/>
      <c r="Z460" s="247"/>
      <c r="AA460" s="247"/>
      <c r="AB460" s="247"/>
      <c r="AC460" s="247"/>
      <c r="AD460" s="247"/>
      <c r="AE460" s="247"/>
      <c r="AF460" s="247"/>
      <c r="AG460" s="247"/>
      <c r="AH460" s="247"/>
      <c r="AI460" s="247"/>
      <c r="AJ460" s="247"/>
      <c r="AK460" s="247"/>
      <c r="AL460" s="247"/>
      <c r="AM460" s="247"/>
      <c r="AN460" s="247"/>
      <c r="AO460" s="247"/>
      <c r="AP460" s="247"/>
      <c r="AQ460" s="247"/>
      <c r="AR460" s="247"/>
      <c r="AS460" s="247"/>
      <c r="AT460" s="247"/>
      <c r="AU460" s="261"/>
    </row>
    <row r="461" spans="1:47" ht="60" customHeight="1" x14ac:dyDescent="0.35">
      <c r="A461" s="257" t="s">
        <v>6755</v>
      </c>
      <c r="B461" s="235" t="s">
        <v>6756</v>
      </c>
      <c r="C461" s="236" t="s">
        <v>6776</v>
      </c>
      <c r="D461" s="239" t="s">
        <v>6777</v>
      </c>
      <c r="E461" s="240" t="s">
        <v>5881</v>
      </c>
      <c r="F461" s="243" t="s">
        <v>6759</v>
      </c>
      <c r="G461" s="246" t="str">
        <f>IF(COUNTIF(H461:AU461,"&lt;&gt;")=0,"",SUMPRODUCT(((Recommendations[ImplStatus]="Implemented")+(Recommendations[ImplStatus]="Compensated"))*ISNUMBER(MATCH(Recommendations[Id],H461:AU461,0)))/COUNTIF(H461:AU461,"&lt;&gt;"))</f>
        <v/>
      </c>
      <c r="H461" s="247"/>
      <c r="I461" s="247"/>
      <c r="J461" s="247"/>
      <c r="K461" s="247"/>
      <c r="L461" s="247"/>
      <c r="M461" s="247"/>
      <c r="N461" s="247"/>
      <c r="O461" s="247"/>
      <c r="P461" s="247"/>
      <c r="Q461" s="247"/>
      <c r="R461" s="247"/>
      <c r="S461" s="247"/>
      <c r="T461" s="247"/>
      <c r="U461" s="247"/>
      <c r="V461" s="247"/>
      <c r="W461" s="247"/>
      <c r="X461" s="247"/>
      <c r="Y461" s="247"/>
      <c r="Z461" s="247"/>
      <c r="AA461" s="247"/>
      <c r="AB461" s="247"/>
      <c r="AC461" s="247"/>
      <c r="AD461" s="247"/>
      <c r="AE461" s="247"/>
      <c r="AF461" s="247"/>
      <c r="AG461" s="247"/>
      <c r="AH461" s="247"/>
      <c r="AI461" s="247"/>
      <c r="AJ461" s="247"/>
      <c r="AK461" s="247"/>
      <c r="AL461" s="247"/>
      <c r="AM461" s="247"/>
      <c r="AN461" s="247"/>
      <c r="AO461" s="247"/>
      <c r="AP461" s="247"/>
      <c r="AQ461" s="247"/>
      <c r="AR461" s="247"/>
      <c r="AS461" s="247"/>
      <c r="AT461" s="247"/>
      <c r="AU461" s="261"/>
    </row>
    <row r="462" spans="1:47" ht="60" customHeight="1" x14ac:dyDescent="0.35">
      <c r="A462" s="257" t="s">
        <v>6755</v>
      </c>
      <c r="B462" s="235" t="s">
        <v>6756</v>
      </c>
      <c r="C462" s="236" t="s">
        <v>6778</v>
      </c>
      <c r="D462" s="239" t="s">
        <v>6779</v>
      </c>
      <c r="E462" s="240" t="s">
        <v>5881</v>
      </c>
      <c r="F462" s="243" t="s">
        <v>6759</v>
      </c>
      <c r="G462" s="246" t="str">
        <f>IF(COUNTIF(H462:AU462,"&lt;&gt;")=0,"",SUMPRODUCT(((Recommendations[ImplStatus]="Implemented")+(Recommendations[ImplStatus]="Compensated"))*ISNUMBER(MATCH(Recommendations[Id],H462:AU462,0)))/COUNTIF(H462:AU462,"&lt;&gt;"))</f>
        <v/>
      </c>
      <c r="H462" s="247"/>
      <c r="I462" s="247"/>
      <c r="J462" s="247"/>
      <c r="K462" s="247"/>
      <c r="L462" s="247"/>
      <c r="M462" s="247"/>
      <c r="N462" s="247"/>
      <c r="O462" s="247"/>
      <c r="P462" s="247"/>
      <c r="Q462" s="247"/>
      <c r="R462" s="247"/>
      <c r="S462" s="247"/>
      <c r="T462" s="247"/>
      <c r="U462" s="247"/>
      <c r="V462" s="247"/>
      <c r="W462" s="247"/>
      <c r="X462" s="247"/>
      <c r="Y462" s="247"/>
      <c r="Z462" s="247"/>
      <c r="AA462" s="247"/>
      <c r="AB462" s="247"/>
      <c r="AC462" s="247"/>
      <c r="AD462" s="247"/>
      <c r="AE462" s="247"/>
      <c r="AF462" s="247"/>
      <c r="AG462" s="247"/>
      <c r="AH462" s="247"/>
      <c r="AI462" s="247"/>
      <c r="AJ462" s="247"/>
      <c r="AK462" s="247"/>
      <c r="AL462" s="247"/>
      <c r="AM462" s="247"/>
      <c r="AN462" s="247"/>
      <c r="AO462" s="247"/>
      <c r="AP462" s="247"/>
      <c r="AQ462" s="247"/>
      <c r="AR462" s="247"/>
      <c r="AS462" s="247"/>
      <c r="AT462" s="247"/>
      <c r="AU462" s="261"/>
    </row>
    <row r="463" spans="1:47" ht="60" customHeight="1" x14ac:dyDescent="0.35">
      <c r="A463" s="257" t="s">
        <v>6755</v>
      </c>
      <c r="B463" s="235" t="s">
        <v>6756</v>
      </c>
      <c r="C463" s="236" t="s">
        <v>6780</v>
      </c>
      <c r="D463" s="239" t="s">
        <v>6781</v>
      </c>
      <c r="E463" s="240" t="s">
        <v>5881</v>
      </c>
      <c r="F463" s="243" t="s">
        <v>6759</v>
      </c>
      <c r="G463" s="246" t="str">
        <f>IF(COUNTIF(H463:AU463,"&lt;&gt;")=0,"",SUMPRODUCT(((Recommendations[ImplStatus]="Implemented")+(Recommendations[ImplStatus]="Compensated"))*ISNUMBER(MATCH(Recommendations[Id],H463:AU463,0)))/COUNTIF(H463:AU463,"&lt;&gt;"))</f>
        <v/>
      </c>
      <c r="H463" s="247"/>
      <c r="I463" s="247"/>
      <c r="J463" s="247"/>
      <c r="K463" s="247"/>
      <c r="L463" s="247"/>
      <c r="M463" s="247"/>
      <c r="N463" s="247"/>
      <c r="O463" s="247"/>
      <c r="P463" s="247"/>
      <c r="Q463" s="247"/>
      <c r="R463" s="247"/>
      <c r="S463" s="247"/>
      <c r="T463" s="247"/>
      <c r="U463" s="247"/>
      <c r="V463" s="247"/>
      <c r="W463" s="247"/>
      <c r="X463" s="247"/>
      <c r="Y463" s="247"/>
      <c r="Z463" s="247"/>
      <c r="AA463" s="247"/>
      <c r="AB463" s="247"/>
      <c r="AC463" s="247"/>
      <c r="AD463" s="247"/>
      <c r="AE463" s="247"/>
      <c r="AF463" s="247"/>
      <c r="AG463" s="247"/>
      <c r="AH463" s="247"/>
      <c r="AI463" s="247"/>
      <c r="AJ463" s="247"/>
      <c r="AK463" s="247"/>
      <c r="AL463" s="247"/>
      <c r="AM463" s="247"/>
      <c r="AN463" s="247"/>
      <c r="AO463" s="247"/>
      <c r="AP463" s="247"/>
      <c r="AQ463" s="247"/>
      <c r="AR463" s="247"/>
      <c r="AS463" s="247"/>
      <c r="AT463" s="247"/>
      <c r="AU463" s="261"/>
    </row>
    <row r="464" spans="1:47" ht="60" customHeight="1" x14ac:dyDescent="0.35">
      <c r="A464" s="257" t="s">
        <v>6755</v>
      </c>
      <c r="B464" s="235" t="s">
        <v>6756</v>
      </c>
      <c r="C464" s="236" t="s">
        <v>6782</v>
      </c>
      <c r="D464" s="239" t="s">
        <v>6783</v>
      </c>
      <c r="E464" s="240" t="s">
        <v>5881</v>
      </c>
      <c r="F464" s="243" t="s">
        <v>6759</v>
      </c>
      <c r="G464" s="246" t="str">
        <f>IF(COUNTIF(H464:AU464,"&lt;&gt;")=0,"",SUMPRODUCT(((Recommendations[ImplStatus]="Implemented")+(Recommendations[ImplStatus]="Compensated"))*ISNUMBER(MATCH(Recommendations[Id],H464:AU464,0)))/COUNTIF(H464:AU464,"&lt;&gt;"))</f>
        <v/>
      </c>
      <c r="H464" s="247"/>
      <c r="I464" s="247"/>
      <c r="J464" s="247"/>
      <c r="K464" s="247"/>
      <c r="L464" s="247"/>
      <c r="M464" s="247"/>
      <c r="N464" s="247"/>
      <c r="O464" s="247"/>
      <c r="P464" s="247"/>
      <c r="Q464" s="247"/>
      <c r="R464" s="247"/>
      <c r="S464" s="247"/>
      <c r="T464" s="247"/>
      <c r="U464" s="247"/>
      <c r="V464" s="247"/>
      <c r="W464" s="247"/>
      <c r="X464" s="247"/>
      <c r="Y464" s="247"/>
      <c r="Z464" s="247"/>
      <c r="AA464" s="247"/>
      <c r="AB464" s="247"/>
      <c r="AC464" s="247"/>
      <c r="AD464" s="247"/>
      <c r="AE464" s="247"/>
      <c r="AF464" s="247"/>
      <c r="AG464" s="247"/>
      <c r="AH464" s="247"/>
      <c r="AI464" s="247"/>
      <c r="AJ464" s="247"/>
      <c r="AK464" s="247"/>
      <c r="AL464" s="247"/>
      <c r="AM464" s="247"/>
      <c r="AN464" s="247"/>
      <c r="AO464" s="247"/>
      <c r="AP464" s="247"/>
      <c r="AQ464" s="247"/>
      <c r="AR464" s="247"/>
      <c r="AS464" s="247"/>
      <c r="AT464" s="247"/>
      <c r="AU464" s="261"/>
    </row>
    <row r="465" spans="1:47" ht="60" customHeight="1" x14ac:dyDescent="0.35">
      <c r="A465" s="257" t="s">
        <v>6755</v>
      </c>
      <c r="B465" s="235" t="s">
        <v>6756</v>
      </c>
      <c r="C465" s="236" t="s">
        <v>6784</v>
      </c>
      <c r="D465" s="239" t="s">
        <v>6785</v>
      </c>
      <c r="E465" s="240" t="s">
        <v>5881</v>
      </c>
      <c r="F465" s="243" t="s">
        <v>6759</v>
      </c>
      <c r="G465" s="246" t="str">
        <f>IF(COUNTIF(H465:AU465,"&lt;&gt;")=0,"",SUMPRODUCT(((Recommendations[ImplStatus]="Implemented")+(Recommendations[ImplStatus]="Compensated"))*ISNUMBER(MATCH(Recommendations[Id],H465:AU465,0)))/COUNTIF(H465:AU465,"&lt;&gt;"))</f>
        <v/>
      </c>
      <c r="H465" s="247"/>
      <c r="I465" s="247"/>
      <c r="J465" s="247"/>
      <c r="K465" s="247"/>
      <c r="L465" s="247"/>
      <c r="M465" s="247"/>
      <c r="N465" s="247"/>
      <c r="O465" s="247"/>
      <c r="P465" s="247"/>
      <c r="Q465" s="247"/>
      <c r="R465" s="247"/>
      <c r="S465" s="247"/>
      <c r="T465" s="247"/>
      <c r="U465" s="247"/>
      <c r="V465" s="247"/>
      <c r="W465" s="247"/>
      <c r="X465" s="247"/>
      <c r="Y465" s="247"/>
      <c r="Z465" s="247"/>
      <c r="AA465" s="247"/>
      <c r="AB465" s="247"/>
      <c r="AC465" s="247"/>
      <c r="AD465" s="247"/>
      <c r="AE465" s="247"/>
      <c r="AF465" s="247"/>
      <c r="AG465" s="247"/>
      <c r="AH465" s="247"/>
      <c r="AI465" s="247"/>
      <c r="AJ465" s="247"/>
      <c r="AK465" s="247"/>
      <c r="AL465" s="247"/>
      <c r="AM465" s="247"/>
      <c r="AN465" s="247"/>
      <c r="AO465" s="247"/>
      <c r="AP465" s="247"/>
      <c r="AQ465" s="247"/>
      <c r="AR465" s="247"/>
      <c r="AS465" s="247"/>
      <c r="AT465" s="247"/>
      <c r="AU465" s="261"/>
    </row>
    <row r="466" spans="1:47" ht="60" customHeight="1" outlineLevel="2" x14ac:dyDescent="0.35">
      <c r="A466" s="256" t="s">
        <v>6755</v>
      </c>
      <c r="B466" s="234" t="s">
        <v>6786</v>
      </c>
      <c r="C466" s="234"/>
      <c r="D466" s="238"/>
      <c r="E466" s="234"/>
      <c r="F466" s="242"/>
      <c r="G466" s="245" t="str">
        <f>IF(COUNTIF(H466:AU466,"&lt;&gt;")=0,"",SUMPRODUCT(((Recommendations[ImplStatus]="Implemented")+(Recommendations[ImplStatus]="Compensated"))*ISNUMBER(MATCH(Recommendations[Id],H466:AU466,0)))/COUNTIF(H466:AU466,"&lt;&gt;"))</f>
        <v/>
      </c>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60"/>
    </row>
    <row r="467" spans="1:47" ht="60" customHeight="1" x14ac:dyDescent="0.35">
      <c r="A467" s="257" t="s">
        <v>6755</v>
      </c>
      <c r="B467" s="235" t="s">
        <v>6786</v>
      </c>
      <c r="C467" s="236" t="s">
        <v>6787</v>
      </c>
      <c r="D467" s="239" t="s">
        <v>6788</v>
      </c>
      <c r="E467" s="240" t="s">
        <v>5852</v>
      </c>
      <c r="F467" s="243" t="s">
        <v>5991</v>
      </c>
      <c r="G467" s="246" t="str">
        <f>IF(COUNTIF(H467:AU467,"&lt;&gt;")=0,"",SUMPRODUCT(((Recommendations[ImplStatus]="Implemented")+(Recommendations[ImplStatus]="Compensated"))*ISNUMBER(MATCH(Recommendations[Id],H467:AU467,0)))/COUNTIF(H467:AU467,"&lt;&gt;"))</f>
        <v/>
      </c>
      <c r="H467" s="247"/>
      <c r="I467" s="247"/>
      <c r="J467" s="247"/>
      <c r="K467" s="247"/>
      <c r="L467" s="247"/>
      <c r="M467" s="247"/>
      <c r="N467" s="247"/>
      <c r="O467" s="247"/>
      <c r="P467" s="247"/>
      <c r="Q467" s="247"/>
      <c r="R467" s="247"/>
      <c r="S467" s="247"/>
      <c r="T467" s="247"/>
      <c r="U467" s="247"/>
      <c r="V467" s="247"/>
      <c r="W467" s="247"/>
      <c r="X467" s="247"/>
      <c r="Y467" s="247"/>
      <c r="Z467" s="247"/>
      <c r="AA467" s="247"/>
      <c r="AB467" s="247"/>
      <c r="AC467" s="247"/>
      <c r="AD467" s="247"/>
      <c r="AE467" s="247"/>
      <c r="AF467" s="247"/>
      <c r="AG467" s="247"/>
      <c r="AH467" s="247"/>
      <c r="AI467" s="247"/>
      <c r="AJ467" s="247"/>
      <c r="AK467" s="247"/>
      <c r="AL467" s="247"/>
      <c r="AM467" s="247"/>
      <c r="AN467" s="247"/>
      <c r="AO467" s="247"/>
      <c r="AP467" s="247"/>
      <c r="AQ467" s="247"/>
      <c r="AR467" s="247"/>
      <c r="AS467" s="247"/>
      <c r="AT467" s="247"/>
      <c r="AU467" s="261"/>
    </row>
    <row r="468" spans="1:47" ht="60" customHeight="1" x14ac:dyDescent="0.35">
      <c r="A468" s="257" t="s">
        <v>6755</v>
      </c>
      <c r="B468" s="235" t="s">
        <v>6786</v>
      </c>
      <c r="C468" s="236" t="s">
        <v>6789</v>
      </c>
      <c r="D468" s="239" t="s">
        <v>6790</v>
      </c>
      <c r="E468" s="240" t="s">
        <v>5852</v>
      </c>
      <c r="F468" s="243" t="s">
        <v>5991</v>
      </c>
      <c r="G468" s="246" t="str">
        <f>IF(COUNTIF(H468:AU468,"&lt;&gt;")=0,"",SUMPRODUCT(((Recommendations[ImplStatus]="Implemented")+(Recommendations[ImplStatus]="Compensated"))*ISNUMBER(MATCH(Recommendations[Id],H468:AU468,0)))/COUNTIF(H468:AU468,"&lt;&gt;"))</f>
        <v/>
      </c>
      <c r="H468" s="247"/>
      <c r="I468" s="247"/>
      <c r="J468" s="247"/>
      <c r="K468" s="247"/>
      <c r="L468" s="247"/>
      <c r="M468" s="247"/>
      <c r="N468" s="247"/>
      <c r="O468" s="247"/>
      <c r="P468" s="247"/>
      <c r="Q468" s="247"/>
      <c r="R468" s="247"/>
      <c r="S468" s="247"/>
      <c r="T468" s="247"/>
      <c r="U468" s="247"/>
      <c r="V468" s="247"/>
      <c r="W468" s="247"/>
      <c r="X468" s="247"/>
      <c r="Y468" s="247"/>
      <c r="Z468" s="247"/>
      <c r="AA468" s="247"/>
      <c r="AB468" s="247"/>
      <c r="AC468" s="247"/>
      <c r="AD468" s="247"/>
      <c r="AE468" s="247"/>
      <c r="AF468" s="247"/>
      <c r="AG468" s="247"/>
      <c r="AH468" s="247"/>
      <c r="AI468" s="247"/>
      <c r="AJ468" s="247"/>
      <c r="AK468" s="247"/>
      <c r="AL468" s="247"/>
      <c r="AM468" s="247"/>
      <c r="AN468" s="247"/>
      <c r="AO468" s="247"/>
      <c r="AP468" s="247"/>
      <c r="AQ468" s="247"/>
      <c r="AR468" s="247"/>
      <c r="AS468" s="247"/>
      <c r="AT468" s="247"/>
      <c r="AU468" s="261"/>
    </row>
    <row r="469" spans="1:47" ht="60" customHeight="1" x14ac:dyDescent="0.35">
      <c r="A469" s="257" t="s">
        <v>6755</v>
      </c>
      <c r="B469" s="235" t="s">
        <v>6786</v>
      </c>
      <c r="C469" s="236" t="s">
        <v>6791</v>
      </c>
      <c r="D469" s="239" t="s">
        <v>6792</v>
      </c>
      <c r="E469" s="240" t="s">
        <v>5852</v>
      </c>
      <c r="F469" s="243" t="s">
        <v>5991</v>
      </c>
      <c r="G469" s="246" t="str">
        <f>IF(COUNTIF(H469:AU469,"&lt;&gt;")=0,"",SUMPRODUCT(((Recommendations[ImplStatus]="Implemented")+(Recommendations[ImplStatus]="Compensated"))*ISNUMBER(MATCH(Recommendations[Id],H469:AU469,0)))/COUNTIF(H469:AU469,"&lt;&gt;"))</f>
        <v/>
      </c>
      <c r="H469" s="247"/>
      <c r="I469" s="247"/>
      <c r="J469" s="247"/>
      <c r="K469" s="247"/>
      <c r="L469" s="247"/>
      <c r="M469" s="247"/>
      <c r="N469" s="247"/>
      <c r="O469" s="247"/>
      <c r="P469" s="247"/>
      <c r="Q469" s="247"/>
      <c r="R469" s="247"/>
      <c r="S469" s="247"/>
      <c r="T469" s="247"/>
      <c r="U469" s="247"/>
      <c r="V469" s="247"/>
      <c r="W469" s="247"/>
      <c r="X469" s="247"/>
      <c r="Y469" s="247"/>
      <c r="Z469" s="247"/>
      <c r="AA469" s="247"/>
      <c r="AB469" s="247"/>
      <c r="AC469" s="247"/>
      <c r="AD469" s="247"/>
      <c r="AE469" s="247"/>
      <c r="AF469" s="247"/>
      <c r="AG469" s="247"/>
      <c r="AH469" s="247"/>
      <c r="AI469" s="247"/>
      <c r="AJ469" s="247"/>
      <c r="AK469" s="247"/>
      <c r="AL469" s="247"/>
      <c r="AM469" s="247"/>
      <c r="AN469" s="247"/>
      <c r="AO469" s="247"/>
      <c r="AP469" s="247"/>
      <c r="AQ469" s="247"/>
      <c r="AR469" s="247"/>
      <c r="AS469" s="247"/>
      <c r="AT469" s="247"/>
      <c r="AU469" s="261"/>
    </row>
    <row r="470" spans="1:47" ht="60" customHeight="1" x14ac:dyDescent="0.35">
      <c r="A470" s="257" t="s">
        <v>6755</v>
      </c>
      <c r="B470" s="235" t="s">
        <v>6786</v>
      </c>
      <c r="C470" s="236" t="s">
        <v>6793</v>
      </c>
      <c r="D470" s="239" t="s">
        <v>6794</v>
      </c>
      <c r="E470" s="240" t="s">
        <v>5948</v>
      </c>
      <c r="F470" s="243" t="s">
        <v>6360</v>
      </c>
      <c r="G470" s="246" t="str">
        <f>IF(COUNTIF(H470:AU470,"&lt;&gt;")=0,"",SUMPRODUCT(((Recommendations[ImplStatus]="Implemented")+(Recommendations[ImplStatus]="Compensated"))*ISNUMBER(MATCH(Recommendations[Id],H470:AU470,0)))/COUNTIF(H470:AU470,"&lt;&gt;"))</f>
        <v/>
      </c>
      <c r="H470" s="247"/>
      <c r="I470" s="247"/>
      <c r="J470" s="247"/>
      <c r="K470" s="247"/>
      <c r="L470" s="247"/>
      <c r="M470" s="247"/>
      <c r="N470" s="247"/>
      <c r="O470" s="247"/>
      <c r="P470" s="247"/>
      <c r="Q470" s="247"/>
      <c r="R470" s="247"/>
      <c r="S470" s="247"/>
      <c r="T470" s="247"/>
      <c r="U470" s="247"/>
      <c r="V470" s="247"/>
      <c r="W470" s="247"/>
      <c r="X470" s="247"/>
      <c r="Y470" s="247"/>
      <c r="Z470" s="247"/>
      <c r="AA470" s="247"/>
      <c r="AB470" s="247"/>
      <c r="AC470" s="247"/>
      <c r="AD470" s="247"/>
      <c r="AE470" s="247"/>
      <c r="AF470" s="247"/>
      <c r="AG470" s="247"/>
      <c r="AH470" s="247"/>
      <c r="AI470" s="247"/>
      <c r="AJ470" s="247"/>
      <c r="AK470" s="247"/>
      <c r="AL470" s="247"/>
      <c r="AM470" s="247"/>
      <c r="AN470" s="247"/>
      <c r="AO470" s="247"/>
      <c r="AP470" s="247"/>
      <c r="AQ470" s="247"/>
      <c r="AR470" s="247"/>
      <c r="AS470" s="247"/>
      <c r="AT470" s="247"/>
      <c r="AU470" s="261"/>
    </row>
    <row r="471" spans="1:47" ht="60" customHeight="1" x14ac:dyDescent="0.35">
      <c r="A471" s="257" t="s">
        <v>6755</v>
      </c>
      <c r="B471" s="235" t="s">
        <v>6786</v>
      </c>
      <c r="C471" s="236" t="s">
        <v>6795</v>
      </c>
      <c r="D471" s="239" t="s">
        <v>6796</v>
      </c>
      <c r="E471" s="240" t="s">
        <v>5948</v>
      </c>
      <c r="F471" s="243" t="s">
        <v>6360</v>
      </c>
      <c r="G471" s="246" t="str">
        <f>IF(COUNTIF(H471:AU471,"&lt;&gt;")=0,"",SUMPRODUCT(((Recommendations[ImplStatus]="Implemented")+(Recommendations[ImplStatus]="Compensated"))*ISNUMBER(MATCH(Recommendations[Id],H471:AU471,0)))/COUNTIF(H471:AU471,"&lt;&gt;"))</f>
        <v/>
      </c>
      <c r="H471" s="247"/>
      <c r="I471" s="247"/>
      <c r="J471" s="247"/>
      <c r="K471" s="247"/>
      <c r="L471" s="247"/>
      <c r="M471" s="247"/>
      <c r="N471" s="247"/>
      <c r="O471" s="247"/>
      <c r="P471" s="247"/>
      <c r="Q471" s="247"/>
      <c r="R471" s="247"/>
      <c r="S471" s="247"/>
      <c r="T471" s="247"/>
      <c r="U471" s="247"/>
      <c r="V471" s="247"/>
      <c r="W471" s="247"/>
      <c r="X471" s="247"/>
      <c r="Y471" s="247"/>
      <c r="Z471" s="247"/>
      <c r="AA471" s="247"/>
      <c r="AB471" s="247"/>
      <c r="AC471" s="247"/>
      <c r="AD471" s="247"/>
      <c r="AE471" s="247"/>
      <c r="AF471" s="247"/>
      <c r="AG471" s="247"/>
      <c r="AH471" s="247"/>
      <c r="AI471" s="247"/>
      <c r="AJ471" s="247"/>
      <c r="AK471" s="247"/>
      <c r="AL471" s="247"/>
      <c r="AM471" s="247"/>
      <c r="AN471" s="247"/>
      <c r="AO471" s="247"/>
      <c r="AP471" s="247"/>
      <c r="AQ471" s="247"/>
      <c r="AR471" s="247"/>
      <c r="AS471" s="247"/>
      <c r="AT471" s="247"/>
      <c r="AU471" s="261"/>
    </row>
    <row r="472" spans="1:47" ht="60" customHeight="1" x14ac:dyDescent="0.35">
      <c r="A472" s="257" t="s">
        <v>6755</v>
      </c>
      <c r="B472" s="235" t="s">
        <v>6786</v>
      </c>
      <c r="C472" s="236" t="s">
        <v>6797</v>
      </c>
      <c r="D472" s="239" t="s">
        <v>6798</v>
      </c>
      <c r="E472" s="240" t="s">
        <v>5852</v>
      </c>
      <c r="F472" s="243" t="s">
        <v>6360</v>
      </c>
      <c r="G472" s="246" t="str">
        <f>IF(COUNTIF(H472:AU472,"&lt;&gt;")=0,"",SUMPRODUCT(((Recommendations[ImplStatus]="Implemented")+(Recommendations[ImplStatus]="Compensated"))*ISNUMBER(MATCH(Recommendations[Id],H472:AU472,0)))/COUNTIF(H472:AU472,"&lt;&gt;"))</f>
        <v/>
      </c>
      <c r="H472" s="247"/>
      <c r="I472" s="247"/>
      <c r="J472" s="247"/>
      <c r="K472" s="247"/>
      <c r="L472" s="247"/>
      <c r="M472" s="247"/>
      <c r="N472" s="247"/>
      <c r="O472" s="247"/>
      <c r="P472" s="247"/>
      <c r="Q472" s="247"/>
      <c r="R472" s="247"/>
      <c r="S472" s="247"/>
      <c r="T472" s="247"/>
      <c r="U472" s="247"/>
      <c r="V472" s="247"/>
      <c r="W472" s="247"/>
      <c r="X472" s="247"/>
      <c r="Y472" s="247"/>
      <c r="Z472" s="247"/>
      <c r="AA472" s="247"/>
      <c r="AB472" s="247"/>
      <c r="AC472" s="247"/>
      <c r="AD472" s="247"/>
      <c r="AE472" s="247"/>
      <c r="AF472" s="247"/>
      <c r="AG472" s="247"/>
      <c r="AH472" s="247"/>
      <c r="AI472" s="247"/>
      <c r="AJ472" s="247"/>
      <c r="AK472" s="247"/>
      <c r="AL472" s="247"/>
      <c r="AM472" s="247"/>
      <c r="AN472" s="247"/>
      <c r="AO472" s="247"/>
      <c r="AP472" s="247"/>
      <c r="AQ472" s="247"/>
      <c r="AR472" s="247"/>
      <c r="AS472" s="247"/>
      <c r="AT472" s="247"/>
      <c r="AU472" s="261"/>
    </row>
    <row r="473" spans="1:47" ht="60" customHeight="1" x14ac:dyDescent="0.35">
      <c r="A473" s="257" t="s">
        <v>6755</v>
      </c>
      <c r="B473" s="235" t="s">
        <v>6786</v>
      </c>
      <c r="C473" s="236" t="s">
        <v>6799</v>
      </c>
      <c r="D473" s="239" t="s">
        <v>6800</v>
      </c>
      <c r="E473" s="240" t="s">
        <v>5852</v>
      </c>
      <c r="F473" s="243" t="s">
        <v>6299</v>
      </c>
      <c r="G473" s="246" t="str">
        <f>IF(COUNTIF(H473:AU473,"&lt;&gt;")=0,"",SUMPRODUCT(((Recommendations[ImplStatus]="Implemented")+(Recommendations[ImplStatus]="Compensated"))*ISNUMBER(MATCH(Recommendations[Id],H473:AU473,0)))/COUNTIF(H473:AU473,"&lt;&gt;"))</f>
        <v/>
      </c>
      <c r="H473" s="247"/>
      <c r="I473" s="247"/>
      <c r="J473" s="247"/>
      <c r="K473" s="247"/>
      <c r="L473" s="247"/>
      <c r="M473" s="247"/>
      <c r="N473" s="247"/>
      <c r="O473" s="247"/>
      <c r="P473" s="247"/>
      <c r="Q473" s="247"/>
      <c r="R473" s="247"/>
      <c r="S473" s="247"/>
      <c r="T473" s="247"/>
      <c r="U473" s="247"/>
      <c r="V473" s="247"/>
      <c r="W473" s="247"/>
      <c r="X473" s="247"/>
      <c r="Y473" s="247"/>
      <c r="Z473" s="247"/>
      <c r="AA473" s="247"/>
      <c r="AB473" s="247"/>
      <c r="AC473" s="247"/>
      <c r="AD473" s="247"/>
      <c r="AE473" s="247"/>
      <c r="AF473" s="247"/>
      <c r="AG473" s="247"/>
      <c r="AH473" s="247"/>
      <c r="AI473" s="247"/>
      <c r="AJ473" s="247"/>
      <c r="AK473" s="247"/>
      <c r="AL473" s="247"/>
      <c r="AM473" s="247"/>
      <c r="AN473" s="247"/>
      <c r="AO473" s="247"/>
      <c r="AP473" s="247"/>
      <c r="AQ473" s="247"/>
      <c r="AR473" s="247"/>
      <c r="AS473" s="247"/>
      <c r="AT473" s="247"/>
      <c r="AU473" s="261"/>
    </row>
    <row r="474" spans="1:47" ht="60" customHeight="1" x14ac:dyDescent="0.35">
      <c r="A474" s="257" t="s">
        <v>6755</v>
      </c>
      <c r="B474" s="235" t="s">
        <v>6786</v>
      </c>
      <c r="C474" s="236" t="s">
        <v>6801</v>
      </c>
      <c r="D474" s="239" t="s">
        <v>6802</v>
      </c>
      <c r="E474" s="240" t="s">
        <v>5881</v>
      </c>
      <c r="F474" s="243" t="s">
        <v>6299</v>
      </c>
      <c r="G474" s="246" t="str">
        <f>IF(COUNTIF(H474:AU474,"&lt;&gt;")=0,"",SUMPRODUCT(((Recommendations[ImplStatus]="Implemented")+(Recommendations[ImplStatus]="Compensated"))*ISNUMBER(MATCH(Recommendations[Id],H474:AU474,0)))/COUNTIF(H474:AU474,"&lt;&gt;"))</f>
        <v/>
      </c>
      <c r="H474" s="247"/>
      <c r="I474" s="247"/>
      <c r="J474" s="247"/>
      <c r="K474" s="247"/>
      <c r="L474" s="247"/>
      <c r="M474" s="247"/>
      <c r="N474" s="247"/>
      <c r="O474" s="247"/>
      <c r="P474" s="247"/>
      <c r="Q474" s="247"/>
      <c r="R474" s="247"/>
      <c r="S474" s="247"/>
      <c r="T474" s="247"/>
      <c r="U474" s="247"/>
      <c r="V474" s="247"/>
      <c r="W474" s="247"/>
      <c r="X474" s="247"/>
      <c r="Y474" s="247"/>
      <c r="Z474" s="247"/>
      <c r="AA474" s="247"/>
      <c r="AB474" s="247"/>
      <c r="AC474" s="247"/>
      <c r="AD474" s="247"/>
      <c r="AE474" s="247"/>
      <c r="AF474" s="247"/>
      <c r="AG474" s="247"/>
      <c r="AH474" s="247"/>
      <c r="AI474" s="247"/>
      <c r="AJ474" s="247"/>
      <c r="AK474" s="247"/>
      <c r="AL474" s="247"/>
      <c r="AM474" s="247"/>
      <c r="AN474" s="247"/>
      <c r="AO474" s="247"/>
      <c r="AP474" s="247"/>
      <c r="AQ474" s="247"/>
      <c r="AR474" s="247"/>
      <c r="AS474" s="247"/>
      <c r="AT474" s="247"/>
      <c r="AU474" s="261"/>
    </row>
    <row r="475" spans="1:47" ht="60" customHeight="1" x14ac:dyDescent="0.35">
      <c r="A475" s="257" t="s">
        <v>6755</v>
      </c>
      <c r="B475" s="235" t="s">
        <v>6786</v>
      </c>
      <c r="C475" s="236" t="s">
        <v>6803</v>
      </c>
      <c r="D475" s="239" t="s">
        <v>6804</v>
      </c>
      <c r="E475" s="240" t="s">
        <v>5881</v>
      </c>
      <c r="F475" s="243" t="s">
        <v>6299</v>
      </c>
      <c r="G475" s="246" t="str">
        <f>IF(COUNTIF(H475:AU475,"&lt;&gt;")=0,"",SUMPRODUCT(((Recommendations[ImplStatus]="Implemented")+(Recommendations[ImplStatus]="Compensated"))*ISNUMBER(MATCH(Recommendations[Id],H475:AU475,0)))/COUNTIF(H475:AU475,"&lt;&gt;"))</f>
        <v/>
      </c>
      <c r="H475" s="247"/>
      <c r="I475" s="247"/>
      <c r="J475" s="247"/>
      <c r="K475" s="247"/>
      <c r="L475" s="247"/>
      <c r="M475" s="247"/>
      <c r="N475" s="247"/>
      <c r="O475" s="247"/>
      <c r="P475" s="247"/>
      <c r="Q475" s="247"/>
      <c r="R475" s="247"/>
      <c r="S475" s="247"/>
      <c r="T475" s="247"/>
      <c r="U475" s="247"/>
      <c r="V475" s="247"/>
      <c r="W475" s="247"/>
      <c r="X475" s="247"/>
      <c r="Y475" s="247"/>
      <c r="Z475" s="247"/>
      <c r="AA475" s="247"/>
      <c r="AB475" s="247"/>
      <c r="AC475" s="247"/>
      <c r="AD475" s="247"/>
      <c r="AE475" s="247"/>
      <c r="AF475" s="247"/>
      <c r="AG475" s="247"/>
      <c r="AH475" s="247"/>
      <c r="AI475" s="247"/>
      <c r="AJ475" s="247"/>
      <c r="AK475" s="247"/>
      <c r="AL475" s="247"/>
      <c r="AM475" s="247"/>
      <c r="AN475" s="247"/>
      <c r="AO475" s="247"/>
      <c r="AP475" s="247"/>
      <c r="AQ475" s="247"/>
      <c r="AR475" s="247"/>
      <c r="AS475" s="247"/>
      <c r="AT475" s="247"/>
      <c r="AU475" s="261"/>
    </row>
    <row r="476" spans="1:47" ht="60" customHeight="1" x14ac:dyDescent="0.35">
      <c r="A476" s="257" t="s">
        <v>6755</v>
      </c>
      <c r="B476" s="235" t="s">
        <v>6786</v>
      </c>
      <c r="C476" s="236" t="s">
        <v>6805</v>
      </c>
      <c r="D476" s="239" t="s">
        <v>6806</v>
      </c>
      <c r="E476" s="240" t="s">
        <v>5881</v>
      </c>
      <c r="F476" s="243" t="s">
        <v>6299</v>
      </c>
      <c r="G476" s="246" t="str">
        <f>IF(COUNTIF(H476:AU476,"&lt;&gt;")=0,"",SUMPRODUCT(((Recommendations[ImplStatus]="Implemented")+(Recommendations[ImplStatus]="Compensated"))*ISNUMBER(MATCH(Recommendations[Id],H476:AU476,0)))/COUNTIF(H476:AU476,"&lt;&gt;"))</f>
        <v/>
      </c>
      <c r="H476" s="247"/>
      <c r="I476" s="247"/>
      <c r="J476" s="247"/>
      <c r="K476" s="247"/>
      <c r="L476" s="247"/>
      <c r="M476" s="247"/>
      <c r="N476" s="247"/>
      <c r="O476" s="247"/>
      <c r="P476" s="247"/>
      <c r="Q476" s="247"/>
      <c r="R476" s="247"/>
      <c r="S476" s="247"/>
      <c r="T476" s="247"/>
      <c r="U476" s="247"/>
      <c r="V476" s="247"/>
      <c r="W476" s="247"/>
      <c r="X476" s="247"/>
      <c r="Y476" s="247"/>
      <c r="Z476" s="247"/>
      <c r="AA476" s="247"/>
      <c r="AB476" s="247"/>
      <c r="AC476" s="247"/>
      <c r="AD476" s="247"/>
      <c r="AE476" s="247"/>
      <c r="AF476" s="247"/>
      <c r="AG476" s="247"/>
      <c r="AH476" s="247"/>
      <c r="AI476" s="247"/>
      <c r="AJ476" s="247"/>
      <c r="AK476" s="247"/>
      <c r="AL476" s="247"/>
      <c r="AM476" s="247"/>
      <c r="AN476" s="247"/>
      <c r="AO476" s="247"/>
      <c r="AP476" s="247"/>
      <c r="AQ476" s="247"/>
      <c r="AR476" s="247"/>
      <c r="AS476" s="247"/>
      <c r="AT476" s="247"/>
      <c r="AU476" s="261"/>
    </row>
    <row r="477" spans="1:47" ht="60" customHeight="1" x14ac:dyDescent="0.35">
      <c r="A477" s="257" t="s">
        <v>6755</v>
      </c>
      <c r="B477" s="235" t="s">
        <v>6786</v>
      </c>
      <c r="C477" s="236" t="s">
        <v>6807</v>
      </c>
      <c r="D477" s="239" t="s">
        <v>6808</v>
      </c>
      <c r="E477" s="240" t="s">
        <v>5881</v>
      </c>
      <c r="F477" s="243" t="s">
        <v>6299</v>
      </c>
      <c r="G477" s="246" t="str">
        <f>IF(COUNTIF(H477:AU477,"&lt;&gt;")=0,"",SUMPRODUCT(((Recommendations[ImplStatus]="Implemented")+(Recommendations[ImplStatus]="Compensated"))*ISNUMBER(MATCH(Recommendations[Id],H477:AU477,0)))/COUNTIF(H477:AU477,"&lt;&gt;"))</f>
        <v/>
      </c>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47"/>
      <c r="AD477" s="247"/>
      <c r="AE477" s="247"/>
      <c r="AF477" s="247"/>
      <c r="AG477" s="247"/>
      <c r="AH477" s="247"/>
      <c r="AI477" s="247"/>
      <c r="AJ477" s="247"/>
      <c r="AK477" s="247"/>
      <c r="AL477" s="247"/>
      <c r="AM477" s="247"/>
      <c r="AN477" s="247"/>
      <c r="AO477" s="247"/>
      <c r="AP477" s="247"/>
      <c r="AQ477" s="247"/>
      <c r="AR477" s="247"/>
      <c r="AS477" s="247"/>
      <c r="AT477" s="247"/>
      <c r="AU477" s="261"/>
    </row>
    <row r="478" spans="1:47" ht="60" customHeight="1" x14ac:dyDescent="0.35">
      <c r="A478" s="257" t="s">
        <v>6755</v>
      </c>
      <c r="B478" s="235" t="s">
        <v>6786</v>
      </c>
      <c r="C478" s="236" t="s">
        <v>6809</v>
      </c>
      <c r="D478" s="239" t="s">
        <v>6810</v>
      </c>
      <c r="E478" s="240" t="s">
        <v>5881</v>
      </c>
      <c r="F478" s="243" t="s">
        <v>6360</v>
      </c>
      <c r="G478" s="246" t="str">
        <f>IF(COUNTIF(H478:AU478,"&lt;&gt;")=0,"",SUMPRODUCT(((Recommendations[ImplStatus]="Implemented")+(Recommendations[ImplStatus]="Compensated"))*ISNUMBER(MATCH(Recommendations[Id],H478:AU478,0)))/COUNTIF(H478:AU478,"&lt;&gt;"))</f>
        <v/>
      </c>
      <c r="H478" s="247"/>
      <c r="I478" s="247"/>
      <c r="J478" s="247"/>
      <c r="K478" s="247"/>
      <c r="L478" s="247"/>
      <c r="M478" s="247"/>
      <c r="N478" s="247"/>
      <c r="O478" s="247"/>
      <c r="P478" s="247"/>
      <c r="Q478" s="247"/>
      <c r="R478" s="247"/>
      <c r="S478" s="247"/>
      <c r="T478" s="247"/>
      <c r="U478" s="247"/>
      <c r="V478" s="247"/>
      <c r="W478" s="247"/>
      <c r="X478" s="247"/>
      <c r="Y478" s="247"/>
      <c r="Z478" s="247"/>
      <c r="AA478" s="247"/>
      <c r="AB478" s="247"/>
      <c r="AC478" s="247"/>
      <c r="AD478" s="247"/>
      <c r="AE478" s="247"/>
      <c r="AF478" s="247"/>
      <c r="AG478" s="247"/>
      <c r="AH478" s="247"/>
      <c r="AI478" s="247"/>
      <c r="AJ478" s="247"/>
      <c r="AK478" s="247"/>
      <c r="AL478" s="247"/>
      <c r="AM478" s="247"/>
      <c r="AN478" s="247"/>
      <c r="AO478" s="247"/>
      <c r="AP478" s="247"/>
      <c r="AQ478" s="247"/>
      <c r="AR478" s="247"/>
      <c r="AS478" s="247"/>
      <c r="AT478" s="247"/>
      <c r="AU478" s="261"/>
    </row>
    <row r="479" spans="1:47" ht="60" customHeight="1" x14ac:dyDescent="0.35">
      <c r="A479" s="257" t="s">
        <v>6755</v>
      </c>
      <c r="B479" s="235" t="s">
        <v>6786</v>
      </c>
      <c r="C479" s="236" t="s">
        <v>6811</v>
      </c>
      <c r="D479" s="239" t="s">
        <v>6812</v>
      </c>
      <c r="E479" s="240" t="s">
        <v>5996</v>
      </c>
      <c r="F479" s="243" t="s">
        <v>6360</v>
      </c>
      <c r="G479" s="246" t="str">
        <f>IF(COUNTIF(H479:AU479,"&lt;&gt;")=0,"",SUMPRODUCT(((Recommendations[ImplStatus]="Implemented")+(Recommendations[ImplStatus]="Compensated"))*ISNUMBER(MATCH(Recommendations[Id],H479:AU479,0)))/COUNTIF(H479:AU479,"&lt;&gt;"))</f>
        <v/>
      </c>
      <c r="H479" s="247"/>
      <c r="I479" s="247"/>
      <c r="J479" s="247"/>
      <c r="K479" s="247"/>
      <c r="L479" s="247"/>
      <c r="M479" s="247"/>
      <c r="N479" s="247"/>
      <c r="O479" s="247"/>
      <c r="P479" s="247"/>
      <c r="Q479" s="247"/>
      <c r="R479" s="247"/>
      <c r="S479" s="247"/>
      <c r="T479" s="247"/>
      <c r="U479" s="247"/>
      <c r="V479" s="247"/>
      <c r="W479" s="247"/>
      <c r="X479" s="247"/>
      <c r="Y479" s="247"/>
      <c r="Z479" s="247"/>
      <c r="AA479" s="247"/>
      <c r="AB479" s="247"/>
      <c r="AC479" s="247"/>
      <c r="AD479" s="247"/>
      <c r="AE479" s="247"/>
      <c r="AF479" s="247"/>
      <c r="AG479" s="247"/>
      <c r="AH479" s="247"/>
      <c r="AI479" s="247"/>
      <c r="AJ479" s="247"/>
      <c r="AK479" s="247"/>
      <c r="AL479" s="247"/>
      <c r="AM479" s="247"/>
      <c r="AN479" s="247"/>
      <c r="AO479" s="247"/>
      <c r="AP479" s="247"/>
      <c r="AQ479" s="247"/>
      <c r="AR479" s="247"/>
      <c r="AS479" s="247"/>
      <c r="AT479" s="247"/>
      <c r="AU479" s="261"/>
    </row>
    <row r="480" spans="1:47" ht="60" customHeight="1" x14ac:dyDescent="0.35">
      <c r="A480" s="257" t="s">
        <v>6755</v>
      </c>
      <c r="B480" s="235" t="s">
        <v>6786</v>
      </c>
      <c r="C480" s="236" t="s">
        <v>6813</v>
      </c>
      <c r="D480" s="239" t="s">
        <v>6814</v>
      </c>
      <c r="E480" s="240" t="s">
        <v>5996</v>
      </c>
      <c r="F480" s="243" t="s">
        <v>6360</v>
      </c>
      <c r="G480" s="246" t="str">
        <f>IF(COUNTIF(H480:AU480,"&lt;&gt;")=0,"",SUMPRODUCT(((Recommendations[ImplStatus]="Implemented")+(Recommendations[ImplStatus]="Compensated"))*ISNUMBER(MATCH(Recommendations[Id],H480:AU480,0)))/COUNTIF(H480:AU480,"&lt;&gt;"))</f>
        <v/>
      </c>
      <c r="H480" s="247"/>
      <c r="I480" s="247"/>
      <c r="J480" s="247"/>
      <c r="K480" s="247"/>
      <c r="L480" s="247"/>
      <c r="M480" s="247"/>
      <c r="N480" s="247"/>
      <c r="O480" s="247"/>
      <c r="P480" s="247"/>
      <c r="Q480" s="247"/>
      <c r="R480" s="247"/>
      <c r="S480" s="247"/>
      <c r="T480" s="247"/>
      <c r="U480" s="247"/>
      <c r="V480" s="247"/>
      <c r="W480" s="247"/>
      <c r="X480" s="247"/>
      <c r="Y480" s="247"/>
      <c r="Z480" s="247"/>
      <c r="AA480" s="247"/>
      <c r="AB480" s="247"/>
      <c r="AC480" s="247"/>
      <c r="AD480" s="247"/>
      <c r="AE480" s="247"/>
      <c r="AF480" s="247"/>
      <c r="AG480" s="247"/>
      <c r="AH480" s="247"/>
      <c r="AI480" s="247"/>
      <c r="AJ480" s="247"/>
      <c r="AK480" s="247"/>
      <c r="AL480" s="247"/>
      <c r="AM480" s="247"/>
      <c r="AN480" s="247"/>
      <c r="AO480" s="247"/>
      <c r="AP480" s="247"/>
      <c r="AQ480" s="247"/>
      <c r="AR480" s="247"/>
      <c r="AS480" s="247"/>
      <c r="AT480" s="247"/>
      <c r="AU480" s="261"/>
    </row>
    <row r="481" spans="1:47" ht="60" customHeight="1" x14ac:dyDescent="0.35">
      <c r="A481" s="258" t="s">
        <v>6755</v>
      </c>
      <c r="B481" s="248" t="s">
        <v>6786</v>
      </c>
      <c r="C481" s="249" t="s">
        <v>6815</v>
      </c>
      <c r="D481" s="250" t="s">
        <v>6816</v>
      </c>
      <c r="E481" s="251" t="s">
        <v>5996</v>
      </c>
      <c r="F481" s="252" t="s">
        <v>5991</v>
      </c>
      <c r="G481" s="253" t="str">
        <f>IF(COUNTIF(H481:AU481,"&lt;&gt;")=0,"",SUMPRODUCT(((Recommendations[ImplStatus]="Implemented")+(Recommendations[ImplStatus]="Compensated"))*ISNUMBER(MATCH(Recommendations[Id],H481:AU481,0)))/COUNTIF(H481:AU481,"&lt;&gt;"))</f>
        <v/>
      </c>
      <c r="H481" s="254"/>
      <c r="I481" s="254"/>
      <c r="J481" s="254"/>
      <c r="K481" s="254"/>
      <c r="L481" s="254"/>
      <c r="M481" s="254"/>
      <c r="N481" s="254"/>
      <c r="O481" s="254"/>
      <c r="P481" s="254"/>
      <c r="Q481" s="254"/>
      <c r="R481" s="254"/>
      <c r="S481" s="254"/>
      <c r="T481" s="254"/>
      <c r="U481" s="254"/>
      <c r="V481" s="254"/>
      <c r="W481" s="254"/>
      <c r="X481" s="254"/>
      <c r="Y481" s="254"/>
      <c r="Z481" s="254"/>
      <c r="AA481" s="254"/>
      <c r="AB481" s="254"/>
      <c r="AC481" s="254"/>
      <c r="AD481" s="254"/>
      <c r="AE481" s="254"/>
      <c r="AF481" s="254"/>
      <c r="AG481" s="254"/>
      <c r="AH481" s="254"/>
      <c r="AI481" s="254"/>
      <c r="AJ481" s="254"/>
      <c r="AK481" s="254"/>
      <c r="AL481" s="254"/>
      <c r="AM481" s="254"/>
      <c r="AN481" s="254"/>
      <c r="AO481" s="254"/>
      <c r="AP481" s="254"/>
      <c r="AQ481" s="254"/>
      <c r="AR481" s="254"/>
      <c r="AS481" s="254"/>
      <c r="AT481" s="254"/>
      <c r="AU481" s="262"/>
    </row>
    <row r="485" spans="1:47" ht="32" customHeight="1" x14ac:dyDescent="0.35">
      <c r="A485" s="266" t="s">
        <v>2861</v>
      </c>
      <c r="B485" s="266"/>
      <c r="C485" s="266"/>
      <c r="D485" s="266"/>
      <c r="E485" s="266"/>
      <c r="F485" s="266"/>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IFERROR(INDEX('Recommendations'!$G$2:$G$365, MATCH(H2,'Recommendations'!$B$2:$B$365,0))="Implemented", FALSE))</xm:f>
            <x14:dxf>
              <font>
                <color rgb="FF000000"/>
              </font>
              <fill>
                <patternFill>
                  <bgColor rgb="FF3C7D22"/>
                </patternFill>
              </fill>
            </x14:dxf>
          </x14:cfRule>
          <x14:cfRule type="expression" priority="2" id="{00000000-000E-0000-0A00-000002000000}">
            <xm:f>AND(H2&lt;&gt;"", IFERROR(INDEX('Recommendations'!$G$2:$G$365, MATCH(H2,'Recommendations'!$B$2:$B$365,0))="Compensated", FALSE))</xm:f>
            <x14:dxf>
              <font>
                <color rgb="FF000000"/>
              </font>
              <fill>
                <patternFill>
                  <bgColor rgb="FFC6E0B4"/>
                </patternFill>
              </fill>
            </x14:dxf>
          </x14:cfRule>
          <x14:cfRule type="expression" priority="3" id="{00000000-000E-0000-0A00-000003000000}">
            <xm:f>AND(H2&lt;&gt;"", IFERROR(INDEX('Recommendations'!$G$2:$G$365, MATCH(H2,'Recommendations'!$B$2:$B$365,0))="Testing", FALSE))</xm:f>
            <x14:dxf>
              <font>
                <color rgb="FF000000"/>
              </font>
              <fill>
                <patternFill>
                  <bgColor rgb="FFFFC000"/>
                </patternFill>
              </fill>
            </x14:dxf>
          </x14:cfRule>
          <x14:cfRule type="expression" priority="4" id="{00000000-000E-0000-0A00-000004000000}">
            <xm:f>AND(H2&lt;&gt;"", IFERROR(INDEX('Recommendations'!$G$2:$G$365, MATCH(H2,'Recommendations'!$B$2:$B$365,0))="Failed", FALSE))</xm:f>
            <x14:dxf>
              <font>
                <color rgb="FF000000"/>
              </font>
              <fill>
                <patternFill>
                  <bgColor rgb="FFD82891"/>
                </patternFill>
              </fill>
            </x14:dxf>
          </x14:cfRule>
          <x14:cfRule type="expression" priority="5" id="{00000000-000E-0000-0A00-000005000000}">
            <xm:f>AND(H2&lt;&gt;"", IFERROR(INDEX('Recommendations'!$G$2:$G$365, MATCH(H2,'Recommendations'!$B$2:$B$365,0))="Risk Accepted", FALSE))</xm:f>
            <x14:dxf>
              <font>
                <color rgb="FF000000"/>
              </font>
              <fill>
                <patternFill>
                  <bgColor rgb="FFD9D9D9"/>
                </patternFill>
              </fill>
            </x14:dxf>
          </x14:cfRule>
          <x14:cfRule type="expression" priority="6" id="{00000000-000E-0000-0A00-000006000000}">
            <xm:f>AND(H2&lt;&gt;"", IFERROR(INDEX('Recommendations'!$G$2:$G$365, MATCH(H2,'Recommendations'!$B$2:$B$365,0))="N/A",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20" customWidth="1"/>
    <col min="2" max="2" width="35" style="20" customWidth="1"/>
    <col min="3" max="3" width="9.54296875" style="20" customWidth="1"/>
    <col min="4" max="4" width="9.1796875" style="20" customWidth="1"/>
    <col min="5" max="5" width="12.453125" style="20" customWidth="1"/>
    <col min="6" max="14" width="9.1796875" style="20" customWidth="1"/>
    <col min="15" max="15" width="18" style="20" customWidth="1"/>
    <col min="16" max="16" width="13" style="20" customWidth="1"/>
    <col min="17" max="24" width="15" style="20" customWidth="1"/>
    <col min="25" max="25" width="9.1796875" style="20" customWidth="1"/>
    <col min="26" max="16384" width="9.1796875" style="20"/>
  </cols>
  <sheetData>
    <row r="2" spans="2:15" ht="31" x14ac:dyDescent="0.35">
      <c r="B2" s="267" t="s">
        <v>2933</v>
      </c>
      <c r="C2" s="268"/>
      <c r="D2" s="268"/>
      <c r="E2" s="268"/>
      <c r="F2" s="268"/>
      <c r="G2" s="268"/>
      <c r="H2" s="268"/>
      <c r="I2" s="268"/>
    </row>
    <row r="4" spans="2:15" ht="18.5" x14ac:dyDescent="0.45">
      <c r="B4" s="40" t="s">
        <v>2934</v>
      </c>
    </row>
    <row r="5" spans="2:15" x14ac:dyDescent="0.35">
      <c r="B5" s="42" t="s">
        <v>28</v>
      </c>
      <c r="C5" s="42" t="s">
        <v>2935</v>
      </c>
      <c r="D5" s="42" t="s">
        <v>2936</v>
      </c>
      <c r="F5" s="269" t="s">
        <v>2937</v>
      </c>
      <c r="G5" s="269"/>
      <c r="H5" s="269"/>
      <c r="I5" s="270" t="s">
        <v>2938</v>
      </c>
      <c r="J5" s="270"/>
      <c r="K5" s="270"/>
      <c r="L5" s="270"/>
      <c r="M5" s="270"/>
      <c r="N5" s="270"/>
      <c r="O5" s="270"/>
    </row>
    <row r="6" spans="2:15" x14ac:dyDescent="0.35">
      <c r="B6" s="48" t="s">
        <v>2939</v>
      </c>
      <c r="C6" s="49">
        <v>364</v>
      </c>
      <c r="D6" s="50" t="s">
        <v>28</v>
      </c>
      <c r="F6" s="269" t="s">
        <v>2940</v>
      </c>
      <c r="G6" s="269"/>
      <c r="H6" s="269"/>
      <c r="I6" s="271" t="s">
        <v>2941</v>
      </c>
      <c r="J6" s="271"/>
      <c r="K6" s="271"/>
      <c r="L6" s="271"/>
      <c r="M6" s="271"/>
      <c r="N6" s="271"/>
      <c r="O6" s="271"/>
    </row>
    <row r="7" spans="2:15" x14ac:dyDescent="0.35">
      <c r="B7" s="51" t="s">
        <v>2942</v>
      </c>
      <c r="C7" s="52">
        <f>C6-C8-C9</f>
        <v>364</v>
      </c>
      <c r="D7" s="53">
        <f>IF(C6&gt;0,C7/C6,0)</f>
        <v>1</v>
      </c>
      <c r="F7" s="269" t="s">
        <v>2943</v>
      </c>
      <c r="G7" s="269"/>
      <c r="H7" s="269"/>
      <c r="I7" s="271" t="s">
        <v>2941</v>
      </c>
      <c r="J7" s="271"/>
      <c r="K7" s="271"/>
      <c r="L7" s="271"/>
      <c r="M7" s="271"/>
      <c r="N7" s="271"/>
      <c r="O7" s="271"/>
    </row>
    <row r="8" spans="2:15" x14ac:dyDescent="0.35">
      <c r="B8" s="44" t="s">
        <v>2944</v>
      </c>
      <c r="C8" s="45">
        <f>COUNTIF('Recommendations'!G:G,"Risk Accepted")</f>
        <v>0</v>
      </c>
      <c r="D8" s="46">
        <f>IF(C6&gt;0,C8/C6,0)</f>
        <v>0</v>
      </c>
      <c r="F8" s="269" t="s">
        <v>2945</v>
      </c>
      <c r="G8" s="269"/>
      <c r="H8" s="269"/>
      <c r="I8" s="271" t="s">
        <v>2941</v>
      </c>
      <c r="J8" s="271"/>
      <c r="K8" s="271"/>
      <c r="L8" s="271"/>
      <c r="M8" s="271"/>
      <c r="N8" s="271"/>
      <c r="O8" s="271"/>
    </row>
    <row r="9" spans="2:15" x14ac:dyDescent="0.35">
      <c r="B9" s="44" t="s">
        <v>2946</v>
      </c>
      <c r="C9" s="45">
        <f>COUNTIF('Recommendations'!G:G,"N/A")</f>
        <v>0</v>
      </c>
      <c r="D9" s="46">
        <f>IF(C6&gt;0,C9/C6,0)</f>
        <v>0</v>
      </c>
      <c r="F9" s="269" t="s">
        <v>2947</v>
      </c>
      <c r="G9" s="269"/>
      <c r="H9" s="269"/>
      <c r="I9" s="271" t="s">
        <v>2941</v>
      </c>
      <c r="J9" s="271"/>
      <c r="K9" s="271"/>
      <c r="L9" s="271"/>
      <c r="M9" s="271"/>
      <c r="N9" s="271"/>
      <c r="O9" s="271"/>
    </row>
    <row r="12" spans="2:15" ht="18.5" x14ac:dyDescent="0.45">
      <c r="B12" s="40" t="s">
        <v>2948</v>
      </c>
    </row>
    <row r="14" spans="2:15" x14ac:dyDescent="0.35">
      <c r="B14" s="54" t="s">
        <v>2949</v>
      </c>
    </row>
    <row r="15" spans="2:15" x14ac:dyDescent="0.35">
      <c r="B15" s="42" t="s">
        <v>28</v>
      </c>
      <c r="C15" s="42" t="s">
        <v>2950</v>
      </c>
      <c r="D15" s="42" t="s">
        <v>2951</v>
      </c>
      <c r="E15" s="42" t="s">
        <v>2952</v>
      </c>
      <c r="F15" s="42" t="s">
        <v>2953</v>
      </c>
    </row>
    <row r="16" spans="2:15" x14ac:dyDescent="0.35">
      <c r="B16" s="44" t="s">
        <v>2954</v>
      </c>
      <c r="C16" s="45">
        <f>COUNTIF('Recommendations'!U:U,"Resolved")</f>
        <v>0</v>
      </c>
      <c r="D16" s="45">
        <f>COUNTIF('Recommendations'!U:U,"Testing")</f>
        <v>0</v>
      </c>
      <c r="E16" s="45">
        <f>COUNTIF('Recommendations'!U:U,"Outstanding")</f>
        <v>364</v>
      </c>
      <c r="F16" s="45">
        <f>SUM(C16:E16)</f>
        <v>364</v>
      </c>
    </row>
    <row r="18" spans="2:6" x14ac:dyDescent="0.35">
      <c r="B18" s="54" t="s">
        <v>2955</v>
      </c>
    </row>
    <row r="19" spans="2:6" x14ac:dyDescent="0.35">
      <c r="B19" s="55" t="s">
        <v>28</v>
      </c>
      <c r="C19" s="55" t="s">
        <v>2950</v>
      </c>
      <c r="D19" s="55" t="s">
        <v>2951</v>
      </c>
      <c r="E19" s="55" t="s">
        <v>2952</v>
      </c>
      <c r="F19" s="55" t="s">
        <v>28</v>
      </c>
    </row>
    <row r="20" spans="2:6" x14ac:dyDescent="0.35">
      <c r="B20" s="44" t="s">
        <v>2954</v>
      </c>
      <c r="C20" s="46">
        <f>IF(F16&gt;0, C16/F16, 0)</f>
        <v>0</v>
      </c>
      <c r="D20" s="46">
        <f>IF(F16&gt;0, D16/F16, 0)</f>
        <v>0</v>
      </c>
      <c r="E20" s="46">
        <f>IF(F16&gt;0, E16/F16, 0)</f>
        <v>1</v>
      </c>
      <c r="F20" s="47" t="s">
        <v>28</v>
      </c>
    </row>
    <row r="25" spans="2:6" ht="18.5" x14ac:dyDescent="0.45">
      <c r="B25" s="40" t="s">
        <v>2956</v>
      </c>
    </row>
    <row r="27" spans="2:6" x14ac:dyDescent="0.35">
      <c r="B27" s="54" t="s">
        <v>2949</v>
      </c>
    </row>
    <row r="28" spans="2:6" x14ac:dyDescent="0.35">
      <c r="B28" s="42" t="s">
        <v>5</v>
      </c>
      <c r="C28" s="42" t="s">
        <v>2950</v>
      </c>
      <c r="D28" s="42" t="s">
        <v>2951</v>
      </c>
      <c r="E28" s="42" t="s">
        <v>2952</v>
      </c>
      <c r="F28" s="42" t="s">
        <v>2953</v>
      </c>
    </row>
    <row r="29" spans="2:6" x14ac:dyDescent="0.35">
      <c r="B29" s="44" t="s">
        <v>2957</v>
      </c>
      <c r="C29" s="45">
        <f>COUNTIFS('Recommendations'!F:F,"Phase1",'Recommendations'!U:U,"=Resolved")</f>
        <v>0</v>
      </c>
      <c r="D29" s="45">
        <f>COUNTIFS('Recommendations'!F:F,"=Phase1",'Recommendations'!U:U,"=Testing")</f>
        <v>0</v>
      </c>
      <c r="E29" s="45">
        <f>COUNTIFS('Recommendations'!F:F,"=Phase1",'Recommendations'!U:U,"=Outstanding")</f>
        <v>0</v>
      </c>
      <c r="F29" s="45">
        <f t="shared" ref="F29:F34" si="0">SUM(C29:E29)</f>
        <v>0</v>
      </c>
    </row>
    <row r="30" spans="2:6" x14ac:dyDescent="0.35">
      <c r="B30" s="44" t="s">
        <v>2958</v>
      </c>
      <c r="C30" s="45">
        <f>COUNTIFS('Recommendations'!F:F,"Phase2",'Recommendations'!U:U,"=Resolved")</f>
        <v>0</v>
      </c>
      <c r="D30" s="45">
        <f>COUNTIFS('Recommendations'!F:F,"=Phase2",'Recommendations'!U:U,"=Testing")</f>
        <v>0</v>
      </c>
      <c r="E30" s="45">
        <f>COUNTIFS('Recommendations'!F:F,"=Phase2",'Recommendations'!U:U,"=Outstanding")</f>
        <v>0</v>
      </c>
      <c r="F30" s="45">
        <f t="shared" si="0"/>
        <v>0</v>
      </c>
    </row>
    <row r="31" spans="2:6" x14ac:dyDescent="0.35">
      <c r="B31" s="44" t="s">
        <v>2959</v>
      </c>
      <c r="C31" s="45">
        <f>COUNTIFS('Recommendations'!F:F,"Phase3",'Recommendations'!U:U,"=Resolved")</f>
        <v>0</v>
      </c>
      <c r="D31" s="45">
        <f>COUNTIFS('Recommendations'!F:F,"=Phase3",'Recommendations'!U:U,"=Testing")</f>
        <v>0</v>
      </c>
      <c r="E31" s="45">
        <f>COUNTIFS('Recommendations'!F:F,"=Phase3",'Recommendations'!U:U,"=Outstanding")</f>
        <v>0</v>
      </c>
      <c r="F31" s="45">
        <f t="shared" si="0"/>
        <v>0</v>
      </c>
    </row>
    <row r="32" spans="2:6" x14ac:dyDescent="0.35">
      <c r="B32" s="44" t="s">
        <v>2960</v>
      </c>
      <c r="C32" s="45">
        <f>COUNTIFS('Recommendations'!F:F,"Phase4",'Recommendations'!U:U,"=Resolved")</f>
        <v>0</v>
      </c>
      <c r="D32" s="45">
        <f>COUNTIFS('Recommendations'!F:F,"=Phase4",'Recommendations'!U:U,"=Testing")</f>
        <v>0</v>
      </c>
      <c r="E32" s="45">
        <f>COUNTIFS('Recommendations'!F:F,"=Phase4",'Recommendations'!U:U,"=Outstanding")</f>
        <v>0</v>
      </c>
      <c r="F32" s="45">
        <f t="shared" si="0"/>
        <v>0</v>
      </c>
    </row>
    <row r="33" spans="2:6" x14ac:dyDescent="0.35">
      <c r="B33" s="44" t="s">
        <v>2961</v>
      </c>
      <c r="C33" s="45">
        <f>COUNTIFS('Recommendations'!F:F,"Phase5",'Recommendations'!U:U,"=Resolved")</f>
        <v>0</v>
      </c>
      <c r="D33" s="45">
        <f>COUNTIFS('Recommendations'!F:F,"=Phase5",'Recommendations'!U:U,"=Testing")</f>
        <v>0</v>
      </c>
      <c r="E33" s="45">
        <f>COUNTIFS('Recommendations'!F:F,"=Phase5",'Recommendations'!U:U,"=Outstanding")</f>
        <v>0</v>
      </c>
      <c r="F33" s="45">
        <f t="shared" si="0"/>
        <v>0</v>
      </c>
    </row>
    <row r="34" spans="2:6" x14ac:dyDescent="0.35">
      <c r="B34" s="44" t="s">
        <v>27</v>
      </c>
      <c r="C34" s="45">
        <f>COUNTIFS('Recommendations'!F:F,"Pending",'Recommendations'!U:U,"=Resolved")</f>
        <v>0</v>
      </c>
      <c r="D34" s="45">
        <f>COUNTIFS('Recommendations'!F:F,"=Pending",'Recommendations'!U:U,"=Testing")</f>
        <v>0</v>
      </c>
      <c r="E34" s="45">
        <f>COUNTIFS('Recommendations'!F:F,"=Pending",'Recommendations'!U:U,"=Outstanding")</f>
        <v>364</v>
      </c>
      <c r="F34" s="45">
        <f t="shared" si="0"/>
        <v>364</v>
      </c>
    </row>
    <row r="36" spans="2:6" x14ac:dyDescent="0.35">
      <c r="B36" s="54" t="s">
        <v>2955</v>
      </c>
    </row>
    <row r="37" spans="2:6" x14ac:dyDescent="0.35">
      <c r="B37" s="55" t="s">
        <v>5</v>
      </c>
      <c r="C37" s="55" t="s">
        <v>2950</v>
      </c>
      <c r="D37" s="55" t="s">
        <v>2951</v>
      </c>
      <c r="E37" s="55" t="s">
        <v>2952</v>
      </c>
      <c r="F37" s="55" t="s">
        <v>28</v>
      </c>
    </row>
    <row r="38" spans="2:6" x14ac:dyDescent="0.35">
      <c r="B38" s="44" t="s">
        <v>2957</v>
      </c>
      <c r="C38" s="46">
        <f t="shared" ref="C38:C43" si="1">IF(F29&gt;0, C29/F29, 0)</f>
        <v>0</v>
      </c>
      <c r="D38" s="46">
        <f t="shared" ref="D38:D43" si="2">IF(F29&gt;0, D29/F29, 0)</f>
        <v>0</v>
      </c>
      <c r="E38" s="46">
        <f t="shared" ref="E38:E43" si="3">IF(F29&gt;0, E29/F29, 0)</f>
        <v>0</v>
      </c>
      <c r="F38" s="47" t="s">
        <v>28</v>
      </c>
    </row>
    <row r="39" spans="2:6" x14ac:dyDescent="0.35">
      <c r="B39" s="44" t="s">
        <v>2958</v>
      </c>
      <c r="C39" s="46">
        <f t="shared" si="1"/>
        <v>0</v>
      </c>
      <c r="D39" s="46">
        <f t="shared" si="2"/>
        <v>0</v>
      </c>
      <c r="E39" s="46">
        <f t="shared" si="3"/>
        <v>0</v>
      </c>
      <c r="F39" s="47" t="s">
        <v>28</v>
      </c>
    </row>
    <row r="40" spans="2:6" x14ac:dyDescent="0.35">
      <c r="B40" s="44" t="s">
        <v>2959</v>
      </c>
      <c r="C40" s="46">
        <f t="shared" si="1"/>
        <v>0</v>
      </c>
      <c r="D40" s="46">
        <f t="shared" si="2"/>
        <v>0</v>
      </c>
      <c r="E40" s="46">
        <f t="shared" si="3"/>
        <v>0</v>
      </c>
      <c r="F40" s="47" t="s">
        <v>28</v>
      </c>
    </row>
    <row r="41" spans="2:6" x14ac:dyDescent="0.35">
      <c r="B41" s="44" t="s">
        <v>2960</v>
      </c>
      <c r="C41" s="46">
        <f t="shared" si="1"/>
        <v>0</v>
      </c>
      <c r="D41" s="46">
        <f t="shared" si="2"/>
        <v>0</v>
      </c>
      <c r="E41" s="46">
        <f t="shared" si="3"/>
        <v>0</v>
      </c>
      <c r="F41" s="47" t="s">
        <v>28</v>
      </c>
    </row>
    <row r="42" spans="2:6" x14ac:dyDescent="0.35">
      <c r="B42" s="44" t="s">
        <v>2961</v>
      </c>
      <c r="C42" s="46">
        <f t="shared" si="1"/>
        <v>0</v>
      </c>
      <c r="D42" s="46">
        <f t="shared" si="2"/>
        <v>0</v>
      </c>
      <c r="E42" s="46">
        <f t="shared" si="3"/>
        <v>0</v>
      </c>
      <c r="F42" s="47" t="s">
        <v>28</v>
      </c>
    </row>
    <row r="43" spans="2:6" x14ac:dyDescent="0.35">
      <c r="B43" s="44" t="s">
        <v>27</v>
      </c>
      <c r="C43" s="46">
        <f t="shared" si="1"/>
        <v>0</v>
      </c>
      <c r="D43" s="46">
        <f t="shared" si="2"/>
        <v>0</v>
      </c>
      <c r="E43" s="46">
        <f t="shared" si="3"/>
        <v>1</v>
      </c>
      <c r="F43" s="47" t="s">
        <v>28</v>
      </c>
    </row>
    <row r="48" spans="2:6" ht="18.5" x14ac:dyDescent="0.45">
      <c r="B48" s="40" t="s">
        <v>2962</v>
      </c>
    </row>
    <row r="50" spans="2:6" x14ac:dyDescent="0.35">
      <c r="B50" s="54" t="s">
        <v>2949</v>
      </c>
    </row>
    <row r="51" spans="2:6" x14ac:dyDescent="0.35">
      <c r="B51" s="42" t="s">
        <v>3</v>
      </c>
      <c r="C51" s="42" t="s">
        <v>2950</v>
      </c>
      <c r="D51" s="42" t="s">
        <v>2951</v>
      </c>
      <c r="E51" s="42" t="s">
        <v>2952</v>
      </c>
      <c r="F51" s="42" t="s">
        <v>2953</v>
      </c>
    </row>
    <row r="52" spans="2:6" x14ac:dyDescent="0.35">
      <c r="B52" s="44" t="s">
        <v>2963</v>
      </c>
      <c r="C52" s="45">
        <f>COUNTIFS('Recommendations'!D:D,"Must",'Recommendations'!U:U,"=Resolved")</f>
        <v>0</v>
      </c>
      <c r="D52" s="45">
        <f>COUNTIFS('Recommendations'!D:D,"=Must",'Recommendations'!U:U,"=Testing")</f>
        <v>0</v>
      </c>
      <c r="E52" s="45">
        <f>COUNTIFS('Recommendations'!D:D,"=Must",'Recommendations'!U:U,"=Outstanding")</f>
        <v>0</v>
      </c>
      <c r="F52" s="45">
        <f>SUM(C52:E52)</f>
        <v>0</v>
      </c>
    </row>
    <row r="53" spans="2:6" x14ac:dyDescent="0.35">
      <c r="B53" s="44" t="s">
        <v>2964</v>
      </c>
      <c r="C53" s="45">
        <f>COUNTIFS('Recommendations'!D:D,"Should",'Recommendations'!U:U,"=Resolved")</f>
        <v>0</v>
      </c>
      <c r="D53" s="45">
        <f>COUNTIFS('Recommendations'!D:D,"=Should",'Recommendations'!U:U,"=Testing")</f>
        <v>0</v>
      </c>
      <c r="E53" s="45">
        <f>COUNTIFS('Recommendations'!D:D,"=Should",'Recommendations'!U:U,"=Outstanding")</f>
        <v>0</v>
      </c>
      <c r="F53" s="45">
        <f>SUM(C53:E53)</f>
        <v>0</v>
      </c>
    </row>
    <row r="54" spans="2:6" x14ac:dyDescent="0.35">
      <c r="B54" s="44" t="s">
        <v>2965</v>
      </c>
      <c r="C54" s="45">
        <f>COUNTIFS('Recommendations'!D:D,"Could",'Recommendations'!U:U,"=Resolved")</f>
        <v>0</v>
      </c>
      <c r="D54" s="45">
        <f>COUNTIFS('Recommendations'!D:D,"=Could",'Recommendations'!U:U,"=Testing")</f>
        <v>0</v>
      </c>
      <c r="E54" s="45">
        <f>COUNTIFS('Recommendations'!D:D,"=Could",'Recommendations'!U:U,"=Outstanding")</f>
        <v>0</v>
      </c>
      <c r="F54" s="45">
        <f>SUM(C54:E54)</f>
        <v>0</v>
      </c>
    </row>
    <row r="55" spans="2:6" x14ac:dyDescent="0.35">
      <c r="B55" s="44" t="s">
        <v>2966</v>
      </c>
      <c r="C55" s="45">
        <f>COUNTIFS('Recommendations'!D:D,"Won't",'Recommendations'!U:U,"=Resolved")</f>
        <v>0</v>
      </c>
      <c r="D55" s="45">
        <f>COUNTIFS('Recommendations'!D:D,"=Won't",'Recommendations'!U:U,"=Testing")</f>
        <v>0</v>
      </c>
      <c r="E55" s="45">
        <f>COUNTIFS('Recommendations'!D:D,"=Won't",'Recommendations'!U:U,"=Outstanding")</f>
        <v>0</v>
      </c>
      <c r="F55" s="45">
        <f>SUM(C55:E55)</f>
        <v>0</v>
      </c>
    </row>
    <row r="56" spans="2:6" x14ac:dyDescent="0.35">
      <c r="B56" s="44" t="s">
        <v>25</v>
      </c>
      <c r="C56" s="45">
        <f>COUNTIFS('Recommendations'!D:D,"Unassigned",'Recommendations'!U:U,"=Resolved")</f>
        <v>0</v>
      </c>
      <c r="D56" s="45">
        <f>COUNTIFS('Recommendations'!D:D,"=Unassigned",'Recommendations'!U:U,"=Testing")</f>
        <v>0</v>
      </c>
      <c r="E56" s="45">
        <f>COUNTIFS('Recommendations'!D:D,"=Unassigned",'Recommendations'!U:U,"=Outstanding")</f>
        <v>364</v>
      </c>
      <c r="F56" s="45">
        <f>SUM(C56:E56)</f>
        <v>364</v>
      </c>
    </row>
    <row r="58" spans="2:6" x14ac:dyDescent="0.35">
      <c r="B58" s="54" t="s">
        <v>2955</v>
      </c>
    </row>
    <row r="59" spans="2:6" x14ac:dyDescent="0.35">
      <c r="B59" s="55" t="s">
        <v>3</v>
      </c>
      <c r="C59" s="55" t="s">
        <v>2950</v>
      </c>
      <c r="D59" s="55" t="s">
        <v>2951</v>
      </c>
      <c r="E59" s="55" t="s">
        <v>2952</v>
      </c>
      <c r="F59" s="55" t="s">
        <v>28</v>
      </c>
    </row>
    <row r="60" spans="2:6" x14ac:dyDescent="0.35">
      <c r="B60" s="44" t="s">
        <v>2963</v>
      </c>
      <c r="C60" s="46">
        <f>IF(F52&gt;0, C52/F52, 0)</f>
        <v>0</v>
      </c>
      <c r="D60" s="46">
        <f>IF(F52&gt;0, D52/F52, 0)</f>
        <v>0</v>
      </c>
      <c r="E60" s="46">
        <f>IF(F52&gt;0, E52/F52, 0)</f>
        <v>0</v>
      </c>
      <c r="F60" s="47" t="s">
        <v>28</v>
      </c>
    </row>
    <row r="61" spans="2:6" x14ac:dyDescent="0.35">
      <c r="B61" s="44" t="s">
        <v>2964</v>
      </c>
      <c r="C61" s="46">
        <f>IF(F53&gt;0, C53/F53, 0)</f>
        <v>0</v>
      </c>
      <c r="D61" s="46">
        <f>IF(F53&gt;0, D53/F53, 0)</f>
        <v>0</v>
      </c>
      <c r="E61" s="46">
        <f>IF(F53&gt;0, E53/F53, 0)</f>
        <v>0</v>
      </c>
      <c r="F61" s="47" t="s">
        <v>28</v>
      </c>
    </row>
    <row r="62" spans="2:6" x14ac:dyDescent="0.35">
      <c r="B62" s="44" t="s">
        <v>2965</v>
      </c>
      <c r="C62" s="46">
        <f>IF(F54&gt;0, C54/F54, 0)</f>
        <v>0</v>
      </c>
      <c r="D62" s="46">
        <f>IF(F54&gt;0, D54/F54, 0)</f>
        <v>0</v>
      </c>
      <c r="E62" s="46">
        <f>IF(F54&gt;0, E54/F54, 0)</f>
        <v>0</v>
      </c>
      <c r="F62" s="47" t="s">
        <v>28</v>
      </c>
    </row>
    <row r="63" spans="2:6" x14ac:dyDescent="0.35">
      <c r="B63" s="44" t="s">
        <v>2966</v>
      </c>
      <c r="C63" s="46">
        <f>IF(F55&gt;0, C55/F55, 0)</f>
        <v>0</v>
      </c>
      <c r="D63" s="46">
        <f>IF(F55&gt;0, D55/F55, 0)</f>
        <v>0</v>
      </c>
      <c r="E63" s="46">
        <f>IF(F55&gt;0, E55/F55, 0)</f>
        <v>0</v>
      </c>
      <c r="F63" s="47" t="s">
        <v>28</v>
      </c>
    </row>
    <row r="64" spans="2:6" x14ac:dyDescent="0.35">
      <c r="B64" s="44" t="s">
        <v>25</v>
      </c>
      <c r="C64" s="46">
        <f>IF(F56&gt;0, C56/F56, 0)</f>
        <v>0</v>
      </c>
      <c r="D64" s="46">
        <f>IF(F56&gt;0, D56/F56, 0)</f>
        <v>0</v>
      </c>
      <c r="E64" s="46">
        <f>IF(F56&gt;0, E56/F56, 0)</f>
        <v>1</v>
      </c>
      <c r="F64" s="47" t="s">
        <v>28</v>
      </c>
    </row>
    <row r="69" spans="2:6" ht="18.5" x14ac:dyDescent="0.45">
      <c r="B69" s="40" t="s">
        <v>2967</v>
      </c>
    </row>
    <row r="71" spans="2:6" x14ac:dyDescent="0.35">
      <c r="B71" s="54" t="s">
        <v>2949</v>
      </c>
    </row>
    <row r="72" spans="2:6" x14ac:dyDescent="0.35">
      <c r="B72" s="42" t="s">
        <v>2968</v>
      </c>
      <c r="C72" s="42" t="s">
        <v>2950</v>
      </c>
      <c r="D72" s="42" t="s">
        <v>2951</v>
      </c>
      <c r="E72" s="42" t="s">
        <v>2952</v>
      </c>
      <c r="F72" s="42" t="s">
        <v>2953</v>
      </c>
    </row>
    <row r="73" spans="2:6" x14ac:dyDescent="0.35">
      <c r="B73" s="44" t="s">
        <v>2969</v>
      </c>
      <c r="C73" s="45">
        <f>COUNTIFS('Recommendations'!E:E,"Low",'Recommendations'!U:U,"=Resolved")</f>
        <v>0</v>
      </c>
      <c r="D73" s="45">
        <f>COUNTIFS('Recommendations'!E:E,"=Low",'Recommendations'!U:U,"=Testing")</f>
        <v>0</v>
      </c>
      <c r="E73" s="45">
        <f>COUNTIFS('Recommendations'!E:E,"=Low",'Recommendations'!U:U,"=Outstanding")</f>
        <v>0</v>
      </c>
      <c r="F73" s="45">
        <f>SUM(C73:E73)</f>
        <v>0</v>
      </c>
    </row>
    <row r="74" spans="2:6" x14ac:dyDescent="0.35">
      <c r="B74" s="44" t="s">
        <v>2970</v>
      </c>
      <c r="C74" s="45">
        <f>COUNTIFS('Recommendations'!E:E,"Medium",'Recommendations'!U:U,"=Resolved")</f>
        <v>0</v>
      </c>
      <c r="D74" s="45">
        <f>COUNTIFS('Recommendations'!E:E,"=Medium",'Recommendations'!U:U,"=Testing")</f>
        <v>0</v>
      </c>
      <c r="E74" s="45">
        <f>COUNTIFS('Recommendations'!E:E,"=Medium",'Recommendations'!U:U,"=Outstanding")</f>
        <v>0</v>
      </c>
      <c r="F74" s="45">
        <f>SUM(C74:E74)</f>
        <v>0</v>
      </c>
    </row>
    <row r="75" spans="2:6" x14ac:dyDescent="0.35">
      <c r="B75" s="44" t="s">
        <v>2971</v>
      </c>
      <c r="C75" s="45">
        <f>COUNTIFS('Recommendations'!E:E,"High",'Recommendations'!U:U,"=Resolved")</f>
        <v>0</v>
      </c>
      <c r="D75" s="45">
        <f>COUNTIFS('Recommendations'!E:E,"=High",'Recommendations'!U:U,"=Testing")</f>
        <v>0</v>
      </c>
      <c r="E75" s="45">
        <f>COUNTIFS('Recommendations'!E:E,"=High",'Recommendations'!U:U,"=Outstanding")</f>
        <v>0</v>
      </c>
      <c r="F75" s="45">
        <f>SUM(C75:E75)</f>
        <v>0</v>
      </c>
    </row>
    <row r="76" spans="2:6" x14ac:dyDescent="0.35">
      <c r="B76" s="44" t="s">
        <v>26</v>
      </c>
      <c r="C76" s="45">
        <f>COUNTIFS('Recommendations'!E:E,"Unassessed",'Recommendations'!U:U,"=Resolved")</f>
        <v>0</v>
      </c>
      <c r="D76" s="45">
        <f>COUNTIFS('Recommendations'!E:E,"=Unassessed",'Recommendations'!U:U,"=Testing")</f>
        <v>0</v>
      </c>
      <c r="E76" s="45">
        <f>COUNTIFS('Recommendations'!E:E,"=Unassessed",'Recommendations'!U:U,"=Outstanding")</f>
        <v>364</v>
      </c>
      <c r="F76" s="45">
        <f>SUM(C76:E76)</f>
        <v>364</v>
      </c>
    </row>
    <row r="78" spans="2:6" x14ac:dyDescent="0.35">
      <c r="B78" s="54" t="s">
        <v>2955</v>
      </c>
    </row>
    <row r="79" spans="2:6" x14ac:dyDescent="0.35">
      <c r="B79" s="55" t="s">
        <v>2968</v>
      </c>
      <c r="C79" s="55" t="s">
        <v>2950</v>
      </c>
      <c r="D79" s="55" t="s">
        <v>2951</v>
      </c>
      <c r="E79" s="55" t="s">
        <v>2952</v>
      </c>
      <c r="F79" s="55" t="s">
        <v>28</v>
      </c>
    </row>
    <row r="80" spans="2:6" x14ac:dyDescent="0.35">
      <c r="B80" s="44" t="s">
        <v>2969</v>
      </c>
      <c r="C80" s="46">
        <f>IF(F73&gt;0, C73/F73, 0)</f>
        <v>0</v>
      </c>
      <c r="D80" s="46">
        <f>IF(F73&gt;0, D73/F73, 0)</f>
        <v>0</v>
      </c>
      <c r="E80" s="46">
        <f>IF(F73&gt;0, E73/F73, 0)</f>
        <v>0</v>
      </c>
      <c r="F80" s="47" t="s">
        <v>28</v>
      </c>
    </row>
    <row r="81" spans="2:15" x14ac:dyDescent="0.35">
      <c r="B81" s="44" t="s">
        <v>2970</v>
      </c>
      <c r="C81" s="46">
        <f>IF(F74&gt;0, C74/F74, 0)</f>
        <v>0</v>
      </c>
      <c r="D81" s="46">
        <f>IF(F74&gt;0, D74/F74, 0)</f>
        <v>0</v>
      </c>
      <c r="E81" s="46">
        <f>IF(F74&gt;0, E74/F74, 0)</f>
        <v>0</v>
      </c>
      <c r="F81" s="47" t="s">
        <v>28</v>
      </c>
    </row>
    <row r="82" spans="2:15" x14ac:dyDescent="0.35">
      <c r="B82" s="44" t="s">
        <v>2971</v>
      </c>
      <c r="C82" s="46">
        <f>IF(F75&gt;0, C75/F75, 0)</f>
        <v>0</v>
      </c>
      <c r="D82" s="46">
        <f>IF(F75&gt;0, D75/F75, 0)</f>
        <v>0</v>
      </c>
      <c r="E82" s="46">
        <f>IF(F75&gt;0, E75/F75, 0)</f>
        <v>0</v>
      </c>
      <c r="F82" s="47" t="s">
        <v>28</v>
      </c>
    </row>
    <row r="83" spans="2:15" x14ac:dyDescent="0.35">
      <c r="B83" s="44" t="s">
        <v>26</v>
      </c>
      <c r="C83" s="46">
        <f>IF(F76&gt;0, C76/F76, 0)</f>
        <v>0</v>
      </c>
      <c r="D83" s="46">
        <f>IF(F76&gt;0, D76/F76, 0)</f>
        <v>0</v>
      </c>
      <c r="E83" s="46">
        <f>IF(F76&gt;0, E76/F76, 0)</f>
        <v>1</v>
      </c>
      <c r="F83" s="47" t="s">
        <v>28</v>
      </c>
    </row>
    <row r="88" spans="2:15" ht="18.5" x14ac:dyDescent="0.45">
      <c r="B88" s="40" t="s">
        <v>2972</v>
      </c>
      <c r="J88" s="40" t="s">
        <v>2973</v>
      </c>
    </row>
    <row r="89" spans="2:15" x14ac:dyDescent="0.35">
      <c r="B89" s="42" t="s">
        <v>5</v>
      </c>
      <c r="C89" s="272" t="s">
        <v>2974</v>
      </c>
      <c r="D89" s="272"/>
      <c r="E89" s="42" t="s">
        <v>2942</v>
      </c>
      <c r="F89" s="42" t="s">
        <v>2950</v>
      </c>
      <c r="G89" s="272" t="s">
        <v>2975</v>
      </c>
      <c r="H89" s="272"/>
      <c r="J89" s="42" t="s">
        <v>5</v>
      </c>
      <c r="K89" s="42" t="s">
        <v>2963</v>
      </c>
      <c r="L89" s="42" t="s">
        <v>2964</v>
      </c>
      <c r="M89" s="42" t="s">
        <v>2965</v>
      </c>
      <c r="N89" s="42" t="s">
        <v>2966</v>
      </c>
      <c r="O89" s="42" t="s">
        <v>25</v>
      </c>
    </row>
    <row r="90" spans="2:15" x14ac:dyDescent="0.35">
      <c r="B90" s="48" t="s">
        <v>2957</v>
      </c>
      <c r="C90" s="273" t="s">
        <v>28</v>
      </c>
      <c r="D90" s="273"/>
      <c r="E90" s="45">
        <f>COUNTIF('Recommendations'!F:F,"Phase1")-COUNTIFS('Recommendations'!F:F,"Phase1",'Recommendations'!G:G,"Risk Accepted")-COUNTIFS('Recommendations'!F:F,"Phase1",'Recommendations'!G:G,"N/A")</f>
        <v>0</v>
      </c>
      <c r="F90" s="45">
        <f>COUNTIFS('Recommendations'!F:F,"Phase1",'Recommendations'!U:U,"Resolved")</f>
        <v>0</v>
      </c>
      <c r="G90" s="274">
        <f t="shared" ref="G90:G95" si="4">IF(E90&gt;0,F90/E90,0)</f>
        <v>0</v>
      </c>
      <c r="H90" s="274"/>
      <c r="J90" s="48" t="s">
        <v>2957</v>
      </c>
      <c r="K90" s="45">
        <f>COUNTIFS('Recommendations'!F:F,"Phase1",'Recommendations'!D:D,"Must")</f>
        <v>0</v>
      </c>
      <c r="L90" s="45">
        <f>COUNTIFS('Recommendations'!F:F,"Phase1",'Recommendations'!D:D,"Should")</f>
        <v>0</v>
      </c>
      <c r="M90" s="45">
        <f>COUNTIFS('Recommendations'!F:F,"Phase1",'Recommendations'!D:D,"Could")</f>
        <v>0</v>
      </c>
      <c r="N90" s="45">
        <f>COUNTIFS('Recommendations'!F:F,"Phase1",'Recommendations'!D:D,"Won't")</f>
        <v>0</v>
      </c>
      <c r="O90" s="45">
        <f>COUNTIFS('Recommendations'!F:F,"Phase1",'Recommendations'!D:D,"Unassigned")</f>
        <v>0</v>
      </c>
    </row>
    <row r="91" spans="2:15" x14ac:dyDescent="0.35">
      <c r="B91" s="48" t="s">
        <v>2958</v>
      </c>
      <c r="C91" s="273" t="s">
        <v>28</v>
      </c>
      <c r="D91" s="273"/>
      <c r="E91" s="45">
        <f>COUNTIF('Recommendations'!F:F,"Phase2")-COUNTIFS('Recommendations'!F:F,"Phase2",'Recommendations'!G:G,"Risk Accepted")-COUNTIFS('Recommendations'!F:F,"Phase2",'Recommendations'!G:G,"N/A")</f>
        <v>0</v>
      </c>
      <c r="F91" s="45">
        <f>COUNTIFS('Recommendations'!F:F,"Phase2",'Recommendations'!U:U,"Resolved")</f>
        <v>0</v>
      </c>
      <c r="G91" s="274">
        <f t="shared" si="4"/>
        <v>0</v>
      </c>
      <c r="H91" s="274"/>
      <c r="J91" s="48" t="s">
        <v>2958</v>
      </c>
      <c r="K91" s="45">
        <f>COUNTIFS('Recommendations'!F:F,"Phase2",'Recommendations'!D:D,"Must")</f>
        <v>0</v>
      </c>
      <c r="L91" s="45">
        <f>COUNTIFS('Recommendations'!F:F,"Phase2",'Recommendations'!D:D,"Should")</f>
        <v>0</v>
      </c>
      <c r="M91" s="45">
        <f>COUNTIFS('Recommendations'!F:F,"Phase2",'Recommendations'!D:D,"Could")</f>
        <v>0</v>
      </c>
      <c r="N91" s="45">
        <f>COUNTIFS('Recommendations'!F:F,"Phase2",'Recommendations'!D:D,"Won't")</f>
        <v>0</v>
      </c>
      <c r="O91" s="45">
        <f>COUNTIFS('Recommendations'!F:F,"Phase2",'Recommendations'!D:D,"Unassigned")</f>
        <v>0</v>
      </c>
    </row>
    <row r="92" spans="2:15" x14ac:dyDescent="0.35">
      <c r="B92" s="48" t="s">
        <v>2959</v>
      </c>
      <c r="C92" s="273" t="s">
        <v>28</v>
      </c>
      <c r="D92" s="273"/>
      <c r="E92" s="45">
        <f>COUNTIF('Recommendations'!F:F,"Phase3")-COUNTIFS('Recommendations'!F:F,"Phase3",'Recommendations'!G:G,"Risk Accepted")-COUNTIFS('Recommendations'!F:F,"Phase3",'Recommendations'!G:G,"N/A")</f>
        <v>0</v>
      </c>
      <c r="F92" s="45">
        <f>COUNTIFS('Recommendations'!F:F,"Phase3",'Recommendations'!U:U,"Resolved")</f>
        <v>0</v>
      </c>
      <c r="G92" s="274">
        <f t="shared" si="4"/>
        <v>0</v>
      </c>
      <c r="H92" s="274"/>
      <c r="J92" s="48" t="s">
        <v>2959</v>
      </c>
      <c r="K92" s="45">
        <f>COUNTIFS('Recommendations'!F:F,"Phase3",'Recommendations'!D:D,"Must")</f>
        <v>0</v>
      </c>
      <c r="L92" s="45">
        <f>COUNTIFS('Recommendations'!F:F,"Phase3",'Recommendations'!D:D,"Should")</f>
        <v>0</v>
      </c>
      <c r="M92" s="45">
        <f>COUNTIFS('Recommendations'!F:F,"Phase3",'Recommendations'!D:D,"Could")</f>
        <v>0</v>
      </c>
      <c r="N92" s="45">
        <f>COUNTIFS('Recommendations'!F:F,"Phase3",'Recommendations'!D:D,"Won't")</f>
        <v>0</v>
      </c>
      <c r="O92" s="45">
        <f>COUNTIFS('Recommendations'!F:F,"Phase3",'Recommendations'!D:D,"Unassigned")</f>
        <v>0</v>
      </c>
    </row>
    <row r="93" spans="2:15" x14ac:dyDescent="0.35">
      <c r="B93" s="48" t="s">
        <v>2960</v>
      </c>
      <c r="C93" s="273" t="s">
        <v>28</v>
      </c>
      <c r="D93" s="273"/>
      <c r="E93" s="45">
        <f>COUNTIF('Recommendations'!F:F,"Phase4")-COUNTIFS('Recommendations'!F:F,"Phase4",'Recommendations'!G:G,"Risk Accepted")-COUNTIFS('Recommendations'!F:F,"Phase4",'Recommendations'!G:G,"N/A")</f>
        <v>0</v>
      </c>
      <c r="F93" s="45">
        <f>COUNTIFS('Recommendations'!F:F,"Phase4",'Recommendations'!U:U,"Resolved")</f>
        <v>0</v>
      </c>
      <c r="G93" s="274">
        <f t="shared" si="4"/>
        <v>0</v>
      </c>
      <c r="H93" s="274"/>
      <c r="J93" s="48" t="s">
        <v>2960</v>
      </c>
      <c r="K93" s="45">
        <f>COUNTIFS('Recommendations'!F:F,"Phase4",'Recommendations'!D:D,"Must")</f>
        <v>0</v>
      </c>
      <c r="L93" s="45">
        <f>COUNTIFS('Recommendations'!F:F,"Phase4",'Recommendations'!D:D,"Should")</f>
        <v>0</v>
      </c>
      <c r="M93" s="45">
        <f>COUNTIFS('Recommendations'!F:F,"Phase4",'Recommendations'!D:D,"Could")</f>
        <v>0</v>
      </c>
      <c r="N93" s="45">
        <f>COUNTIFS('Recommendations'!F:F,"Phase4",'Recommendations'!D:D,"Won't")</f>
        <v>0</v>
      </c>
      <c r="O93" s="45">
        <f>COUNTIFS('Recommendations'!F:F,"Phase4",'Recommendations'!D:D,"Unassigned")</f>
        <v>0</v>
      </c>
    </row>
    <row r="94" spans="2:15" x14ac:dyDescent="0.35">
      <c r="B94" s="48" t="s">
        <v>2961</v>
      </c>
      <c r="C94" s="273" t="s">
        <v>28</v>
      </c>
      <c r="D94" s="273"/>
      <c r="E94" s="45">
        <f>COUNTIF('Recommendations'!F:F,"Phase5")-COUNTIFS('Recommendations'!F:F,"Phase5",'Recommendations'!G:G,"Risk Accepted")-COUNTIFS('Recommendations'!F:F,"Phase5",'Recommendations'!G:G,"N/A")</f>
        <v>0</v>
      </c>
      <c r="F94" s="45">
        <f>COUNTIFS('Recommendations'!F:F,"Phase5",'Recommendations'!U:U,"Resolved")</f>
        <v>0</v>
      </c>
      <c r="G94" s="274">
        <f t="shared" si="4"/>
        <v>0</v>
      </c>
      <c r="H94" s="274"/>
      <c r="J94" s="48" t="s">
        <v>2961</v>
      </c>
      <c r="K94" s="45">
        <f>COUNTIFS('Recommendations'!F:F,"Phase5",'Recommendations'!D:D,"Must")</f>
        <v>0</v>
      </c>
      <c r="L94" s="45">
        <f>COUNTIFS('Recommendations'!F:F,"Phase5",'Recommendations'!D:D,"Should")</f>
        <v>0</v>
      </c>
      <c r="M94" s="45">
        <f>COUNTIFS('Recommendations'!F:F,"Phase5",'Recommendations'!D:D,"Could")</f>
        <v>0</v>
      </c>
      <c r="N94" s="45">
        <f>COUNTIFS('Recommendations'!F:F,"Phase5",'Recommendations'!D:D,"Won't")</f>
        <v>0</v>
      </c>
      <c r="O94" s="45">
        <f>COUNTIFS('Recommendations'!F:F,"Phase5",'Recommendations'!D:D,"Unassigned")</f>
        <v>0</v>
      </c>
    </row>
    <row r="95" spans="2:15" x14ac:dyDescent="0.35">
      <c r="B95" s="48" t="s">
        <v>27</v>
      </c>
      <c r="C95" s="273" t="s">
        <v>28</v>
      </c>
      <c r="D95" s="273"/>
      <c r="E95" s="45">
        <f>COUNTIF('Recommendations'!F:F,"Pending")-COUNTIFS('Recommendations'!F:F,"Pending",'Recommendations'!G:G,"Risk Accepted")-COUNTIFS('Recommendations'!F:F,"Pending",'Recommendations'!G:G,"N/A")</f>
        <v>364</v>
      </c>
      <c r="F95" s="45">
        <f>COUNTIFS('Recommendations'!F:F,"Pending",'Recommendations'!U:U,"Resolved")</f>
        <v>0</v>
      </c>
      <c r="G95" s="274">
        <f t="shared" si="4"/>
        <v>0</v>
      </c>
      <c r="H95" s="274"/>
      <c r="J95" s="48" t="s">
        <v>27</v>
      </c>
      <c r="K95" s="45">
        <f>COUNTIFS('Recommendations'!F:F,"Pending",'Recommendations'!D:D,"Must")</f>
        <v>0</v>
      </c>
      <c r="L95" s="45">
        <f>COUNTIFS('Recommendations'!F:F,"Pending",'Recommendations'!D:D,"Should")</f>
        <v>0</v>
      </c>
      <c r="M95" s="45">
        <f>COUNTIFS('Recommendations'!F:F,"Pending",'Recommendations'!D:D,"Could")</f>
        <v>0</v>
      </c>
      <c r="N95" s="45">
        <f>COUNTIFS('Recommendations'!F:F,"Pending",'Recommendations'!D:D,"Won't")</f>
        <v>0</v>
      </c>
      <c r="O95" s="45">
        <f>COUNTIFS('Recommendations'!F:F,"Pending",'Recommendations'!D:D,"Unassigned")</f>
        <v>364</v>
      </c>
    </row>
    <row r="102" spans="2:24" ht="21" x14ac:dyDescent="0.5">
      <c r="B102" s="40" t="s">
        <v>2976</v>
      </c>
      <c r="P102" s="57" t="s">
        <v>2977</v>
      </c>
    </row>
    <row r="104" spans="2:24" ht="60" customHeight="1" x14ac:dyDescent="0.35">
      <c r="B104" s="275" t="s">
        <v>2978</v>
      </c>
      <c r="C104" s="268"/>
      <c r="D104" s="268"/>
      <c r="E104" s="268"/>
      <c r="F104" s="268"/>
      <c r="P104" s="275" t="s">
        <v>2979</v>
      </c>
      <c r="Q104" s="268"/>
      <c r="R104" s="268"/>
      <c r="S104" s="268"/>
      <c r="T104" s="268"/>
      <c r="U104" s="268"/>
      <c r="V104" s="268"/>
      <c r="W104" s="268"/>
    </row>
    <row r="106" spans="2:24" ht="30" customHeight="1" x14ac:dyDescent="0.35">
      <c r="P106" s="58" t="s">
        <v>2980</v>
      </c>
      <c r="Q106" s="59">
        <f>C16</f>
        <v>0</v>
      </c>
      <c r="R106" s="60"/>
      <c r="S106" s="59">
        <f>C52</f>
        <v>0</v>
      </c>
      <c r="T106" s="60"/>
      <c r="U106" s="59">
        <f>C53</f>
        <v>0</v>
      </c>
      <c r="V106" s="60"/>
      <c r="W106" s="59">
        <f>C54</f>
        <v>0</v>
      </c>
      <c r="X106" s="60"/>
    </row>
    <row r="107" spans="2:24" ht="35" customHeight="1" x14ac:dyDescent="0.35">
      <c r="P107" s="61" t="s">
        <v>2981</v>
      </c>
      <c r="Q107" s="61" t="s">
        <v>2982</v>
      </c>
      <c r="R107" s="61" t="s">
        <v>2983</v>
      </c>
      <c r="S107" s="61" t="s">
        <v>2984</v>
      </c>
      <c r="T107" s="61" t="s">
        <v>2985</v>
      </c>
      <c r="U107" s="61" t="s">
        <v>2986</v>
      </c>
      <c r="V107" s="61" t="s">
        <v>2987</v>
      </c>
      <c r="W107" s="61" t="s">
        <v>2988</v>
      </c>
      <c r="X107" s="61" t="s">
        <v>2989</v>
      </c>
    </row>
    <row r="108" spans="2:24" x14ac:dyDescent="0.35">
      <c r="O108" s="62" t="s">
        <v>2990</v>
      </c>
      <c r="P108" s="63" t="s">
        <v>2991</v>
      </c>
      <c r="Q108" s="64">
        <v>0</v>
      </c>
      <c r="R108" s="65">
        <f>IF(Dashboard!F16&gt;0, Q108/Dashboard!F16, "")</f>
        <v>0</v>
      </c>
      <c r="S108" s="64">
        <v>0</v>
      </c>
      <c r="T108" s="65" t="str">
        <f>IF(AND(NOT(ISBLANK(S108)),Dashboard!F52&gt;0), S108/Dashboard!F52, "")</f>
        <v/>
      </c>
      <c r="U108" s="64">
        <v>0</v>
      </c>
      <c r="V108" s="65" t="str">
        <f>IF(AND(NOT(ISBLANK(U108)),Dashboard!F53&gt;0), U108/Dashboard!F53, "")</f>
        <v/>
      </c>
      <c r="W108" s="64">
        <v>0</v>
      </c>
      <c r="X108" s="65" t="str">
        <f>IF(AND(NOT(ISBLANK(W108)),Dashboard!F54&gt;0), W108/Dashboard!F54, "")</f>
        <v/>
      </c>
    </row>
    <row r="109" spans="2:24" x14ac:dyDescent="0.35">
      <c r="P109" s="56"/>
      <c r="Q109" s="43"/>
      <c r="R109" s="46" t="str">
        <f>IF(AND(NOT(ISBLANK(Q109)),Dashboard!F16&gt;0), Q109/Dashboard!F16, "")</f>
        <v/>
      </c>
      <c r="S109" s="43"/>
      <c r="T109" s="46" t="str">
        <f>IF(AND(NOT(ISBLANK(S109)),Dashboard!F52&gt;0), S109/Dashboard!F52, "")</f>
        <v/>
      </c>
      <c r="U109" s="43"/>
      <c r="V109" s="46" t="str">
        <f>IF(AND(NOT(ISBLANK(U109)),Dashboard!F53&gt;0), U109/Dashboard!F53, "")</f>
        <v/>
      </c>
      <c r="W109" s="43"/>
      <c r="X109" s="46" t="str">
        <f>IF(AND(NOT(ISBLANK(W109)),Dashboard!F54&gt;0), W109/Dashboard!F54, "")</f>
        <v/>
      </c>
    </row>
    <row r="110" spans="2:24" x14ac:dyDescent="0.35">
      <c r="P110" s="56"/>
      <c r="Q110" s="43"/>
      <c r="R110" s="46" t="str">
        <f>IF(AND(NOT(ISBLANK(Q110)),Dashboard!F16&gt;0), Q110/Dashboard!F16, "")</f>
        <v/>
      </c>
      <c r="S110" s="43"/>
      <c r="T110" s="46" t="str">
        <f>IF(AND(NOT(ISBLANK(S110)),Dashboard!F52&gt;0), S110/Dashboard!F52, "")</f>
        <v/>
      </c>
      <c r="U110" s="43"/>
      <c r="V110" s="46" t="str">
        <f>IF(AND(NOT(ISBLANK(U110)),Dashboard!F53&gt;0), U110/Dashboard!F53, "")</f>
        <v/>
      </c>
      <c r="W110" s="43"/>
      <c r="X110" s="46" t="str">
        <f>IF(AND(NOT(ISBLANK(W110)),Dashboard!F54&gt;0), W110/Dashboard!F54, "")</f>
        <v/>
      </c>
    </row>
    <row r="111" spans="2:24" x14ac:dyDescent="0.35">
      <c r="P111" s="56"/>
      <c r="Q111" s="43"/>
      <c r="R111" s="46" t="str">
        <f>IF(AND(NOT(ISBLANK(Q111)),Dashboard!F16&gt;0), Q111/Dashboard!F16, "")</f>
        <v/>
      </c>
      <c r="S111" s="43"/>
      <c r="T111" s="46" t="str">
        <f>IF(AND(NOT(ISBLANK(S111)),Dashboard!F52&gt;0), S111/Dashboard!F52, "")</f>
        <v/>
      </c>
      <c r="U111" s="43"/>
      <c r="V111" s="46" t="str">
        <f>IF(AND(NOT(ISBLANK(U111)),Dashboard!F53&gt;0), U111/Dashboard!F53, "")</f>
        <v/>
      </c>
      <c r="W111" s="43"/>
      <c r="X111" s="46" t="str">
        <f>IF(AND(NOT(ISBLANK(W111)),Dashboard!F54&gt;0), W111/Dashboard!F54, "")</f>
        <v/>
      </c>
    </row>
    <row r="112" spans="2:24" x14ac:dyDescent="0.35">
      <c r="P112" s="56"/>
      <c r="Q112" s="43"/>
      <c r="R112" s="46" t="str">
        <f>IF(AND(NOT(ISBLANK(Q112)),Dashboard!F16&gt;0), Q112/Dashboard!F16, "")</f>
        <v/>
      </c>
      <c r="S112" s="43"/>
      <c r="T112" s="46" t="str">
        <f>IF(AND(NOT(ISBLANK(S112)),Dashboard!F52&gt;0), S112/Dashboard!F52, "")</f>
        <v/>
      </c>
      <c r="U112" s="43"/>
      <c r="V112" s="46" t="str">
        <f>IF(AND(NOT(ISBLANK(U112)),Dashboard!F53&gt;0), U112/Dashboard!F53, "")</f>
        <v/>
      </c>
      <c r="W112" s="43"/>
      <c r="X112" s="46" t="str">
        <f>IF(AND(NOT(ISBLANK(W112)),Dashboard!F54&gt;0), W112/Dashboard!F54, "")</f>
        <v/>
      </c>
    </row>
    <row r="113" spans="16:24" x14ac:dyDescent="0.35">
      <c r="P113" s="56"/>
      <c r="Q113" s="43"/>
      <c r="R113" s="46" t="str">
        <f>IF(AND(NOT(ISBLANK(Q113)),Dashboard!F16&gt;0), Q113/Dashboard!F16, "")</f>
        <v/>
      </c>
      <c r="S113" s="43"/>
      <c r="T113" s="46" t="str">
        <f>IF(AND(NOT(ISBLANK(S113)),Dashboard!F52&gt;0), S113/Dashboard!F52, "")</f>
        <v/>
      </c>
      <c r="U113" s="43"/>
      <c r="V113" s="46" t="str">
        <f>IF(AND(NOT(ISBLANK(U113)),Dashboard!F53&gt;0), U113/Dashboard!F53, "")</f>
        <v/>
      </c>
      <c r="W113" s="43"/>
      <c r="X113" s="46" t="str">
        <f>IF(AND(NOT(ISBLANK(W113)),Dashboard!F54&gt;0), W113/Dashboard!F54, "")</f>
        <v/>
      </c>
    </row>
    <row r="114" spans="16:24" x14ac:dyDescent="0.35">
      <c r="P114" s="56"/>
      <c r="Q114" s="43"/>
      <c r="R114" s="46" t="str">
        <f>IF(AND(NOT(ISBLANK(Q114)),Dashboard!F16&gt;0), Q114/Dashboard!F16, "")</f>
        <v/>
      </c>
      <c r="S114" s="43"/>
      <c r="T114" s="46" t="str">
        <f>IF(AND(NOT(ISBLANK(S114)),Dashboard!F52&gt;0), S114/Dashboard!F52, "")</f>
        <v/>
      </c>
      <c r="U114" s="43"/>
      <c r="V114" s="46" t="str">
        <f>IF(AND(NOT(ISBLANK(U114)),Dashboard!F53&gt;0), U114/Dashboard!F53, "")</f>
        <v/>
      </c>
      <c r="W114" s="43"/>
      <c r="X114" s="46" t="str">
        <f>IF(AND(NOT(ISBLANK(W114)),Dashboard!F54&gt;0), W114/Dashboard!F54, "")</f>
        <v/>
      </c>
    </row>
    <row r="115" spans="16:24" x14ac:dyDescent="0.35">
      <c r="P115" s="56"/>
      <c r="Q115" s="43"/>
      <c r="R115" s="46" t="str">
        <f>IF(AND(NOT(ISBLANK(Q115)),Dashboard!F16&gt;0), Q115/Dashboard!F16, "")</f>
        <v/>
      </c>
      <c r="S115" s="43"/>
      <c r="T115" s="46" t="str">
        <f>IF(AND(NOT(ISBLANK(S115)),Dashboard!F52&gt;0), S115/Dashboard!F52, "")</f>
        <v/>
      </c>
      <c r="U115" s="43"/>
      <c r="V115" s="46" t="str">
        <f>IF(AND(NOT(ISBLANK(U115)),Dashboard!F53&gt;0), U115/Dashboard!F53, "")</f>
        <v/>
      </c>
      <c r="W115" s="43"/>
      <c r="X115" s="46" t="str">
        <f>IF(AND(NOT(ISBLANK(W115)),Dashboard!F54&gt;0), W115/Dashboard!F54, "")</f>
        <v/>
      </c>
    </row>
    <row r="116" spans="16:24" x14ac:dyDescent="0.35">
      <c r="P116" s="56"/>
      <c r="Q116" s="43"/>
      <c r="R116" s="46" t="str">
        <f>IF(AND(NOT(ISBLANK(Q116)),Dashboard!F16&gt;0), Q116/Dashboard!F16, "")</f>
        <v/>
      </c>
      <c r="S116" s="43"/>
      <c r="T116" s="46" t="str">
        <f>IF(AND(NOT(ISBLANK(S116)),Dashboard!F52&gt;0), S116/Dashboard!F52, "")</f>
        <v/>
      </c>
      <c r="U116" s="43"/>
      <c r="V116" s="46" t="str">
        <f>IF(AND(NOT(ISBLANK(U116)),Dashboard!F53&gt;0), U116/Dashboard!F53, "")</f>
        <v/>
      </c>
      <c r="W116" s="43"/>
      <c r="X116" s="46" t="str">
        <f>IF(AND(NOT(ISBLANK(W116)),Dashboard!F54&gt;0), W116/Dashboard!F54, "")</f>
        <v/>
      </c>
    </row>
    <row r="117" spans="16:24" x14ac:dyDescent="0.35">
      <c r="P117" s="56"/>
      <c r="Q117" s="43"/>
      <c r="R117" s="46" t="str">
        <f>IF(AND(NOT(ISBLANK(Q117)),Dashboard!F16&gt;0), Q117/Dashboard!F16, "")</f>
        <v/>
      </c>
      <c r="S117" s="43"/>
      <c r="T117" s="46" t="str">
        <f>IF(AND(NOT(ISBLANK(S117)),Dashboard!F52&gt;0), S117/Dashboard!F52, "")</f>
        <v/>
      </c>
      <c r="U117" s="43"/>
      <c r="V117" s="46" t="str">
        <f>IF(AND(NOT(ISBLANK(U117)),Dashboard!F53&gt;0), U117/Dashboard!F53, "")</f>
        <v/>
      </c>
      <c r="W117" s="43"/>
      <c r="X117" s="46" t="str">
        <f>IF(AND(NOT(ISBLANK(W117)),Dashboard!F54&gt;0), W117/Dashboard!F54, "")</f>
        <v/>
      </c>
    </row>
    <row r="118" spans="16:24" x14ac:dyDescent="0.35">
      <c r="P118" s="56"/>
      <c r="Q118" s="43"/>
      <c r="R118" s="46" t="str">
        <f>IF(AND(NOT(ISBLANK(Q118)),Dashboard!F16&gt;0), Q118/Dashboard!F16, "")</f>
        <v/>
      </c>
      <c r="S118" s="43"/>
      <c r="T118" s="46" t="str">
        <f>IF(AND(NOT(ISBLANK(S118)),Dashboard!F52&gt;0), S118/Dashboard!F52, "")</f>
        <v/>
      </c>
      <c r="U118" s="43"/>
      <c r="V118" s="46" t="str">
        <f>IF(AND(NOT(ISBLANK(U118)),Dashboard!F53&gt;0), U118/Dashboard!F53, "")</f>
        <v/>
      </c>
      <c r="W118" s="43"/>
      <c r="X118" s="46" t="str">
        <f>IF(AND(NOT(ISBLANK(W118)),Dashboard!F54&gt;0), W118/Dashboard!F54, "")</f>
        <v/>
      </c>
    </row>
    <row r="119" spans="16:24" x14ac:dyDescent="0.35">
      <c r="P119" s="56"/>
      <c r="Q119" s="43"/>
      <c r="R119" s="46" t="str">
        <f>IF(AND(NOT(ISBLANK(Q119)),Dashboard!F16&gt;0), Q119/Dashboard!F16, "")</f>
        <v/>
      </c>
      <c r="S119" s="43"/>
      <c r="T119" s="46" t="str">
        <f>IF(AND(NOT(ISBLANK(S119)),Dashboard!F52&gt;0), S119/Dashboard!F52, "")</f>
        <v/>
      </c>
      <c r="U119" s="43"/>
      <c r="V119" s="46" t="str">
        <f>IF(AND(NOT(ISBLANK(U119)),Dashboard!F53&gt;0), U119/Dashboard!F53, "")</f>
        <v/>
      </c>
      <c r="W119" s="43"/>
      <c r="X119" s="46" t="str">
        <f>IF(AND(NOT(ISBLANK(W119)),Dashboard!F54&gt;0), W119/Dashboard!F54, "")</f>
        <v/>
      </c>
    </row>
    <row r="120" spans="16:24" x14ac:dyDescent="0.35">
      <c r="P120" s="56"/>
      <c r="Q120" s="43"/>
      <c r="R120" s="46" t="str">
        <f>IF(AND(NOT(ISBLANK(Q120)),Dashboard!F16&gt;0), Q120/Dashboard!F16, "")</f>
        <v/>
      </c>
      <c r="S120" s="43"/>
      <c r="T120" s="46" t="str">
        <f>IF(AND(NOT(ISBLANK(S120)),Dashboard!F52&gt;0), S120/Dashboard!F52, "")</f>
        <v/>
      </c>
      <c r="U120" s="43"/>
      <c r="V120" s="46" t="str">
        <f>IF(AND(NOT(ISBLANK(U120)),Dashboard!F53&gt;0), U120/Dashboard!F53, "")</f>
        <v/>
      </c>
      <c r="W120" s="43"/>
      <c r="X120" s="46" t="str">
        <f>IF(AND(NOT(ISBLANK(W120)),Dashboard!F54&gt;0), W120/Dashboard!F54, "")</f>
        <v/>
      </c>
    </row>
    <row r="121" spans="16:24" x14ac:dyDescent="0.35">
      <c r="P121" s="56"/>
      <c r="Q121" s="43"/>
      <c r="R121" s="46" t="str">
        <f>IF(AND(NOT(ISBLANK(Q121)),Dashboard!F16&gt;0), Q121/Dashboard!F16, "")</f>
        <v/>
      </c>
      <c r="S121" s="43"/>
      <c r="T121" s="46" t="str">
        <f>IF(AND(NOT(ISBLANK(S121)),Dashboard!F52&gt;0), S121/Dashboard!F52, "")</f>
        <v/>
      </c>
      <c r="U121" s="43"/>
      <c r="V121" s="46" t="str">
        <f>IF(AND(NOT(ISBLANK(U121)),Dashboard!F53&gt;0), U121/Dashboard!F53, "")</f>
        <v/>
      </c>
      <c r="W121" s="43"/>
      <c r="X121" s="46" t="str">
        <f>IF(AND(NOT(ISBLANK(W121)),Dashboard!F54&gt;0), W121/Dashboard!F54, "")</f>
        <v/>
      </c>
    </row>
    <row r="122" spans="16:24" x14ac:dyDescent="0.35">
      <c r="P122" s="56"/>
      <c r="Q122" s="43"/>
      <c r="R122" s="46" t="str">
        <f>IF(AND(NOT(ISBLANK(Q122)),Dashboard!F16&gt;0), Q122/Dashboard!F16, "")</f>
        <v/>
      </c>
      <c r="S122" s="43"/>
      <c r="T122" s="46" t="str">
        <f>IF(AND(NOT(ISBLANK(S122)),Dashboard!F52&gt;0), S122/Dashboard!F52, "")</f>
        <v/>
      </c>
      <c r="U122" s="43"/>
      <c r="V122" s="46" t="str">
        <f>IF(AND(NOT(ISBLANK(U122)),Dashboard!F53&gt;0), U122/Dashboard!F53, "")</f>
        <v/>
      </c>
      <c r="W122" s="43"/>
      <c r="X122" s="46" t="str">
        <f>IF(AND(NOT(ISBLANK(W122)),Dashboard!F54&gt;0), W122/Dashboard!F54, "")</f>
        <v/>
      </c>
    </row>
    <row r="123" spans="16:24" x14ac:dyDescent="0.35">
      <c r="P123" s="56"/>
      <c r="Q123" s="43"/>
      <c r="R123" s="46" t="str">
        <f>IF(AND(NOT(ISBLANK(Q123)),Dashboard!F16&gt;0), Q123/Dashboard!F16, "")</f>
        <v/>
      </c>
      <c r="S123" s="43"/>
      <c r="T123" s="46" t="str">
        <f>IF(AND(NOT(ISBLANK(S123)),Dashboard!F52&gt;0), S123/Dashboard!F52, "")</f>
        <v/>
      </c>
      <c r="U123" s="43"/>
      <c r="V123" s="46" t="str">
        <f>IF(AND(NOT(ISBLANK(U123)),Dashboard!F53&gt;0), U123/Dashboard!F53, "")</f>
        <v/>
      </c>
      <c r="W123" s="43"/>
      <c r="X123" s="46" t="str">
        <f>IF(AND(NOT(ISBLANK(W123)),Dashboard!F54&gt;0), W123/Dashboard!F54, "")</f>
        <v/>
      </c>
    </row>
    <row r="124" spans="16:24" x14ac:dyDescent="0.35">
      <c r="P124" s="56"/>
      <c r="Q124" s="43"/>
      <c r="R124" s="46" t="str">
        <f>IF(AND(NOT(ISBLANK(Q124)),Dashboard!F16&gt;0), Q124/Dashboard!F16, "")</f>
        <v/>
      </c>
      <c r="S124" s="43"/>
      <c r="T124" s="46" t="str">
        <f>IF(AND(NOT(ISBLANK(S124)),Dashboard!F52&gt;0), S124/Dashboard!F52, "")</f>
        <v/>
      </c>
      <c r="U124" s="43"/>
      <c r="V124" s="46" t="str">
        <f>IF(AND(NOT(ISBLANK(U124)),Dashboard!F53&gt;0), U124/Dashboard!F53, "")</f>
        <v/>
      </c>
      <c r="W124" s="43"/>
      <c r="X124" s="46" t="str">
        <f>IF(AND(NOT(ISBLANK(W124)),Dashboard!F54&gt;0), W124/Dashboard!F54, "")</f>
        <v/>
      </c>
    </row>
    <row r="125" spans="16:24" x14ac:dyDescent="0.35">
      <c r="P125" s="56"/>
      <c r="Q125" s="43"/>
      <c r="R125" s="46" t="str">
        <f>IF(AND(NOT(ISBLANK(Q125)),Dashboard!F16&gt;0), Q125/Dashboard!F16, "")</f>
        <v/>
      </c>
      <c r="S125" s="43"/>
      <c r="T125" s="46" t="str">
        <f>IF(AND(NOT(ISBLANK(S125)),Dashboard!F52&gt;0), S125/Dashboard!F52, "")</f>
        <v/>
      </c>
      <c r="U125" s="43"/>
      <c r="V125" s="46" t="str">
        <f>IF(AND(NOT(ISBLANK(U125)),Dashboard!F53&gt;0), U125/Dashboard!F53, "")</f>
        <v/>
      </c>
      <c r="W125" s="43"/>
      <c r="X125" s="46" t="str">
        <f>IF(AND(NOT(ISBLANK(W125)),Dashboard!F54&gt;0), W125/Dashboard!F54, "")</f>
        <v/>
      </c>
    </row>
    <row r="126" spans="16:24" x14ac:dyDescent="0.35">
      <c r="P126" s="56"/>
      <c r="Q126" s="43"/>
      <c r="R126" s="46" t="str">
        <f>IF(AND(NOT(ISBLANK(Q126)),Dashboard!F16&gt;0), Q126/Dashboard!F16, "")</f>
        <v/>
      </c>
      <c r="S126" s="43"/>
      <c r="T126" s="46" t="str">
        <f>IF(AND(NOT(ISBLANK(S126)),Dashboard!F52&gt;0), S126/Dashboard!F52, "")</f>
        <v/>
      </c>
      <c r="U126" s="43"/>
      <c r="V126" s="46" t="str">
        <f>IF(AND(NOT(ISBLANK(U126)),Dashboard!F53&gt;0), U126/Dashboard!F53, "")</f>
        <v/>
      </c>
      <c r="W126" s="43"/>
      <c r="X126" s="46" t="str">
        <f>IF(AND(NOT(ISBLANK(W126)),Dashboard!F54&gt;0), W126/Dashboard!F54, "")</f>
        <v/>
      </c>
    </row>
    <row r="127" spans="16:24" x14ac:dyDescent="0.35">
      <c r="P127" s="56"/>
      <c r="Q127" s="43"/>
      <c r="R127" s="46" t="str">
        <f>IF(AND(NOT(ISBLANK(Q127)),Dashboard!F16&gt;0), Q127/Dashboard!F16, "")</f>
        <v/>
      </c>
      <c r="S127" s="43"/>
      <c r="T127" s="46" t="str">
        <f>IF(AND(NOT(ISBLANK(S127)),Dashboard!F52&gt;0), S127/Dashboard!F52, "")</f>
        <v/>
      </c>
      <c r="U127" s="43"/>
      <c r="V127" s="46" t="str">
        <f>IF(AND(NOT(ISBLANK(U127)),Dashboard!F53&gt;0), U127/Dashboard!F53, "")</f>
        <v/>
      </c>
      <c r="W127" s="43"/>
      <c r="X127" s="46" t="str">
        <f>IF(AND(NOT(ISBLANK(W127)),Dashboard!F54&gt;0), W127/Dashboard!F54, "")</f>
        <v/>
      </c>
    </row>
    <row r="128" spans="16:24" x14ac:dyDescent="0.35">
      <c r="P128" s="56"/>
      <c r="Q128" s="43"/>
      <c r="R128" s="46" t="str">
        <f>IF(AND(NOT(ISBLANK(Q128)),Dashboard!F16&gt;0), Q128/Dashboard!F16, "")</f>
        <v/>
      </c>
      <c r="S128" s="43"/>
      <c r="T128" s="46" t="str">
        <f>IF(AND(NOT(ISBLANK(S128)),Dashboard!F52&gt;0), S128/Dashboard!F52, "")</f>
        <v/>
      </c>
      <c r="U128" s="43"/>
      <c r="V128" s="46" t="str">
        <f>IF(AND(NOT(ISBLANK(U128)),Dashboard!F53&gt;0), U128/Dashboard!F53, "")</f>
        <v/>
      </c>
      <c r="W128" s="43"/>
      <c r="X128" s="46" t="str">
        <f>IF(AND(NOT(ISBLANK(W128)),Dashboard!F54&gt;0), W128/Dashboard!F54, "")</f>
        <v/>
      </c>
    </row>
    <row r="129" spans="2:24" x14ac:dyDescent="0.35">
      <c r="P129" s="56"/>
      <c r="Q129" s="43"/>
      <c r="R129" s="46" t="str">
        <f>IF(AND(NOT(ISBLANK(Q129)),Dashboard!F16&gt;0), Q129/Dashboard!F16, "")</f>
        <v/>
      </c>
      <c r="S129" s="43"/>
      <c r="T129" s="46" t="str">
        <f>IF(AND(NOT(ISBLANK(S129)),Dashboard!F52&gt;0), S129/Dashboard!F52, "")</f>
        <v/>
      </c>
      <c r="U129" s="43"/>
      <c r="V129" s="46" t="str">
        <f>IF(AND(NOT(ISBLANK(U129)),Dashboard!F53&gt;0), U129/Dashboard!F53, "")</f>
        <v/>
      </c>
      <c r="W129" s="43"/>
      <c r="X129" s="46" t="str">
        <f>IF(AND(NOT(ISBLANK(W129)),Dashboard!F54&gt;0), W129/Dashboard!F54, "")</f>
        <v/>
      </c>
    </row>
    <row r="130" spans="2:24" x14ac:dyDescent="0.35">
      <c r="P130" s="56"/>
      <c r="Q130" s="43"/>
      <c r="R130" s="46" t="str">
        <f>IF(AND(NOT(ISBLANK(Q130)),Dashboard!F16&gt;0), Q130/Dashboard!F16, "")</f>
        <v/>
      </c>
      <c r="S130" s="43"/>
      <c r="T130" s="46" t="str">
        <f>IF(AND(NOT(ISBLANK(S130)),Dashboard!F52&gt;0), S130/Dashboard!F52, "")</f>
        <v/>
      </c>
      <c r="U130" s="43"/>
      <c r="V130" s="46" t="str">
        <f>IF(AND(NOT(ISBLANK(U130)),Dashboard!F53&gt;0), U130/Dashboard!F53, "")</f>
        <v/>
      </c>
      <c r="W130" s="43"/>
      <c r="X130" s="46" t="str">
        <f>IF(AND(NOT(ISBLANK(W130)),Dashboard!F54&gt;0), W130/Dashboard!F54, "")</f>
        <v/>
      </c>
    </row>
    <row r="131" spans="2:24" x14ac:dyDescent="0.35">
      <c r="P131" s="56"/>
      <c r="Q131" s="43"/>
      <c r="R131" s="46" t="str">
        <f>IF(AND(NOT(ISBLANK(Q131)),Dashboard!F16&gt;0), Q131/Dashboard!F16, "")</f>
        <v/>
      </c>
      <c r="S131" s="43"/>
      <c r="T131" s="46" t="str">
        <f>IF(AND(NOT(ISBLANK(S131)),Dashboard!F52&gt;0), S131/Dashboard!F52, "")</f>
        <v/>
      </c>
      <c r="U131" s="43"/>
      <c r="V131" s="46" t="str">
        <f>IF(AND(NOT(ISBLANK(U131)),Dashboard!F53&gt;0), U131/Dashboard!F53, "")</f>
        <v/>
      </c>
      <c r="W131" s="43"/>
      <c r="X131" s="46" t="str">
        <f>IF(AND(NOT(ISBLANK(W131)),Dashboard!F54&gt;0), W131/Dashboard!F54, "")</f>
        <v/>
      </c>
    </row>
    <row r="132" spans="2:24" x14ac:dyDescent="0.35">
      <c r="P132" s="56"/>
      <c r="Q132" s="43"/>
      <c r="R132" s="46" t="str">
        <f>IF(AND(NOT(ISBLANK(Q132)),Dashboard!F16&gt;0), Q132/Dashboard!F16, "")</f>
        <v/>
      </c>
      <c r="S132" s="43"/>
      <c r="T132" s="46" t="str">
        <f>IF(AND(NOT(ISBLANK(S132)),Dashboard!F52&gt;0), S132/Dashboard!F52, "")</f>
        <v/>
      </c>
      <c r="U132" s="43"/>
      <c r="V132" s="46" t="str">
        <f>IF(AND(NOT(ISBLANK(U132)),Dashboard!F53&gt;0), U132/Dashboard!F53, "")</f>
        <v/>
      </c>
      <c r="W132" s="43"/>
      <c r="X132" s="46" t="str">
        <f>IF(AND(NOT(ISBLANK(W132)),Dashboard!F54&gt;0), W132/Dashboard!F54, "")</f>
        <v/>
      </c>
    </row>
    <row r="133" spans="2:24" x14ac:dyDescent="0.35">
      <c r="P133" s="56"/>
      <c r="Q133" s="43"/>
      <c r="R133" s="46" t="str">
        <f>IF(AND(NOT(ISBLANK(Q133)),Dashboard!F16&gt;0), Q133/Dashboard!F16, "")</f>
        <v/>
      </c>
      <c r="S133" s="43"/>
      <c r="T133" s="46" t="str">
        <f>IF(AND(NOT(ISBLANK(S133)),Dashboard!F52&gt;0), S133/Dashboard!F52, "")</f>
        <v/>
      </c>
      <c r="U133" s="43"/>
      <c r="V133" s="46" t="str">
        <f>IF(AND(NOT(ISBLANK(U133)),Dashboard!F53&gt;0), U133/Dashboard!F53, "")</f>
        <v/>
      </c>
      <c r="W133" s="43"/>
      <c r="X133" s="46" t="str">
        <f>IF(AND(NOT(ISBLANK(W133)),Dashboard!F54&gt;0), W133/Dashboard!F54, "")</f>
        <v/>
      </c>
    </row>
    <row r="134" spans="2:24" x14ac:dyDescent="0.35">
      <c r="P134" s="56"/>
      <c r="Q134" s="43"/>
      <c r="R134" s="46" t="str">
        <f>IF(AND(NOT(ISBLANK(Q134)),Dashboard!F16&gt;0), Q134/Dashboard!F16, "")</f>
        <v/>
      </c>
      <c r="S134" s="43"/>
      <c r="T134" s="46" t="str">
        <f>IF(AND(NOT(ISBLANK(S134)),Dashboard!F52&gt;0), S134/Dashboard!F52, "")</f>
        <v/>
      </c>
      <c r="U134" s="43"/>
      <c r="V134" s="46" t="str">
        <f>IF(AND(NOT(ISBLANK(U134)),Dashboard!F53&gt;0), U134/Dashboard!F53, "")</f>
        <v/>
      </c>
      <c r="W134" s="43"/>
      <c r="X134" s="46" t="str">
        <f>IF(AND(NOT(ISBLANK(W134)),Dashboard!F54&gt;0), W134/Dashboard!F54, "")</f>
        <v/>
      </c>
    </row>
    <row r="135" spans="2:24" x14ac:dyDescent="0.35">
      <c r="P135" s="56"/>
      <c r="Q135" s="43"/>
      <c r="R135" s="46" t="str">
        <f>IF(AND(NOT(ISBLANK(Q135)),Dashboard!F16&gt;0), Q135/Dashboard!F16, "")</f>
        <v/>
      </c>
      <c r="S135" s="43"/>
      <c r="T135" s="46" t="str">
        <f>IF(AND(NOT(ISBLANK(S135)),Dashboard!F52&gt;0), S135/Dashboard!F52, "")</f>
        <v/>
      </c>
      <c r="U135" s="43"/>
      <c r="V135" s="46" t="str">
        <f>IF(AND(NOT(ISBLANK(U135)),Dashboard!F53&gt;0), U135/Dashboard!F53, "")</f>
        <v/>
      </c>
      <c r="W135" s="43"/>
      <c r="X135" s="46" t="str">
        <f>IF(AND(NOT(ISBLANK(W135)),Dashboard!F54&gt;0), W135/Dashboard!F54, "")</f>
        <v/>
      </c>
    </row>
    <row r="136" spans="2:24" x14ac:dyDescent="0.35">
      <c r="P136" s="56"/>
      <c r="Q136" s="43"/>
      <c r="R136" s="46" t="str">
        <f>IF(AND(NOT(ISBLANK(Q136)),Dashboard!F16&gt;0), Q136/Dashboard!F16, "")</f>
        <v/>
      </c>
      <c r="S136" s="43"/>
      <c r="T136" s="46" t="str">
        <f>IF(AND(NOT(ISBLANK(S136)),Dashboard!F52&gt;0), S136/Dashboard!F52, "")</f>
        <v/>
      </c>
      <c r="U136" s="43"/>
      <c r="V136" s="46" t="str">
        <f>IF(AND(NOT(ISBLANK(U136)),Dashboard!F53&gt;0), U136/Dashboard!F53, "")</f>
        <v/>
      </c>
      <c r="W136" s="43"/>
      <c r="X136" s="46" t="str">
        <f>IF(AND(NOT(ISBLANK(W136)),Dashboard!F54&gt;0), W136/Dashboard!F54, "")</f>
        <v/>
      </c>
    </row>
    <row r="137" spans="2:24" x14ac:dyDescent="0.35">
      <c r="P137" s="56"/>
      <c r="Q137" s="43"/>
      <c r="R137" s="46" t="str">
        <f>IF(AND(NOT(ISBLANK(Q137)),Dashboard!F16&gt;0), Q137/Dashboard!F16, "")</f>
        <v/>
      </c>
      <c r="S137" s="43"/>
      <c r="T137" s="46" t="str">
        <f>IF(AND(NOT(ISBLANK(S137)),Dashboard!F52&gt;0), S137/Dashboard!F52, "")</f>
        <v/>
      </c>
      <c r="U137" s="43"/>
      <c r="V137" s="46" t="str">
        <f>IF(AND(NOT(ISBLANK(U137)),Dashboard!F53&gt;0), U137/Dashboard!F53, "")</f>
        <v/>
      </c>
      <c r="W137" s="43"/>
      <c r="X137" s="46" t="str">
        <f>IF(AND(NOT(ISBLANK(W137)),Dashboard!F54&gt;0), W137/Dashboard!F54, "")</f>
        <v/>
      </c>
    </row>
    <row r="138" spans="2:24" x14ac:dyDescent="0.35">
      <c r="P138" s="56"/>
      <c r="Q138" s="43"/>
      <c r="R138" s="46" t="str">
        <f>IF(AND(NOT(ISBLANK(Q138)),Dashboard!F16&gt;0), Q138/Dashboard!F16, "")</f>
        <v/>
      </c>
      <c r="S138" s="43"/>
      <c r="T138" s="46" t="str">
        <f>IF(AND(NOT(ISBLANK(S138)),Dashboard!F52&gt;0), S138/Dashboard!F52, "")</f>
        <v/>
      </c>
      <c r="U138" s="43"/>
      <c r="V138" s="46" t="str">
        <f>IF(AND(NOT(ISBLANK(U138)),Dashboard!F53&gt;0), U138/Dashboard!F53, "")</f>
        <v/>
      </c>
      <c r="W138" s="43"/>
      <c r="X138" s="46" t="str">
        <f>IF(AND(NOT(ISBLANK(W138)),Dashboard!F54&gt;0), W138/Dashboard!F54, "")</f>
        <v/>
      </c>
    </row>
    <row r="143" spans="2:24" ht="21" x14ac:dyDescent="0.5">
      <c r="B143" s="40" t="s">
        <v>2992</v>
      </c>
      <c r="P143" s="57" t="s">
        <v>2993</v>
      </c>
    </row>
    <row r="145" spans="2:22" ht="45" customHeight="1" x14ac:dyDescent="0.35">
      <c r="B145" s="275" t="s">
        <v>2994</v>
      </c>
      <c r="C145" s="268"/>
      <c r="D145" s="268"/>
      <c r="E145" s="268"/>
      <c r="F145" s="268"/>
      <c r="P145" s="275" t="s">
        <v>2995</v>
      </c>
      <c r="Q145" s="268"/>
      <c r="R145" s="268"/>
      <c r="S145" s="268"/>
      <c r="T145" s="268"/>
      <c r="U145" s="268"/>
    </row>
    <row r="146" spans="2:22" ht="35" customHeight="1" x14ac:dyDescent="0.35">
      <c r="P146" s="272" t="s">
        <v>2996</v>
      </c>
      <c r="Q146" s="272"/>
      <c r="R146" s="272" t="s">
        <v>2997</v>
      </c>
      <c r="S146" s="272"/>
      <c r="T146" s="272"/>
    </row>
    <row r="147" spans="2:22" ht="30" customHeight="1" x14ac:dyDescent="0.35">
      <c r="P147" s="276">
        <v>0</v>
      </c>
      <c r="Q147" s="277"/>
      <c r="R147" s="278" t="s">
        <v>2998</v>
      </c>
      <c r="S147" s="279"/>
      <c r="T147" s="279"/>
    </row>
    <row r="150" spans="2:22" ht="25" customHeight="1" x14ac:dyDescent="0.35">
      <c r="P150" s="66" t="s">
        <v>2981</v>
      </c>
      <c r="Q150" s="66" t="s">
        <v>2999</v>
      </c>
      <c r="R150" s="66" t="s">
        <v>3000</v>
      </c>
      <c r="S150" s="280" t="s">
        <v>7</v>
      </c>
      <c r="T150" s="280"/>
      <c r="U150" s="280"/>
      <c r="V150" s="268"/>
    </row>
    <row r="151" spans="2:22" ht="20" customHeight="1" x14ac:dyDescent="0.35">
      <c r="P151" s="68"/>
      <c r="Q151" s="69"/>
      <c r="R151" s="70" t="str">
        <f>IF(AND(NOT(ISBLANK(Q151)), Dashboard!$P147&gt;0), Q151/Dashboard!$P147, "")</f>
        <v/>
      </c>
      <c r="S151" s="281"/>
      <c r="T151" s="282"/>
      <c r="U151" s="282"/>
      <c r="V151" s="282"/>
    </row>
    <row r="152" spans="2:22" ht="20" customHeight="1" x14ac:dyDescent="0.35">
      <c r="P152" s="68"/>
      <c r="Q152" s="69"/>
      <c r="R152" s="70" t="str">
        <f>IF(AND(NOT(ISBLANK(Q152)), Dashboard!$P147&gt;0), Q152/Dashboard!$P147, "")</f>
        <v/>
      </c>
      <c r="S152" s="281"/>
      <c r="T152" s="282"/>
      <c r="U152" s="282"/>
      <c r="V152" s="282"/>
    </row>
    <row r="153" spans="2:22" ht="20" customHeight="1" x14ac:dyDescent="0.35">
      <c r="P153" s="68"/>
      <c r="Q153" s="69"/>
      <c r="R153" s="70" t="str">
        <f>IF(AND(NOT(ISBLANK(Q153)), Dashboard!$P147&gt;0), Q153/Dashboard!$P147, "")</f>
        <v/>
      </c>
      <c r="S153" s="281"/>
      <c r="T153" s="282"/>
      <c r="U153" s="282"/>
      <c r="V153" s="282"/>
    </row>
    <row r="154" spans="2:22" ht="20" customHeight="1" x14ac:dyDescent="0.35">
      <c r="P154" s="68"/>
      <c r="Q154" s="69"/>
      <c r="R154" s="70" t="str">
        <f>IF(AND(NOT(ISBLANK(Q154)), Dashboard!$P147&gt;0), Q154/Dashboard!$P147, "")</f>
        <v/>
      </c>
      <c r="S154" s="281"/>
      <c r="T154" s="282"/>
      <c r="U154" s="282"/>
      <c r="V154" s="282"/>
    </row>
    <row r="155" spans="2:22" ht="20" customHeight="1" x14ac:dyDescent="0.35">
      <c r="P155" s="68"/>
      <c r="Q155" s="69"/>
      <c r="R155" s="70" t="str">
        <f>IF(AND(NOT(ISBLANK(Q155)), Dashboard!$P147&gt;0), Q155/Dashboard!$P147, "")</f>
        <v/>
      </c>
      <c r="S155" s="281"/>
      <c r="T155" s="282"/>
      <c r="U155" s="282"/>
      <c r="V155" s="282"/>
    </row>
    <row r="156" spans="2:22" ht="20" customHeight="1" x14ac:dyDescent="0.35">
      <c r="P156" s="68"/>
      <c r="Q156" s="69"/>
      <c r="R156" s="70" t="str">
        <f>IF(AND(NOT(ISBLANK(Q156)), Dashboard!$P147&gt;0), Q156/Dashboard!$P147, "")</f>
        <v/>
      </c>
      <c r="S156" s="281"/>
      <c r="T156" s="282"/>
      <c r="U156" s="282"/>
      <c r="V156" s="282"/>
    </row>
    <row r="157" spans="2:22" ht="20" customHeight="1" x14ac:dyDescent="0.35">
      <c r="P157" s="68"/>
      <c r="Q157" s="69"/>
      <c r="R157" s="70" t="str">
        <f>IF(AND(NOT(ISBLANK(Q157)), Dashboard!$P147&gt;0), Q157/Dashboard!$P147, "")</f>
        <v/>
      </c>
      <c r="S157" s="281"/>
      <c r="T157" s="282"/>
      <c r="U157" s="282"/>
      <c r="V157" s="282"/>
    </row>
    <row r="158" spans="2:22" ht="20" customHeight="1" x14ac:dyDescent="0.35">
      <c r="P158" s="68"/>
      <c r="Q158" s="69"/>
      <c r="R158" s="70" t="str">
        <f>IF(AND(NOT(ISBLANK(Q158)), Dashboard!$P147&gt;0), Q158/Dashboard!$P147, "")</f>
        <v/>
      </c>
      <c r="S158" s="281"/>
      <c r="T158" s="282"/>
      <c r="U158" s="282"/>
      <c r="V158" s="282"/>
    </row>
    <row r="159" spans="2:22" ht="20" customHeight="1" x14ac:dyDescent="0.35">
      <c r="P159" s="68"/>
      <c r="Q159" s="69"/>
      <c r="R159" s="70" t="str">
        <f>IF(AND(NOT(ISBLANK(Q159)), Dashboard!$P147&gt;0), Q159/Dashboard!$P147, "")</f>
        <v/>
      </c>
      <c r="S159" s="281"/>
      <c r="T159" s="282"/>
      <c r="U159" s="282"/>
      <c r="V159" s="282"/>
    </row>
    <row r="160" spans="2:22" ht="20" customHeight="1" x14ac:dyDescent="0.35">
      <c r="P160" s="68"/>
      <c r="Q160" s="69"/>
      <c r="R160" s="70" t="str">
        <f>IF(AND(NOT(ISBLANK(Q160)), Dashboard!$P147&gt;0), Q160/Dashboard!$P147, "")</f>
        <v/>
      </c>
      <c r="S160" s="281"/>
      <c r="T160" s="282"/>
      <c r="U160" s="282"/>
      <c r="V160" s="282"/>
    </row>
    <row r="161" spans="2:22" ht="20" customHeight="1" x14ac:dyDescent="0.35">
      <c r="P161" s="68"/>
      <c r="Q161" s="69"/>
      <c r="R161" s="70" t="str">
        <f>IF(AND(NOT(ISBLANK(Q161)), Dashboard!$P147&gt;0), Q161/Dashboard!$P147, "")</f>
        <v/>
      </c>
      <c r="S161" s="281"/>
      <c r="T161" s="282"/>
      <c r="U161" s="282"/>
      <c r="V161" s="282"/>
    </row>
    <row r="162" spans="2:22" ht="20" customHeight="1" x14ac:dyDescent="0.35">
      <c r="P162" s="68"/>
      <c r="Q162" s="69"/>
      <c r="R162" s="70" t="str">
        <f>IF(AND(NOT(ISBLANK(Q162)), Dashboard!$P147&gt;0), Q162/Dashboard!$P147, "")</f>
        <v/>
      </c>
      <c r="S162" s="281"/>
      <c r="T162" s="282"/>
      <c r="U162" s="282"/>
      <c r="V162" s="282"/>
    </row>
    <row r="163" spans="2:22" ht="20" customHeight="1" x14ac:dyDescent="0.35">
      <c r="P163" s="68"/>
      <c r="Q163" s="69"/>
      <c r="R163" s="70" t="str">
        <f>IF(AND(NOT(ISBLANK(Q163)), Dashboard!$P147&gt;0), Q163/Dashboard!$P147, "")</f>
        <v/>
      </c>
      <c r="S163" s="281"/>
      <c r="T163" s="282"/>
      <c r="U163" s="282"/>
      <c r="V163" s="282"/>
    </row>
    <row r="164" spans="2:22" ht="20" customHeight="1" x14ac:dyDescent="0.35">
      <c r="P164" s="68"/>
      <c r="Q164" s="69"/>
      <c r="R164" s="70" t="str">
        <f>IF(AND(NOT(ISBLANK(Q164)), Dashboard!$P147&gt;0), Q164/Dashboard!$P147, "")</f>
        <v/>
      </c>
      <c r="S164" s="281"/>
      <c r="T164" s="282"/>
      <c r="U164" s="282"/>
      <c r="V164" s="282"/>
    </row>
    <row r="165" spans="2:22" ht="20" customHeight="1" x14ac:dyDescent="0.35">
      <c r="P165" s="68"/>
      <c r="Q165" s="69"/>
      <c r="R165" s="70" t="str">
        <f>IF(AND(NOT(ISBLANK(Q165)), Dashboard!$P147&gt;0), Q165/Dashboard!$P147, "")</f>
        <v/>
      </c>
      <c r="S165" s="281"/>
      <c r="T165" s="282"/>
      <c r="U165" s="282"/>
      <c r="V165" s="282"/>
    </row>
    <row r="166" spans="2:22" ht="20" customHeight="1" x14ac:dyDescent="0.35">
      <c r="P166" s="68"/>
      <c r="Q166" s="69"/>
      <c r="R166" s="70" t="str">
        <f>IF(AND(NOT(ISBLANK(Q166)), Dashboard!$P147&gt;0), Q166/Dashboard!$P147, "")</f>
        <v/>
      </c>
      <c r="S166" s="281"/>
      <c r="T166" s="282"/>
      <c r="U166" s="282"/>
      <c r="V166" s="282"/>
    </row>
    <row r="167" spans="2:22" ht="20" customHeight="1" x14ac:dyDescent="0.35">
      <c r="P167" s="68"/>
      <c r="Q167" s="69"/>
      <c r="R167" s="70" t="str">
        <f>IF(AND(NOT(ISBLANK(Q167)), Dashboard!$P147&gt;0), Q167/Dashboard!$P147, "")</f>
        <v/>
      </c>
      <c r="S167" s="281"/>
      <c r="T167" s="282"/>
      <c r="U167" s="282"/>
      <c r="V167" s="282"/>
    </row>
    <row r="168" spans="2:22" ht="20" customHeight="1" x14ac:dyDescent="0.35">
      <c r="P168" s="68"/>
      <c r="Q168" s="69"/>
      <c r="R168" s="70" t="str">
        <f>IF(AND(NOT(ISBLANK(Q168)), Dashboard!$P147&gt;0), Q168/Dashboard!$P147, "")</f>
        <v/>
      </c>
      <c r="S168" s="281"/>
      <c r="T168" s="282"/>
      <c r="U168" s="282"/>
      <c r="V168" s="282"/>
    </row>
    <row r="169" spans="2:22" ht="20" customHeight="1" x14ac:dyDescent="0.35">
      <c r="P169" s="68"/>
      <c r="Q169" s="69"/>
      <c r="R169" s="70" t="str">
        <f>IF(AND(NOT(ISBLANK(Q169)), Dashboard!$P147&gt;0), Q169/Dashboard!$P147, "")</f>
        <v/>
      </c>
      <c r="S169" s="281"/>
      <c r="T169" s="282"/>
      <c r="U169" s="282"/>
      <c r="V169" s="282"/>
    </row>
    <row r="170" spans="2:22" ht="20" customHeight="1" x14ac:dyDescent="0.35">
      <c r="P170" s="68"/>
      <c r="Q170" s="69"/>
      <c r="R170" s="70" t="str">
        <f>IF(AND(NOT(ISBLANK(Q170)), Dashboard!$P147&gt;0), Q170/Dashboard!$P147, "")</f>
        <v/>
      </c>
      <c r="S170" s="281"/>
      <c r="T170" s="282"/>
      <c r="U170" s="282"/>
      <c r="V170" s="282"/>
    </row>
    <row r="174" spans="2:22" ht="32" customHeight="1" x14ac:dyDescent="0.35">
      <c r="B174" s="266" t="s">
        <v>2861</v>
      </c>
      <c r="C174" s="266"/>
      <c r="D174" s="266"/>
      <c r="E174" s="266"/>
      <c r="F174" s="266"/>
      <c r="G174" s="266"/>
      <c r="H174" s="266"/>
      <c r="I174" s="266"/>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90:H95">
    <cfRule type="expression" dxfId="71" priority="4">
      <formula>$G90&gt;=0.8</formula>
    </cfRule>
    <cfRule type="expression" dxfId="70" priority="5">
      <formula>AND($G90&gt;=0.5,$G90&lt;0.8)</formula>
    </cfRule>
    <cfRule type="expression" dxfId="69" priority="6">
      <formula>$G90&lt;0.5</formula>
    </cfRule>
  </conditionalFormatting>
  <conditionalFormatting sqref="K90:K95">
    <cfRule type="cellIs" dxfId="68" priority="7" operator="greaterThan">
      <formula>0</formula>
    </cfRule>
  </conditionalFormatting>
  <conditionalFormatting sqref="L90:L95">
    <cfRule type="cellIs" dxfId="67" priority="8" operator="greaterThan">
      <formula>0</formula>
    </cfRule>
  </conditionalFormatting>
  <conditionalFormatting sqref="M90:M95">
    <cfRule type="cellIs" dxfId="66" priority="9" operator="greaterThan">
      <formula>0</formula>
    </cfRule>
  </conditionalFormatting>
  <conditionalFormatting sqref="N90:N9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0" customWidth="1"/>
    <col min="3" max="3" width="60" customWidth="1"/>
    <col min="4" max="4" width="12" customWidth="1" outlineLevel="1"/>
    <col min="5" max="5" width="13" customWidth="1" outlineLevel="1"/>
    <col min="6" max="6" width="10" customWidth="1" outlineLevel="1"/>
    <col min="7" max="7" width="15" customWidth="1"/>
    <col min="8" max="8" width="40" customWidth="1"/>
    <col min="9" max="10" width="55" customWidth="1"/>
    <col min="11" max="12" width="55" hidden="1" customWidth="1" outlineLevel="1" collapsed="1"/>
    <col min="13" max="13" width="65" hidden="1" customWidth="1" outlineLevel="1" collapsed="1"/>
    <col min="14" max="15" width="35" hidden="1" customWidth="1" outlineLevel="1" collapsed="1"/>
    <col min="16" max="16" width="25" hidden="1" customWidth="1" outlineLevel="1" collapsed="1"/>
    <col min="17" max="17" width="45" hidden="1" customWidth="1" outlineLevel="1" collapsed="1"/>
    <col min="18" max="18" width="50" hidden="1" customWidth="1" outlineLevel="1" collapsed="1"/>
    <col min="19" max="19" width="35" hidden="1" customWidth="1" outlineLevel="1" collapsed="1"/>
    <col min="20" max="20" width="22" hidden="1" customWidth="1" outlineLevel="1" collapsed="1"/>
    <col min="21" max="21" width="18" hidden="1" customWidth="1" outlineLevel="1" collapsed="1"/>
    <col min="22" max="22" width="14" customWidth="1"/>
  </cols>
  <sheetData>
    <row r="1" spans="1:22" ht="25" customHeight="1" x14ac:dyDescent="0.35">
      <c r="A1" s="17" t="s">
        <v>0</v>
      </c>
      <c r="B1" s="18" t="s">
        <v>1</v>
      </c>
      <c r="C1" s="18" t="s">
        <v>2</v>
      </c>
      <c r="D1" s="18" t="s">
        <v>3</v>
      </c>
      <c r="E1" s="18" t="s">
        <v>4</v>
      </c>
      <c r="F1" s="18" t="s">
        <v>5</v>
      </c>
      <c r="G1" s="18" t="s">
        <v>6</v>
      </c>
      <c r="H1" s="18" t="s">
        <v>7</v>
      </c>
      <c r="I1" s="18" t="s">
        <v>8</v>
      </c>
      <c r="J1" s="18" t="s">
        <v>9</v>
      </c>
      <c r="K1" s="18" t="s">
        <v>10</v>
      </c>
      <c r="L1" s="18" t="s">
        <v>11</v>
      </c>
      <c r="M1" s="18" t="s">
        <v>12</v>
      </c>
      <c r="N1" s="18" t="s">
        <v>13</v>
      </c>
      <c r="O1" s="18" t="s">
        <v>14</v>
      </c>
      <c r="P1" s="18" t="s">
        <v>15</v>
      </c>
      <c r="Q1" s="18" t="s">
        <v>16</v>
      </c>
      <c r="R1" s="18" t="s">
        <v>17</v>
      </c>
      <c r="S1" s="18" t="s">
        <v>18</v>
      </c>
      <c r="T1" s="18" t="s">
        <v>19</v>
      </c>
      <c r="U1" s="18" t="s">
        <v>20</v>
      </c>
      <c r="V1" s="19" t="s">
        <v>21</v>
      </c>
    </row>
    <row r="2" spans="1:22" ht="60" customHeight="1" x14ac:dyDescent="0.35">
      <c r="A2" s="13" t="s">
        <v>22</v>
      </c>
      <c r="B2" s="2" t="s">
        <v>23</v>
      </c>
      <c r="C2" s="1" t="s">
        <v>24</v>
      </c>
      <c r="D2" s="3" t="s">
        <v>25</v>
      </c>
      <c r="E2" s="3" t="s">
        <v>26</v>
      </c>
      <c r="F2" s="3" t="s">
        <v>27</v>
      </c>
      <c r="G2" s="3" t="s">
        <v>28</v>
      </c>
      <c r="H2" s="4" t="s">
        <v>28</v>
      </c>
      <c r="I2" s="4" t="s">
        <v>29</v>
      </c>
      <c r="J2" s="4" t="s">
        <v>30</v>
      </c>
      <c r="K2" s="5" t="s">
        <v>31</v>
      </c>
      <c r="L2" s="5" t="s">
        <v>32</v>
      </c>
      <c r="M2" s="4" t="s">
        <v>33</v>
      </c>
      <c r="N2" s="4" t="s">
        <v>34</v>
      </c>
      <c r="O2" s="4" t="s">
        <v>35</v>
      </c>
      <c r="P2" s="4" t="s">
        <v>36</v>
      </c>
      <c r="Q2" s="4" t="s">
        <v>37</v>
      </c>
      <c r="R2" s="4" t="s">
        <v>38</v>
      </c>
      <c r="S2" s="4" t="s">
        <v>39</v>
      </c>
      <c r="T2" s="6" t="s">
        <v>40</v>
      </c>
      <c r="U2" s="3" t="str">
        <f t="shared" ref="U2:U256" si="0">IF(OR(G2="Implemented",G2="Compensated"),"Resolved",IF(OR(G2="Risk Accepted",G2="N/A"),"Excluded",IF(G2="Testing","Testing","Outstanding")))</f>
        <v>Outstanding</v>
      </c>
      <c r="V2" s="15" t="s">
        <v>28</v>
      </c>
    </row>
    <row r="3" spans="1:22" ht="60" customHeight="1" x14ac:dyDescent="0.35">
      <c r="A3" s="13" t="s">
        <v>22</v>
      </c>
      <c r="B3" s="2" t="s">
        <v>41</v>
      </c>
      <c r="C3" s="1" t="s">
        <v>42</v>
      </c>
      <c r="D3" s="3" t="s">
        <v>25</v>
      </c>
      <c r="E3" s="3" t="s">
        <v>26</v>
      </c>
      <c r="F3" s="3" t="s">
        <v>27</v>
      </c>
      <c r="G3" s="3" t="s">
        <v>28</v>
      </c>
      <c r="H3" s="4" t="s">
        <v>28</v>
      </c>
      <c r="I3" s="4" t="s">
        <v>43</v>
      </c>
      <c r="J3" s="4" t="s">
        <v>44</v>
      </c>
      <c r="K3" s="5" t="s">
        <v>31</v>
      </c>
      <c r="L3" s="5" t="s">
        <v>45</v>
      </c>
      <c r="M3" s="4" t="s">
        <v>46</v>
      </c>
      <c r="N3" s="4" t="s">
        <v>47</v>
      </c>
      <c r="O3" s="4" t="s">
        <v>48</v>
      </c>
      <c r="P3" s="4" t="s">
        <v>36</v>
      </c>
      <c r="Q3" s="4" t="s">
        <v>37</v>
      </c>
      <c r="R3" s="4" t="s">
        <v>38</v>
      </c>
      <c r="S3" s="4" t="s">
        <v>49</v>
      </c>
      <c r="T3" s="6" t="s">
        <v>40</v>
      </c>
      <c r="U3" s="3" t="str">
        <f t="shared" si="0"/>
        <v>Outstanding</v>
      </c>
      <c r="V3" s="15" t="s">
        <v>28</v>
      </c>
    </row>
    <row r="4" spans="1:22" ht="60" customHeight="1" x14ac:dyDescent="0.35">
      <c r="A4" s="13" t="s">
        <v>50</v>
      </c>
      <c r="B4" s="2" t="s">
        <v>51</v>
      </c>
      <c r="C4" s="1" t="s">
        <v>52</v>
      </c>
      <c r="D4" s="3" t="s">
        <v>25</v>
      </c>
      <c r="E4" s="3" t="s">
        <v>26</v>
      </c>
      <c r="F4" s="3" t="s">
        <v>27</v>
      </c>
      <c r="G4" s="3" t="s">
        <v>28</v>
      </c>
      <c r="H4" s="4" t="s">
        <v>28</v>
      </c>
      <c r="I4" s="4" t="s">
        <v>53</v>
      </c>
      <c r="J4" s="4"/>
      <c r="K4" s="5" t="s">
        <v>54</v>
      </c>
      <c r="L4" s="5" t="s">
        <v>55</v>
      </c>
      <c r="M4" s="4" t="s">
        <v>56</v>
      </c>
      <c r="N4" s="4" t="s">
        <v>57</v>
      </c>
      <c r="O4" s="4"/>
      <c r="P4" s="4"/>
      <c r="Q4" s="4"/>
      <c r="R4" s="4"/>
      <c r="S4" s="4"/>
      <c r="T4" s="6" t="s">
        <v>58</v>
      </c>
      <c r="U4" s="3" t="str">
        <f t="shared" si="0"/>
        <v>Outstanding</v>
      </c>
      <c r="V4" s="15" t="s">
        <v>28</v>
      </c>
    </row>
    <row r="5" spans="1:22" ht="60" customHeight="1" x14ac:dyDescent="0.35">
      <c r="A5" s="13" t="s">
        <v>50</v>
      </c>
      <c r="B5" s="2" t="s">
        <v>59</v>
      </c>
      <c r="C5" s="1" t="s">
        <v>60</v>
      </c>
      <c r="D5" s="3" t="s">
        <v>25</v>
      </c>
      <c r="E5" s="3" t="s">
        <v>26</v>
      </c>
      <c r="F5" s="3" t="s">
        <v>27</v>
      </c>
      <c r="G5" s="3" t="s">
        <v>28</v>
      </c>
      <c r="H5" s="4" t="s">
        <v>28</v>
      </c>
      <c r="I5" s="4" t="s">
        <v>61</v>
      </c>
      <c r="J5" s="4"/>
      <c r="K5" s="5" t="s">
        <v>54</v>
      </c>
      <c r="L5" s="5" t="s">
        <v>62</v>
      </c>
      <c r="M5" s="4" t="s">
        <v>63</v>
      </c>
      <c r="N5" s="4" t="s">
        <v>64</v>
      </c>
      <c r="O5" s="4"/>
      <c r="P5" s="4"/>
      <c r="Q5" s="4"/>
      <c r="R5" s="4"/>
      <c r="S5" s="4"/>
      <c r="T5" s="6" t="s">
        <v>58</v>
      </c>
      <c r="U5" s="3" t="str">
        <f t="shared" si="0"/>
        <v>Outstanding</v>
      </c>
      <c r="V5" s="15" t="s">
        <v>28</v>
      </c>
    </row>
    <row r="6" spans="1:22" ht="60" customHeight="1" x14ac:dyDescent="0.35">
      <c r="A6" s="13" t="s">
        <v>50</v>
      </c>
      <c r="B6" s="2" t="s">
        <v>65</v>
      </c>
      <c r="C6" s="1" t="s">
        <v>66</v>
      </c>
      <c r="D6" s="3" t="s">
        <v>25</v>
      </c>
      <c r="E6" s="3" t="s">
        <v>26</v>
      </c>
      <c r="F6" s="3" t="s">
        <v>27</v>
      </c>
      <c r="G6" s="3" t="s">
        <v>28</v>
      </c>
      <c r="H6" s="4" t="s">
        <v>28</v>
      </c>
      <c r="I6" s="4" t="s">
        <v>67</v>
      </c>
      <c r="J6" s="4"/>
      <c r="K6" s="5" t="s">
        <v>54</v>
      </c>
      <c r="L6" s="5" t="s">
        <v>68</v>
      </c>
      <c r="M6" s="4" t="s">
        <v>69</v>
      </c>
      <c r="N6" s="4" t="s">
        <v>70</v>
      </c>
      <c r="O6" s="4"/>
      <c r="P6" s="4"/>
      <c r="Q6" s="4"/>
      <c r="R6" s="4"/>
      <c r="S6" s="4"/>
      <c r="T6" s="6" t="s">
        <v>58</v>
      </c>
      <c r="U6" s="3" t="str">
        <f t="shared" si="0"/>
        <v>Outstanding</v>
      </c>
      <c r="V6" s="15" t="s">
        <v>28</v>
      </c>
    </row>
    <row r="7" spans="1:22" ht="60" customHeight="1" x14ac:dyDescent="0.35">
      <c r="A7" s="13" t="s">
        <v>50</v>
      </c>
      <c r="B7" s="2" t="s">
        <v>71</v>
      </c>
      <c r="C7" s="1" t="s">
        <v>72</v>
      </c>
      <c r="D7" s="3" t="s">
        <v>25</v>
      </c>
      <c r="E7" s="3" t="s">
        <v>26</v>
      </c>
      <c r="F7" s="3" t="s">
        <v>27</v>
      </c>
      <c r="G7" s="3" t="s">
        <v>28</v>
      </c>
      <c r="H7" s="4" t="s">
        <v>28</v>
      </c>
      <c r="I7" s="4" t="s">
        <v>73</v>
      </c>
      <c r="J7" s="4"/>
      <c r="K7" s="5" t="s">
        <v>54</v>
      </c>
      <c r="L7" s="5" t="s">
        <v>74</v>
      </c>
      <c r="M7" s="4" t="s">
        <v>75</v>
      </c>
      <c r="N7" s="4" t="s">
        <v>76</v>
      </c>
      <c r="O7" s="4"/>
      <c r="P7" s="4"/>
      <c r="Q7" s="4"/>
      <c r="R7" s="4"/>
      <c r="S7" s="4"/>
      <c r="T7" s="6" t="s">
        <v>58</v>
      </c>
      <c r="U7" s="3" t="str">
        <f t="shared" si="0"/>
        <v>Outstanding</v>
      </c>
      <c r="V7" s="15" t="s">
        <v>28</v>
      </c>
    </row>
    <row r="8" spans="1:22" ht="60" customHeight="1" x14ac:dyDescent="0.35">
      <c r="A8" s="13" t="s">
        <v>50</v>
      </c>
      <c r="B8" s="2" t="s">
        <v>77</v>
      </c>
      <c r="C8" s="1" t="s">
        <v>78</v>
      </c>
      <c r="D8" s="3" t="s">
        <v>25</v>
      </c>
      <c r="E8" s="3" t="s">
        <v>26</v>
      </c>
      <c r="F8" s="3" t="s">
        <v>27</v>
      </c>
      <c r="G8" s="3" t="s">
        <v>28</v>
      </c>
      <c r="H8" s="4" t="s">
        <v>28</v>
      </c>
      <c r="I8" s="4" t="s">
        <v>79</v>
      </c>
      <c r="J8" s="4"/>
      <c r="K8" s="5" t="s">
        <v>54</v>
      </c>
      <c r="L8" s="5" t="s">
        <v>80</v>
      </c>
      <c r="M8" s="4" t="s">
        <v>81</v>
      </c>
      <c r="N8" s="4" t="s">
        <v>82</v>
      </c>
      <c r="O8" s="4"/>
      <c r="P8" s="4"/>
      <c r="Q8" s="4"/>
      <c r="R8" s="4"/>
      <c r="S8" s="4"/>
      <c r="T8" s="6" t="s">
        <v>58</v>
      </c>
      <c r="U8" s="3" t="str">
        <f t="shared" si="0"/>
        <v>Outstanding</v>
      </c>
      <c r="V8" s="15" t="s">
        <v>28</v>
      </c>
    </row>
    <row r="9" spans="1:22" ht="60" customHeight="1" x14ac:dyDescent="0.35">
      <c r="A9" s="13" t="s">
        <v>83</v>
      </c>
      <c r="B9" s="2" t="s">
        <v>84</v>
      </c>
      <c r="C9" s="1" t="s">
        <v>85</v>
      </c>
      <c r="D9" s="3" t="s">
        <v>25</v>
      </c>
      <c r="E9" s="3" t="s">
        <v>26</v>
      </c>
      <c r="F9" s="3" t="s">
        <v>27</v>
      </c>
      <c r="G9" s="3" t="s">
        <v>28</v>
      </c>
      <c r="H9" s="4" t="s">
        <v>28</v>
      </c>
      <c r="I9" s="4" t="s">
        <v>86</v>
      </c>
      <c r="J9" s="4" t="s">
        <v>87</v>
      </c>
      <c r="K9" s="5" t="s">
        <v>88</v>
      </c>
      <c r="L9" s="5" t="s">
        <v>89</v>
      </c>
      <c r="M9" s="4" t="s">
        <v>90</v>
      </c>
      <c r="N9" s="4" t="s">
        <v>91</v>
      </c>
      <c r="O9" s="4"/>
      <c r="P9" s="4"/>
      <c r="Q9" s="4"/>
      <c r="R9" s="4"/>
      <c r="S9" s="4"/>
      <c r="T9" s="6" t="s">
        <v>92</v>
      </c>
      <c r="U9" s="3" t="str">
        <f t="shared" si="0"/>
        <v>Outstanding</v>
      </c>
      <c r="V9" s="15" t="s">
        <v>28</v>
      </c>
    </row>
    <row r="10" spans="1:22" ht="60" customHeight="1" x14ac:dyDescent="0.35">
      <c r="A10" s="13" t="s">
        <v>83</v>
      </c>
      <c r="B10" s="2" t="s">
        <v>93</v>
      </c>
      <c r="C10" s="1" t="s">
        <v>94</v>
      </c>
      <c r="D10" s="3" t="s">
        <v>25</v>
      </c>
      <c r="E10" s="3" t="s">
        <v>26</v>
      </c>
      <c r="F10" s="3" t="s">
        <v>27</v>
      </c>
      <c r="G10" s="3" t="s">
        <v>28</v>
      </c>
      <c r="H10" s="4" t="s">
        <v>28</v>
      </c>
      <c r="I10" s="4" t="s">
        <v>95</v>
      </c>
      <c r="J10" s="4" t="s">
        <v>96</v>
      </c>
      <c r="K10" s="5" t="s">
        <v>88</v>
      </c>
      <c r="L10" s="5" t="s">
        <v>97</v>
      </c>
      <c r="M10" s="4" t="s">
        <v>98</v>
      </c>
      <c r="N10" s="4" t="s">
        <v>99</v>
      </c>
      <c r="O10" s="4"/>
      <c r="P10" s="4"/>
      <c r="Q10" s="4"/>
      <c r="R10" s="4"/>
      <c r="S10" s="4"/>
      <c r="T10" s="6" t="s">
        <v>92</v>
      </c>
      <c r="U10" s="3" t="str">
        <f t="shared" si="0"/>
        <v>Outstanding</v>
      </c>
      <c r="V10" s="15" t="s">
        <v>28</v>
      </c>
    </row>
    <row r="11" spans="1:22" ht="60" customHeight="1" x14ac:dyDescent="0.35">
      <c r="A11" s="13" t="s">
        <v>83</v>
      </c>
      <c r="B11" s="2" t="s">
        <v>100</v>
      </c>
      <c r="C11" s="1" t="s">
        <v>101</v>
      </c>
      <c r="D11" s="3" t="s">
        <v>25</v>
      </c>
      <c r="E11" s="3" t="s">
        <v>26</v>
      </c>
      <c r="F11" s="3" t="s">
        <v>27</v>
      </c>
      <c r="G11" s="3" t="s">
        <v>28</v>
      </c>
      <c r="H11" s="4" t="s">
        <v>28</v>
      </c>
      <c r="I11" s="4" t="s">
        <v>102</v>
      </c>
      <c r="J11" s="4" t="s">
        <v>103</v>
      </c>
      <c r="K11" s="5" t="s">
        <v>88</v>
      </c>
      <c r="L11" s="5" t="s">
        <v>104</v>
      </c>
      <c r="M11" s="4" t="s">
        <v>105</v>
      </c>
      <c r="N11" s="4" t="s">
        <v>106</v>
      </c>
      <c r="O11" s="4"/>
      <c r="P11" s="4"/>
      <c r="Q11" s="4"/>
      <c r="R11" s="4"/>
      <c r="S11" s="4"/>
      <c r="T11" s="6" t="s">
        <v>92</v>
      </c>
      <c r="U11" s="3" t="str">
        <f t="shared" si="0"/>
        <v>Outstanding</v>
      </c>
      <c r="V11" s="15" t="s">
        <v>28</v>
      </c>
    </row>
    <row r="12" spans="1:22" ht="60" customHeight="1" x14ac:dyDescent="0.35">
      <c r="A12" s="13" t="s">
        <v>83</v>
      </c>
      <c r="B12" s="2" t="s">
        <v>107</v>
      </c>
      <c r="C12" s="1" t="s">
        <v>108</v>
      </c>
      <c r="D12" s="3" t="s">
        <v>25</v>
      </c>
      <c r="E12" s="3" t="s">
        <v>26</v>
      </c>
      <c r="F12" s="3" t="s">
        <v>27</v>
      </c>
      <c r="G12" s="3" t="s">
        <v>28</v>
      </c>
      <c r="H12" s="4" t="s">
        <v>28</v>
      </c>
      <c r="I12" s="4" t="s">
        <v>109</v>
      </c>
      <c r="J12" s="4" t="s">
        <v>110</v>
      </c>
      <c r="K12" s="5" t="s">
        <v>88</v>
      </c>
      <c r="L12" s="5" t="s">
        <v>111</v>
      </c>
      <c r="M12" s="4" t="s">
        <v>112</v>
      </c>
      <c r="N12" s="4" t="s">
        <v>113</v>
      </c>
      <c r="O12" s="4"/>
      <c r="P12" s="4"/>
      <c r="Q12" s="4"/>
      <c r="R12" s="4"/>
      <c r="S12" s="4"/>
      <c r="T12" s="6" t="s">
        <v>92</v>
      </c>
      <c r="U12" s="3" t="str">
        <f t="shared" si="0"/>
        <v>Outstanding</v>
      </c>
      <c r="V12" s="15" t="s">
        <v>28</v>
      </c>
    </row>
    <row r="13" spans="1:22" ht="60" customHeight="1" x14ac:dyDescent="0.35">
      <c r="A13" s="13" t="s">
        <v>114</v>
      </c>
      <c r="B13" s="2" t="s">
        <v>115</v>
      </c>
      <c r="C13" s="1" t="s">
        <v>116</v>
      </c>
      <c r="D13" s="3" t="s">
        <v>25</v>
      </c>
      <c r="E13" s="3" t="s">
        <v>26</v>
      </c>
      <c r="F13" s="3" t="s">
        <v>27</v>
      </c>
      <c r="G13" s="3" t="s">
        <v>28</v>
      </c>
      <c r="H13" s="4" t="s">
        <v>28</v>
      </c>
      <c r="I13" s="4" t="s">
        <v>117</v>
      </c>
      <c r="J13" s="4" t="s">
        <v>118</v>
      </c>
      <c r="K13" s="5" t="s">
        <v>119</v>
      </c>
      <c r="L13" s="5" t="s">
        <v>120</v>
      </c>
      <c r="M13" s="4" t="s">
        <v>121</v>
      </c>
      <c r="N13" s="4" t="s">
        <v>122</v>
      </c>
      <c r="O13" s="4" t="s">
        <v>123</v>
      </c>
      <c r="P13" s="4" t="s">
        <v>36</v>
      </c>
      <c r="Q13" s="4" t="s">
        <v>124</v>
      </c>
      <c r="R13" s="4" t="s">
        <v>125</v>
      </c>
      <c r="S13" s="4" t="s">
        <v>126</v>
      </c>
      <c r="T13" s="6" t="s">
        <v>127</v>
      </c>
      <c r="U13" s="3" t="str">
        <f t="shared" si="0"/>
        <v>Outstanding</v>
      </c>
      <c r="V13" s="15" t="s">
        <v>28</v>
      </c>
    </row>
    <row r="14" spans="1:22" ht="60" customHeight="1" x14ac:dyDescent="0.35">
      <c r="A14" s="13" t="s">
        <v>128</v>
      </c>
      <c r="B14" s="2" t="s">
        <v>129</v>
      </c>
      <c r="C14" s="1" t="s">
        <v>130</v>
      </c>
      <c r="D14" s="3" t="s">
        <v>25</v>
      </c>
      <c r="E14" s="3" t="s">
        <v>26</v>
      </c>
      <c r="F14" s="3" t="s">
        <v>27</v>
      </c>
      <c r="G14" s="3" t="s">
        <v>28</v>
      </c>
      <c r="H14" s="4" t="s">
        <v>28</v>
      </c>
      <c r="I14" s="4" t="s">
        <v>131</v>
      </c>
      <c r="J14" s="4"/>
      <c r="K14" s="5" t="s">
        <v>132</v>
      </c>
      <c r="L14" s="5" t="s">
        <v>133</v>
      </c>
      <c r="M14" s="4"/>
      <c r="N14" s="4"/>
      <c r="O14" s="4"/>
      <c r="P14" s="4"/>
      <c r="Q14" s="4"/>
      <c r="R14" s="4"/>
      <c r="S14" s="4"/>
      <c r="T14" s="6"/>
      <c r="U14" s="3" t="str">
        <f t="shared" si="0"/>
        <v>Outstanding</v>
      </c>
      <c r="V14" s="15" t="s">
        <v>28</v>
      </c>
    </row>
    <row r="15" spans="1:22" ht="60" customHeight="1" x14ac:dyDescent="0.35">
      <c r="A15" s="13" t="s">
        <v>134</v>
      </c>
      <c r="B15" s="2" t="s">
        <v>135</v>
      </c>
      <c r="C15" s="1" t="s">
        <v>136</v>
      </c>
      <c r="D15" s="3" t="s">
        <v>25</v>
      </c>
      <c r="E15" s="3" t="s">
        <v>26</v>
      </c>
      <c r="F15" s="3" t="s">
        <v>27</v>
      </c>
      <c r="G15" s="3" t="s">
        <v>28</v>
      </c>
      <c r="H15" s="4" t="s">
        <v>28</v>
      </c>
      <c r="I15" s="4" t="s">
        <v>137</v>
      </c>
      <c r="J15" s="4" t="s">
        <v>138</v>
      </c>
      <c r="K15" s="5" t="s">
        <v>139</v>
      </c>
      <c r="L15" s="5" t="s">
        <v>140</v>
      </c>
      <c r="M15" s="4" t="s">
        <v>141</v>
      </c>
      <c r="N15" s="4" t="s">
        <v>142</v>
      </c>
      <c r="O15" s="4" t="s">
        <v>143</v>
      </c>
      <c r="P15" s="4" t="s">
        <v>36</v>
      </c>
      <c r="Q15" s="4" t="s">
        <v>144</v>
      </c>
      <c r="R15" s="4" t="s">
        <v>145</v>
      </c>
      <c r="S15" s="4"/>
      <c r="T15" s="6" t="s">
        <v>146</v>
      </c>
      <c r="U15" s="3" t="str">
        <f t="shared" si="0"/>
        <v>Outstanding</v>
      </c>
      <c r="V15" s="15" t="s">
        <v>28</v>
      </c>
    </row>
    <row r="16" spans="1:22" ht="60" customHeight="1" x14ac:dyDescent="0.35">
      <c r="A16" s="13" t="s">
        <v>147</v>
      </c>
      <c r="B16" s="2" t="s">
        <v>148</v>
      </c>
      <c r="C16" s="1" t="s">
        <v>149</v>
      </c>
      <c r="D16" s="3" t="s">
        <v>25</v>
      </c>
      <c r="E16" s="3" t="s">
        <v>26</v>
      </c>
      <c r="F16" s="3" t="s">
        <v>27</v>
      </c>
      <c r="G16" s="3" t="s">
        <v>28</v>
      </c>
      <c r="H16" s="4" t="s">
        <v>28</v>
      </c>
      <c r="I16" s="4" t="s">
        <v>150</v>
      </c>
      <c r="J16" s="4" t="s">
        <v>151</v>
      </c>
      <c r="K16" s="5" t="s">
        <v>152</v>
      </c>
      <c r="L16" s="5" t="s">
        <v>153</v>
      </c>
      <c r="M16" s="4" t="s">
        <v>154</v>
      </c>
      <c r="N16" s="4" t="s">
        <v>155</v>
      </c>
      <c r="O16" s="4" t="s">
        <v>156</v>
      </c>
      <c r="P16" s="4" t="s">
        <v>36</v>
      </c>
      <c r="Q16" s="4" t="s">
        <v>157</v>
      </c>
      <c r="R16" s="4" t="s">
        <v>158</v>
      </c>
      <c r="S16" s="4" t="s">
        <v>159</v>
      </c>
      <c r="T16" s="6" t="s">
        <v>160</v>
      </c>
      <c r="U16" s="3" t="str">
        <f t="shared" si="0"/>
        <v>Outstanding</v>
      </c>
      <c r="V16" s="15" t="s">
        <v>28</v>
      </c>
    </row>
    <row r="17" spans="1:22" ht="60" customHeight="1" x14ac:dyDescent="0.35">
      <c r="A17" s="13" t="s">
        <v>161</v>
      </c>
      <c r="B17" s="2" t="s">
        <v>162</v>
      </c>
      <c r="C17" s="1" t="s">
        <v>163</v>
      </c>
      <c r="D17" s="3" t="s">
        <v>25</v>
      </c>
      <c r="E17" s="3" t="s">
        <v>26</v>
      </c>
      <c r="F17" s="3" t="s">
        <v>27</v>
      </c>
      <c r="G17" s="3" t="s">
        <v>28</v>
      </c>
      <c r="H17" s="4" t="s">
        <v>28</v>
      </c>
      <c r="I17" s="4" t="s">
        <v>164</v>
      </c>
      <c r="J17" s="4" t="s">
        <v>165</v>
      </c>
      <c r="K17" s="5" t="s">
        <v>166</v>
      </c>
      <c r="L17" s="5" t="s">
        <v>167</v>
      </c>
      <c r="M17" s="4" t="s">
        <v>168</v>
      </c>
      <c r="N17" s="4" t="s">
        <v>169</v>
      </c>
      <c r="O17" s="4" t="s">
        <v>170</v>
      </c>
      <c r="P17" s="4" t="s">
        <v>36</v>
      </c>
      <c r="Q17" s="4" t="s">
        <v>161</v>
      </c>
      <c r="R17" s="4" t="s">
        <v>171</v>
      </c>
      <c r="S17" s="4"/>
      <c r="T17" s="6" t="s">
        <v>172</v>
      </c>
      <c r="U17" s="3" t="str">
        <f t="shared" si="0"/>
        <v>Outstanding</v>
      </c>
      <c r="V17" s="15" t="s">
        <v>28</v>
      </c>
    </row>
    <row r="18" spans="1:22" ht="60" customHeight="1" x14ac:dyDescent="0.35">
      <c r="A18" s="13" t="s">
        <v>161</v>
      </c>
      <c r="B18" s="2" t="s">
        <v>173</v>
      </c>
      <c r="C18" s="1" t="s">
        <v>174</v>
      </c>
      <c r="D18" s="3" t="s">
        <v>25</v>
      </c>
      <c r="E18" s="3" t="s">
        <v>26</v>
      </c>
      <c r="F18" s="3" t="s">
        <v>27</v>
      </c>
      <c r="G18" s="3" t="s">
        <v>28</v>
      </c>
      <c r="H18" s="4" t="s">
        <v>28</v>
      </c>
      <c r="I18" s="4" t="s">
        <v>175</v>
      </c>
      <c r="J18" s="4" t="s">
        <v>176</v>
      </c>
      <c r="K18" s="5" t="s">
        <v>166</v>
      </c>
      <c r="L18" s="5" t="s">
        <v>177</v>
      </c>
      <c r="M18" s="4" t="s">
        <v>178</v>
      </c>
      <c r="N18" s="4" t="s">
        <v>179</v>
      </c>
      <c r="O18" s="4" t="s">
        <v>180</v>
      </c>
      <c r="P18" s="4" t="s">
        <v>36</v>
      </c>
      <c r="Q18" s="4" t="s">
        <v>161</v>
      </c>
      <c r="R18" s="4" t="s">
        <v>181</v>
      </c>
      <c r="S18" s="4"/>
      <c r="T18" s="6" t="s">
        <v>172</v>
      </c>
      <c r="U18" s="3" t="str">
        <f t="shared" si="0"/>
        <v>Outstanding</v>
      </c>
      <c r="V18" s="15" t="s">
        <v>28</v>
      </c>
    </row>
    <row r="19" spans="1:22" ht="60" customHeight="1" x14ac:dyDescent="0.35">
      <c r="A19" s="13" t="s">
        <v>161</v>
      </c>
      <c r="B19" s="2" t="s">
        <v>182</v>
      </c>
      <c r="C19" s="1" t="s">
        <v>183</v>
      </c>
      <c r="D19" s="3" t="s">
        <v>25</v>
      </c>
      <c r="E19" s="3" t="s">
        <v>26</v>
      </c>
      <c r="F19" s="3" t="s">
        <v>27</v>
      </c>
      <c r="G19" s="3" t="s">
        <v>28</v>
      </c>
      <c r="H19" s="4" t="s">
        <v>28</v>
      </c>
      <c r="I19" s="4" t="s">
        <v>184</v>
      </c>
      <c r="J19" s="4" t="s">
        <v>176</v>
      </c>
      <c r="K19" s="5" t="s">
        <v>166</v>
      </c>
      <c r="L19" s="5" t="s">
        <v>177</v>
      </c>
      <c r="M19" s="4" t="s">
        <v>178</v>
      </c>
      <c r="N19" s="4" t="s">
        <v>179</v>
      </c>
      <c r="O19" s="4" t="s">
        <v>180</v>
      </c>
      <c r="P19" s="4" t="s">
        <v>36</v>
      </c>
      <c r="Q19" s="4" t="s">
        <v>161</v>
      </c>
      <c r="R19" s="4" t="s">
        <v>181</v>
      </c>
      <c r="S19" s="4"/>
      <c r="T19" s="6" t="s">
        <v>172</v>
      </c>
      <c r="U19" s="3" t="str">
        <f t="shared" si="0"/>
        <v>Outstanding</v>
      </c>
      <c r="V19" s="15" t="s">
        <v>28</v>
      </c>
    </row>
    <row r="20" spans="1:22" ht="60" customHeight="1" x14ac:dyDescent="0.35">
      <c r="A20" s="13" t="s">
        <v>161</v>
      </c>
      <c r="B20" s="2" t="s">
        <v>185</v>
      </c>
      <c r="C20" s="1" t="s">
        <v>186</v>
      </c>
      <c r="D20" s="3" t="s">
        <v>25</v>
      </c>
      <c r="E20" s="3" t="s">
        <v>26</v>
      </c>
      <c r="F20" s="3" t="s">
        <v>27</v>
      </c>
      <c r="G20" s="3" t="s">
        <v>28</v>
      </c>
      <c r="H20" s="4" t="s">
        <v>28</v>
      </c>
      <c r="I20" s="4" t="s">
        <v>187</v>
      </c>
      <c r="J20" s="4" t="s">
        <v>188</v>
      </c>
      <c r="K20" s="5" t="s">
        <v>166</v>
      </c>
      <c r="L20" s="5" t="s">
        <v>189</v>
      </c>
      <c r="M20" s="4" t="s">
        <v>190</v>
      </c>
      <c r="N20" s="4" t="s">
        <v>191</v>
      </c>
      <c r="O20" s="4" t="s">
        <v>192</v>
      </c>
      <c r="P20" s="4" t="s">
        <v>36</v>
      </c>
      <c r="Q20" s="4" t="s">
        <v>161</v>
      </c>
      <c r="R20" s="4" t="s">
        <v>181</v>
      </c>
      <c r="S20" s="4"/>
      <c r="T20" s="6" t="s">
        <v>172</v>
      </c>
      <c r="U20" s="3" t="str">
        <f t="shared" si="0"/>
        <v>Outstanding</v>
      </c>
      <c r="V20" s="15" t="s">
        <v>28</v>
      </c>
    </row>
    <row r="21" spans="1:22" ht="60" customHeight="1" x14ac:dyDescent="0.35">
      <c r="A21" s="13" t="s">
        <v>161</v>
      </c>
      <c r="B21" s="2" t="s">
        <v>193</v>
      </c>
      <c r="C21" s="1" t="s">
        <v>194</v>
      </c>
      <c r="D21" s="3" t="s">
        <v>25</v>
      </c>
      <c r="E21" s="3" t="s">
        <v>26</v>
      </c>
      <c r="F21" s="3" t="s">
        <v>27</v>
      </c>
      <c r="G21" s="3" t="s">
        <v>28</v>
      </c>
      <c r="H21" s="4" t="s">
        <v>28</v>
      </c>
      <c r="I21" s="4" t="s">
        <v>195</v>
      </c>
      <c r="J21" s="4" t="s">
        <v>188</v>
      </c>
      <c r="K21" s="5" t="s">
        <v>166</v>
      </c>
      <c r="L21" s="5" t="s">
        <v>189</v>
      </c>
      <c r="M21" s="4" t="s">
        <v>190</v>
      </c>
      <c r="N21" s="4" t="s">
        <v>191</v>
      </c>
      <c r="O21" s="4" t="s">
        <v>192</v>
      </c>
      <c r="P21" s="4" t="s">
        <v>36</v>
      </c>
      <c r="Q21" s="4" t="s">
        <v>161</v>
      </c>
      <c r="R21" s="4" t="s">
        <v>181</v>
      </c>
      <c r="S21" s="4"/>
      <c r="T21" s="6" t="s">
        <v>172</v>
      </c>
      <c r="U21" s="3" t="str">
        <f t="shared" si="0"/>
        <v>Outstanding</v>
      </c>
      <c r="V21" s="15" t="s">
        <v>28</v>
      </c>
    </row>
    <row r="22" spans="1:22" ht="60" customHeight="1" x14ac:dyDescent="0.35">
      <c r="A22" s="13" t="s">
        <v>161</v>
      </c>
      <c r="B22" s="2" t="s">
        <v>196</v>
      </c>
      <c r="C22" s="1" t="s">
        <v>197</v>
      </c>
      <c r="D22" s="3" t="s">
        <v>25</v>
      </c>
      <c r="E22" s="3" t="s">
        <v>26</v>
      </c>
      <c r="F22" s="3" t="s">
        <v>27</v>
      </c>
      <c r="G22" s="3" t="s">
        <v>28</v>
      </c>
      <c r="H22" s="4" t="s">
        <v>28</v>
      </c>
      <c r="I22" s="4" t="s">
        <v>198</v>
      </c>
      <c r="J22" s="4" t="s">
        <v>199</v>
      </c>
      <c r="K22" s="5" t="s">
        <v>166</v>
      </c>
      <c r="L22" s="5" t="s">
        <v>200</v>
      </c>
      <c r="M22" s="4" t="s">
        <v>201</v>
      </c>
      <c r="N22" s="4" t="s">
        <v>202</v>
      </c>
      <c r="O22" s="4" t="s">
        <v>203</v>
      </c>
      <c r="P22" s="4" t="s">
        <v>36</v>
      </c>
      <c r="Q22" s="4" t="s">
        <v>161</v>
      </c>
      <c r="R22" s="4" t="s">
        <v>181</v>
      </c>
      <c r="S22" s="4"/>
      <c r="T22" s="6" t="s">
        <v>172</v>
      </c>
      <c r="U22" s="3" t="str">
        <f t="shared" si="0"/>
        <v>Outstanding</v>
      </c>
      <c r="V22" s="15" t="s">
        <v>28</v>
      </c>
    </row>
    <row r="23" spans="1:22" ht="60" customHeight="1" x14ac:dyDescent="0.35">
      <c r="A23" s="13" t="s">
        <v>161</v>
      </c>
      <c r="B23" s="2" t="s">
        <v>204</v>
      </c>
      <c r="C23" s="1" t="s">
        <v>205</v>
      </c>
      <c r="D23" s="3" t="s">
        <v>25</v>
      </c>
      <c r="E23" s="3" t="s">
        <v>26</v>
      </c>
      <c r="F23" s="3" t="s">
        <v>27</v>
      </c>
      <c r="G23" s="3" t="s">
        <v>28</v>
      </c>
      <c r="H23" s="4" t="s">
        <v>28</v>
      </c>
      <c r="I23" s="4" t="s">
        <v>206</v>
      </c>
      <c r="J23" s="4" t="s">
        <v>207</v>
      </c>
      <c r="K23" s="5" t="s">
        <v>166</v>
      </c>
      <c r="L23" s="5" t="s">
        <v>208</v>
      </c>
      <c r="M23" s="4" t="s">
        <v>209</v>
      </c>
      <c r="N23" s="4" t="s">
        <v>210</v>
      </c>
      <c r="O23" s="4" t="s">
        <v>211</v>
      </c>
      <c r="P23" s="4" t="s">
        <v>36</v>
      </c>
      <c r="Q23" s="4" t="s">
        <v>161</v>
      </c>
      <c r="R23" s="4" t="s">
        <v>212</v>
      </c>
      <c r="S23" s="4" t="s">
        <v>210</v>
      </c>
      <c r="T23" s="6" t="s">
        <v>172</v>
      </c>
      <c r="U23" s="3" t="str">
        <f t="shared" si="0"/>
        <v>Outstanding</v>
      </c>
      <c r="V23" s="15" t="s">
        <v>28</v>
      </c>
    </row>
    <row r="24" spans="1:22" ht="60" customHeight="1" x14ac:dyDescent="0.35">
      <c r="A24" s="13" t="s">
        <v>161</v>
      </c>
      <c r="B24" s="2" t="s">
        <v>213</v>
      </c>
      <c r="C24" s="1" t="s">
        <v>214</v>
      </c>
      <c r="D24" s="3" t="s">
        <v>25</v>
      </c>
      <c r="E24" s="3" t="s">
        <v>26</v>
      </c>
      <c r="F24" s="3" t="s">
        <v>27</v>
      </c>
      <c r="G24" s="3" t="s">
        <v>28</v>
      </c>
      <c r="H24" s="4" t="s">
        <v>28</v>
      </c>
      <c r="I24" s="4" t="s">
        <v>215</v>
      </c>
      <c r="J24" s="4" t="s">
        <v>216</v>
      </c>
      <c r="K24" s="5" t="s">
        <v>166</v>
      </c>
      <c r="L24" s="5" t="s">
        <v>217</v>
      </c>
      <c r="M24" s="4" t="s">
        <v>218</v>
      </c>
      <c r="N24" s="4" t="s">
        <v>219</v>
      </c>
      <c r="O24" s="4" t="s">
        <v>220</v>
      </c>
      <c r="P24" s="4" t="s">
        <v>36</v>
      </c>
      <c r="Q24" s="4" t="s">
        <v>161</v>
      </c>
      <c r="R24" s="4" t="s">
        <v>171</v>
      </c>
      <c r="S24" s="4"/>
      <c r="T24" s="6" t="s">
        <v>172</v>
      </c>
      <c r="U24" s="3" t="str">
        <f t="shared" si="0"/>
        <v>Outstanding</v>
      </c>
      <c r="V24" s="15" t="s">
        <v>28</v>
      </c>
    </row>
    <row r="25" spans="1:22" ht="60" customHeight="1" x14ac:dyDescent="0.35">
      <c r="A25" s="13" t="s">
        <v>221</v>
      </c>
      <c r="B25" s="2" t="s">
        <v>222</v>
      </c>
      <c r="C25" s="1" t="s">
        <v>223</v>
      </c>
      <c r="D25" s="3" t="s">
        <v>25</v>
      </c>
      <c r="E25" s="3" t="s">
        <v>26</v>
      </c>
      <c r="F25" s="3" t="s">
        <v>27</v>
      </c>
      <c r="G25" s="3" t="s">
        <v>28</v>
      </c>
      <c r="H25" s="4" t="s">
        <v>28</v>
      </c>
      <c r="I25" s="4" t="s">
        <v>224</v>
      </c>
      <c r="J25" s="4"/>
      <c r="K25" s="5" t="s">
        <v>225</v>
      </c>
      <c r="L25" s="5" t="s">
        <v>226</v>
      </c>
      <c r="M25" s="4"/>
      <c r="N25" s="4" t="s">
        <v>227</v>
      </c>
      <c r="O25" s="4" t="s">
        <v>228</v>
      </c>
      <c r="P25" s="4" t="s">
        <v>229</v>
      </c>
      <c r="Q25" s="4" t="s">
        <v>230</v>
      </c>
      <c r="R25" s="4" t="s">
        <v>231</v>
      </c>
      <c r="S25" s="4" t="s">
        <v>232</v>
      </c>
      <c r="T25" s="6" t="s">
        <v>233</v>
      </c>
      <c r="U25" s="3" t="str">
        <f t="shared" si="0"/>
        <v>Outstanding</v>
      </c>
      <c r="V25" s="15" t="s">
        <v>28</v>
      </c>
    </row>
    <row r="26" spans="1:22" ht="60" customHeight="1" x14ac:dyDescent="0.35">
      <c r="A26" s="13" t="s">
        <v>234</v>
      </c>
      <c r="B26" s="2" t="s">
        <v>235</v>
      </c>
      <c r="C26" s="1" t="s">
        <v>236</v>
      </c>
      <c r="D26" s="3" t="s">
        <v>25</v>
      </c>
      <c r="E26" s="3" t="s">
        <v>26</v>
      </c>
      <c r="F26" s="3" t="s">
        <v>27</v>
      </c>
      <c r="G26" s="3" t="s">
        <v>28</v>
      </c>
      <c r="H26" s="4" t="s">
        <v>28</v>
      </c>
      <c r="I26" s="4" t="s">
        <v>237</v>
      </c>
      <c r="J26" s="4" t="s">
        <v>238</v>
      </c>
      <c r="K26" s="5" t="s">
        <v>239</v>
      </c>
      <c r="L26" s="5" t="s">
        <v>240</v>
      </c>
      <c r="M26" s="4" t="s">
        <v>241</v>
      </c>
      <c r="N26" s="4" t="s">
        <v>242</v>
      </c>
      <c r="O26" s="4" t="s">
        <v>243</v>
      </c>
      <c r="P26" s="4" t="s">
        <v>36</v>
      </c>
      <c r="Q26" s="4" t="s">
        <v>244</v>
      </c>
      <c r="R26" s="4" t="s">
        <v>245</v>
      </c>
      <c r="S26" s="4"/>
      <c r="T26" s="6" t="s">
        <v>246</v>
      </c>
      <c r="U26" s="3" t="str">
        <f t="shared" si="0"/>
        <v>Outstanding</v>
      </c>
      <c r="V26" s="15" t="s">
        <v>28</v>
      </c>
    </row>
    <row r="27" spans="1:22" ht="60" customHeight="1" x14ac:dyDescent="0.35">
      <c r="A27" s="13" t="s">
        <v>234</v>
      </c>
      <c r="B27" s="2" t="s">
        <v>247</v>
      </c>
      <c r="C27" s="1" t="s">
        <v>248</v>
      </c>
      <c r="D27" s="3" t="s">
        <v>25</v>
      </c>
      <c r="E27" s="3" t="s">
        <v>26</v>
      </c>
      <c r="F27" s="3" t="s">
        <v>27</v>
      </c>
      <c r="G27" s="3" t="s">
        <v>28</v>
      </c>
      <c r="H27" s="4" t="s">
        <v>28</v>
      </c>
      <c r="I27" s="4" t="s">
        <v>249</v>
      </c>
      <c r="J27" s="4" t="s">
        <v>250</v>
      </c>
      <c r="K27" s="5" t="s">
        <v>239</v>
      </c>
      <c r="L27" s="5" t="s">
        <v>251</v>
      </c>
      <c r="M27" s="4" t="s">
        <v>252</v>
      </c>
      <c r="N27" s="4" t="s">
        <v>253</v>
      </c>
      <c r="O27" s="4" t="s">
        <v>254</v>
      </c>
      <c r="P27" s="4" t="s">
        <v>36</v>
      </c>
      <c r="Q27" s="4" t="s">
        <v>244</v>
      </c>
      <c r="R27" s="4" t="s">
        <v>255</v>
      </c>
      <c r="S27" s="4" t="s">
        <v>253</v>
      </c>
      <c r="T27" s="6" t="s">
        <v>246</v>
      </c>
      <c r="U27" s="3" t="str">
        <f t="shared" si="0"/>
        <v>Outstanding</v>
      </c>
      <c r="V27" s="15" t="s">
        <v>28</v>
      </c>
    </row>
    <row r="28" spans="1:22" ht="60" customHeight="1" x14ac:dyDescent="0.35">
      <c r="A28" s="13" t="s">
        <v>256</v>
      </c>
      <c r="B28" s="2" t="s">
        <v>257</v>
      </c>
      <c r="C28" s="1" t="s">
        <v>258</v>
      </c>
      <c r="D28" s="3" t="s">
        <v>25</v>
      </c>
      <c r="E28" s="3" t="s">
        <v>26</v>
      </c>
      <c r="F28" s="3" t="s">
        <v>27</v>
      </c>
      <c r="G28" s="3" t="s">
        <v>28</v>
      </c>
      <c r="H28" s="4" t="s">
        <v>28</v>
      </c>
      <c r="I28" s="4" t="s">
        <v>259</v>
      </c>
      <c r="J28" s="4" t="s">
        <v>260</v>
      </c>
      <c r="K28" s="5" t="s">
        <v>261</v>
      </c>
      <c r="L28" s="5" t="s">
        <v>262</v>
      </c>
      <c r="M28" s="4" t="s">
        <v>263</v>
      </c>
      <c r="N28" s="4" t="s">
        <v>264</v>
      </c>
      <c r="O28" s="4" t="s">
        <v>265</v>
      </c>
      <c r="P28" s="4" t="s">
        <v>36</v>
      </c>
      <c r="Q28" s="4" t="s">
        <v>266</v>
      </c>
      <c r="R28" s="4" t="s">
        <v>267</v>
      </c>
      <c r="S28" s="4" t="s">
        <v>268</v>
      </c>
      <c r="T28" s="6" t="s">
        <v>269</v>
      </c>
      <c r="U28" s="3" t="str">
        <f t="shared" si="0"/>
        <v>Outstanding</v>
      </c>
      <c r="V28" s="15" t="s">
        <v>28</v>
      </c>
    </row>
    <row r="29" spans="1:22" ht="60" customHeight="1" x14ac:dyDescent="0.35">
      <c r="A29" s="13" t="s">
        <v>256</v>
      </c>
      <c r="B29" s="2" t="s">
        <v>270</v>
      </c>
      <c r="C29" s="1" t="s">
        <v>271</v>
      </c>
      <c r="D29" s="3" t="s">
        <v>25</v>
      </c>
      <c r="E29" s="3" t="s">
        <v>26</v>
      </c>
      <c r="F29" s="3" t="s">
        <v>27</v>
      </c>
      <c r="G29" s="3" t="s">
        <v>28</v>
      </c>
      <c r="H29" s="4" t="s">
        <v>28</v>
      </c>
      <c r="I29" s="4" t="s">
        <v>272</v>
      </c>
      <c r="J29" s="4" t="s">
        <v>260</v>
      </c>
      <c r="K29" s="5" t="s">
        <v>261</v>
      </c>
      <c r="L29" s="5" t="s">
        <v>262</v>
      </c>
      <c r="M29" s="4" t="s">
        <v>263</v>
      </c>
      <c r="N29" s="4" t="s">
        <v>264</v>
      </c>
      <c r="O29" s="4" t="s">
        <v>265</v>
      </c>
      <c r="P29" s="4" t="s">
        <v>36</v>
      </c>
      <c r="Q29" s="4" t="s">
        <v>266</v>
      </c>
      <c r="R29" s="4" t="s">
        <v>267</v>
      </c>
      <c r="S29" s="4" t="s">
        <v>268</v>
      </c>
      <c r="T29" s="6" t="s">
        <v>269</v>
      </c>
      <c r="U29" s="3" t="str">
        <f t="shared" si="0"/>
        <v>Outstanding</v>
      </c>
      <c r="V29" s="15" t="s">
        <v>28</v>
      </c>
    </row>
    <row r="30" spans="1:22" ht="60" customHeight="1" x14ac:dyDescent="0.35">
      <c r="A30" s="13" t="s">
        <v>273</v>
      </c>
      <c r="B30" s="2" t="s">
        <v>274</v>
      </c>
      <c r="C30" s="1" t="s">
        <v>275</v>
      </c>
      <c r="D30" s="3" t="s">
        <v>25</v>
      </c>
      <c r="E30" s="3" t="s">
        <v>26</v>
      </c>
      <c r="F30" s="3" t="s">
        <v>27</v>
      </c>
      <c r="G30" s="3" t="s">
        <v>28</v>
      </c>
      <c r="H30" s="4" t="s">
        <v>28</v>
      </c>
      <c r="I30" s="4" t="s">
        <v>276</v>
      </c>
      <c r="J30" s="4" t="s">
        <v>277</v>
      </c>
      <c r="K30" s="5" t="s">
        <v>278</v>
      </c>
      <c r="L30" s="5" t="s">
        <v>279</v>
      </c>
      <c r="M30" s="4" t="s">
        <v>280</v>
      </c>
      <c r="N30" s="4" t="s">
        <v>281</v>
      </c>
      <c r="O30" s="4" t="s">
        <v>282</v>
      </c>
      <c r="P30" s="4" t="s">
        <v>36</v>
      </c>
      <c r="Q30" s="4" t="s">
        <v>283</v>
      </c>
      <c r="R30" s="4" t="s">
        <v>284</v>
      </c>
      <c r="S30" s="4" t="s">
        <v>285</v>
      </c>
      <c r="T30" s="6" t="s">
        <v>286</v>
      </c>
      <c r="U30" s="3" t="str">
        <f t="shared" si="0"/>
        <v>Outstanding</v>
      </c>
      <c r="V30" s="15" t="s">
        <v>28</v>
      </c>
    </row>
    <row r="31" spans="1:22" ht="60" customHeight="1" x14ac:dyDescent="0.35">
      <c r="A31" s="13" t="s">
        <v>287</v>
      </c>
      <c r="B31" s="2" t="s">
        <v>288</v>
      </c>
      <c r="C31" s="1" t="s">
        <v>289</v>
      </c>
      <c r="D31" s="3" t="s">
        <v>25</v>
      </c>
      <c r="E31" s="3" t="s">
        <v>26</v>
      </c>
      <c r="F31" s="3" t="s">
        <v>27</v>
      </c>
      <c r="G31" s="3" t="s">
        <v>28</v>
      </c>
      <c r="H31" s="4" t="s">
        <v>28</v>
      </c>
      <c r="I31" s="4" t="s">
        <v>290</v>
      </c>
      <c r="J31" s="4"/>
      <c r="K31" s="5" t="s">
        <v>291</v>
      </c>
      <c r="L31" s="5" t="s">
        <v>292</v>
      </c>
      <c r="M31" s="4"/>
      <c r="N31" s="4"/>
      <c r="O31" s="4"/>
      <c r="P31" s="4"/>
      <c r="Q31" s="4"/>
      <c r="R31" s="4"/>
      <c r="S31" s="4"/>
      <c r="T31" s="6"/>
      <c r="U31" s="3" t="str">
        <f t="shared" si="0"/>
        <v>Outstanding</v>
      </c>
      <c r="V31" s="15" t="s">
        <v>28</v>
      </c>
    </row>
    <row r="32" spans="1:22" ht="60" customHeight="1" x14ac:dyDescent="0.35">
      <c r="A32" s="13" t="s">
        <v>287</v>
      </c>
      <c r="B32" s="2" t="s">
        <v>293</v>
      </c>
      <c r="C32" s="1" t="s">
        <v>294</v>
      </c>
      <c r="D32" s="3" t="s">
        <v>25</v>
      </c>
      <c r="E32" s="3" t="s">
        <v>26</v>
      </c>
      <c r="F32" s="3" t="s">
        <v>27</v>
      </c>
      <c r="G32" s="3" t="s">
        <v>28</v>
      </c>
      <c r="H32" s="4" t="s">
        <v>28</v>
      </c>
      <c r="I32" s="4" t="s">
        <v>295</v>
      </c>
      <c r="J32" s="4"/>
      <c r="K32" s="5" t="s">
        <v>291</v>
      </c>
      <c r="L32" s="5" t="s">
        <v>292</v>
      </c>
      <c r="M32" s="4"/>
      <c r="N32" s="4"/>
      <c r="O32" s="4"/>
      <c r="P32" s="4"/>
      <c r="Q32" s="4"/>
      <c r="R32" s="4"/>
      <c r="S32" s="4"/>
      <c r="T32" s="6"/>
      <c r="U32" s="3" t="str">
        <f t="shared" si="0"/>
        <v>Outstanding</v>
      </c>
      <c r="V32" s="15" t="s">
        <v>28</v>
      </c>
    </row>
    <row r="33" spans="1:22" ht="60" customHeight="1" x14ac:dyDescent="0.35">
      <c r="A33" s="13" t="s">
        <v>296</v>
      </c>
      <c r="B33" s="2" t="s">
        <v>297</v>
      </c>
      <c r="C33" s="1" t="s">
        <v>298</v>
      </c>
      <c r="D33" s="3" t="s">
        <v>25</v>
      </c>
      <c r="E33" s="3" t="s">
        <v>26</v>
      </c>
      <c r="F33" s="3" t="s">
        <v>27</v>
      </c>
      <c r="G33" s="3" t="s">
        <v>28</v>
      </c>
      <c r="H33" s="4" t="s">
        <v>28</v>
      </c>
      <c r="I33" s="4" t="s">
        <v>299</v>
      </c>
      <c r="J33" s="4" t="s">
        <v>300</v>
      </c>
      <c r="K33" s="5" t="s">
        <v>301</v>
      </c>
      <c r="L33" s="5" t="s">
        <v>302</v>
      </c>
      <c r="M33" s="4" t="s">
        <v>303</v>
      </c>
      <c r="N33" s="4" t="s">
        <v>304</v>
      </c>
      <c r="O33" s="4" t="s">
        <v>305</v>
      </c>
      <c r="P33" s="4" t="s">
        <v>36</v>
      </c>
      <c r="Q33" s="4" t="s">
        <v>306</v>
      </c>
      <c r="R33" s="4" t="s">
        <v>171</v>
      </c>
      <c r="S33" s="4" t="s">
        <v>307</v>
      </c>
      <c r="T33" s="6" t="s">
        <v>308</v>
      </c>
      <c r="U33" s="3" t="str">
        <f t="shared" si="0"/>
        <v>Outstanding</v>
      </c>
      <c r="V33" s="15" t="s">
        <v>28</v>
      </c>
    </row>
    <row r="34" spans="1:22" ht="60" customHeight="1" x14ac:dyDescent="0.35">
      <c r="A34" s="13" t="s">
        <v>296</v>
      </c>
      <c r="B34" s="2" t="s">
        <v>309</v>
      </c>
      <c r="C34" s="1" t="s">
        <v>310</v>
      </c>
      <c r="D34" s="3" t="s">
        <v>25</v>
      </c>
      <c r="E34" s="3" t="s">
        <v>26</v>
      </c>
      <c r="F34" s="3" t="s">
        <v>27</v>
      </c>
      <c r="G34" s="3" t="s">
        <v>28</v>
      </c>
      <c r="H34" s="4" t="s">
        <v>28</v>
      </c>
      <c r="I34" s="4" t="s">
        <v>311</v>
      </c>
      <c r="J34" s="4" t="s">
        <v>312</v>
      </c>
      <c r="K34" s="5" t="s">
        <v>301</v>
      </c>
      <c r="L34" s="5" t="s">
        <v>313</v>
      </c>
      <c r="M34" s="4" t="s">
        <v>314</v>
      </c>
      <c r="N34" s="4" t="s">
        <v>315</v>
      </c>
      <c r="O34" s="4" t="s">
        <v>316</v>
      </c>
      <c r="P34" s="4" t="s">
        <v>36</v>
      </c>
      <c r="Q34" s="4" t="s">
        <v>306</v>
      </c>
      <c r="R34" s="4" t="s">
        <v>317</v>
      </c>
      <c r="S34" s="4" t="s">
        <v>318</v>
      </c>
      <c r="T34" s="6" t="s">
        <v>308</v>
      </c>
      <c r="U34" s="3" t="str">
        <f t="shared" si="0"/>
        <v>Outstanding</v>
      </c>
      <c r="V34" s="15" t="s">
        <v>28</v>
      </c>
    </row>
    <row r="35" spans="1:22" ht="60" customHeight="1" x14ac:dyDescent="0.35">
      <c r="A35" s="13" t="s">
        <v>319</v>
      </c>
      <c r="B35" s="2" t="s">
        <v>320</v>
      </c>
      <c r="C35" s="1" t="s">
        <v>321</v>
      </c>
      <c r="D35" s="3" t="s">
        <v>25</v>
      </c>
      <c r="E35" s="3" t="s">
        <v>26</v>
      </c>
      <c r="F35" s="3" t="s">
        <v>27</v>
      </c>
      <c r="G35" s="3" t="s">
        <v>28</v>
      </c>
      <c r="H35" s="4" t="s">
        <v>28</v>
      </c>
      <c r="I35" s="4" t="s">
        <v>322</v>
      </c>
      <c r="J35" s="4" t="s">
        <v>323</v>
      </c>
      <c r="K35" s="5" t="s">
        <v>324</v>
      </c>
      <c r="L35" s="5" t="s">
        <v>325</v>
      </c>
      <c r="M35" s="4" t="s">
        <v>326</v>
      </c>
      <c r="N35" s="4" t="s">
        <v>327</v>
      </c>
      <c r="O35" s="4" t="s">
        <v>328</v>
      </c>
      <c r="P35" s="4" t="s">
        <v>36</v>
      </c>
      <c r="Q35" s="4" t="s">
        <v>329</v>
      </c>
      <c r="R35" s="4" t="s">
        <v>330</v>
      </c>
      <c r="S35" s="4" t="s">
        <v>327</v>
      </c>
      <c r="T35" s="6" t="s">
        <v>331</v>
      </c>
      <c r="U35" s="3" t="str">
        <f t="shared" si="0"/>
        <v>Outstanding</v>
      </c>
      <c r="V35" s="15" t="s">
        <v>28</v>
      </c>
    </row>
    <row r="36" spans="1:22" ht="60" customHeight="1" x14ac:dyDescent="0.35">
      <c r="A36" s="13" t="s">
        <v>332</v>
      </c>
      <c r="B36" s="2" t="s">
        <v>333</v>
      </c>
      <c r="C36" s="1" t="s">
        <v>334</v>
      </c>
      <c r="D36" s="3" t="s">
        <v>25</v>
      </c>
      <c r="E36" s="3" t="s">
        <v>26</v>
      </c>
      <c r="F36" s="3" t="s">
        <v>27</v>
      </c>
      <c r="G36" s="3" t="s">
        <v>28</v>
      </c>
      <c r="H36" s="4" t="s">
        <v>28</v>
      </c>
      <c r="I36" s="4" t="s">
        <v>335</v>
      </c>
      <c r="J36" s="4" t="s">
        <v>336</v>
      </c>
      <c r="K36" s="5" t="s">
        <v>337</v>
      </c>
      <c r="L36" s="5" t="s">
        <v>338</v>
      </c>
      <c r="M36" s="4" t="s">
        <v>339</v>
      </c>
      <c r="N36" s="4" t="s">
        <v>340</v>
      </c>
      <c r="O36" s="4" t="s">
        <v>341</v>
      </c>
      <c r="P36" s="4" t="s">
        <v>36</v>
      </c>
      <c r="Q36" s="4" t="s">
        <v>342</v>
      </c>
      <c r="R36" s="4" t="s">
        <v>343</v>
      </c>
      <c r="S36" s="4" t="s">
        <v>344</v>
      </c>
      <c r="T36" s="6" t="s">
        <v>345</v>
      </c>
      <c r="U36" s="3" t="str">
        <f t="shared" si="0"/>
        <v>Outstanding</v>
      </c>
      <c r="V36" s="15" t="s">
        <v>28</v>
      </c>
    </row>
    <row r="37" spans="1:22" ht="60" customHeight="1" x14ac:dyDescent="0.35">
      <c r="A37" s="13" t="s">
        <v>332</v>
      </c>
      <c r="B37" s="2" t="s">
        <v>346</v>
      </c>
      <c r="C37" s="1" t="s">
        <v>347</v>
      </c>
      <c r="D37" s="3" t="s">
        <v>25</v>
      </c>
      <c r="E37" s="3" t="s">
        <v>26</v>
      </c>
      <c r="F37" s="3" t="s">
        <v>27</v>
      </c>
      <c r="G37" s="3" t="s">
        <v>28</v>
      </c>
      <c r="H37" s="4" t="s">
        <v>28</v>
      </c>
      <c r="I37" s="4" t="s">
        <v>348</v>
      </c>
      <c r="J37" s="4" t="s">
        <v>336</v>
      </c>
      <c r="K37" s="5" t="s">
        <v>337</v>
      </c>
      <c r="L37" s="5" t="s">
        <v>349</v>
      </c>
      <c r="M37" s="4" t="s">
        <v>350</v>
      </c>
      <c r="N37" s="4" t="s">
        <v>351</v>
      </c>
      <c r="O37" s="4" t="s">
        <v>352</v>
      </c>
      <c r="P37" s="4" t="s">
        <v>36</v>
      </c>
      <c r="Q37" s="4" t="s">
        <v>342</v>
      </c>
      <c r="R37" s="4" t="s">
        <v>343</v>
      </c>
      <c r="S37" s="4" t="s">
        <v>353</v>
      </c>
      <c r="T37" s="6" t="s">
        <v>345</v>
      </c>
      <c r="U37" s="3" t="str">
        <f t="shared" si="0"/>
        <v>Outstanding</v>
      </c>
      <c r="V37" s="15" t="s">
        <v>28</v>
      </c>
    </row>
    <row r="38" spans="1:22" ht="60" customHeight="1" x14ac:dyDescent="0.35">
      <c r="A38" s="13" t="s">
        <v>332</v>
      </c>
      <c r="B38" s="2" t="s">
        <v>354</v>
      </c>
      <c r="C38" s="1" t="s">
        <v>355</v>
      </c>
      <c r="D38" s="3" t="s">
        <v>25</v>
      </c>
      <c r="E38" s="3" t="s">
        <v>26</v>
      </c>
      <c r="F38" s="3" t="s">
        <v>27</v>
      </c>
      <c r="G38" s="3" t="s">
        <v>28</v>
      </c>
      <c r="H38" s="4" t="s">
        <v>28</v>
      </c>
      <c r="I38" s="4" t="s">
        <v>356</v>
      </c>
      <c r="J38" s="4" t="s">
        <v>357</v>
      </c>
      <c r="K38" s="5" t="s">
        <v>337</v>
      </c>
      <c r="L38" s="5" t="s">
        <v>358</v>
      </c>
      <c r="M38" s="4" t="s">
        <v>359</v>
      </c>
      <c r="N38" s="4" t="s">
        <v>360</v>
      </c>
      <c r="O38" s="4" t="s">
        <v>361</v>
      </c>
      <c r="P38" s="4" t="s">
        <v>36</v>
      </c>
      <c r="Q38" s="4" t="s">
        <v>342</v>
      </c>
      <c r="R38" s="4" t="s">
        <v>362</v>
      </c>
      <c r="S38" s="4" t="s">
        <v>344</v>
      </c>
      <c r="T38" s="6" t="s">
        <v>345</v>
      </c>
      <c r="U38" s="3" t="str">
        <f t="shared" si="0"/>
        <v>Outstanding</v>
      </c>
      <c r="V38" s="15" t="s">
        <v>28</v>
      </c>
    </row>
    <row r="39" spans="1:22" ht="60" customHeight="1" x14ac:dyDescent="0.35">
      <c r="A39" s="13" t="s">
        <v>332</v>
      </c>
      <c r="B39" s="2" t="s">
        <v>363</v>
      </c>
      <c r="C39" s="1" t="s">
        <v>364</v>
      </c>
      <c r="D39" s="3" t="s">
        <v>25</v>
      </c>
      <c r="E39" s="3" t="s">
        <v>26</v>
      </c>
      <c r="F39" s="3" t="s">
        <v>27</v>
      </c>
      <c r="G39" s="3" t="s">
        <v>28</v>
      </c>
      <c r="H39" s="4" t="s">
        <v>28</v>
      </c>
      <c r="I39" s="4" t="s">
        <v>365</v>
      </c>
      <c r="J39" s="4" t="s">
        <v>357</v>
      </c>
      <c r="K39" s="5" t="s">
        <v>337</v>
      </c>
      <c r="L39" s="5" t="s">
        <v>366</v>
      </c>
      <c r="M39" s="4" t="s">
        <v>367</v>
      </c>
      <c r="N39" s="4" t="s">
        <v>368</v>
      </c>
      <c r="O39" s="4" t="s">
        <v>369</v>
      </c>
      <c r="P39" s="4" t="s">
        <v>36</v>
      </c>
      <c r="Q39" s="4" t="s">
        <v>342</v>
      </c>
      <c r="R39" s="4" t="s">
        <v>362</v>
      </c>
      <c r="S39" s="4" t="s">
        <v>353</v>
      </c>
      <c r="T39" s="6" t="s">
        <v>345</v>
      </c>
      <c r="U39" s="3" t="str">
        <f t="shared" si="0"/>
        <v>Outstanding</v>
      </c>
      <c r="V39" s="15" t="s">
        <v>28</v>
      </c>
    </row>
    <row r="40" spans="1:22" ht="60" customHeight="1" x14ac:dyDescent="0.35">
      <c r="A40" s="13" t="s">
        <v>370</v>
      </c>
      <c r="B40" s="2" t="s">
        <v>371</v>
      </c>
      <c r="C40" s="1" t="s">
        <v>372</v>
      </c>
      <c r="D40" s="3" t="s">
        <v>25</v>
      </c>
      <c r="E40" s="3" t="s">
        <v>26</v>
      </c>
      <c r="F40" s="3" t="s">
        <v>27</v>
      </c>
      <c r="G40" s="3" t="s">
        <v>28</v>
      </c>
      <c r="H40" s="4" t="s">
        <v>28</v>
      </c>
      <c r="I40" s="4" t="s">
        <v>373</v>
      </c>
      <c r="J40" s="4" t="s">
        <v>374</v>
      </c>
      <c r="K40" s="5" t="s">
        <v>375</v>
      </c>
      <c r="L40" s="5" t="s">
        <v>376</v>
      </c>
      <c r="M40" s="4" t="s">
        <v>377</v>
      </c>
      <c r="N40" s="4" t="s">
        <v>378</v>
      </c>
      <c r="O40" s="4" t="s">
        <v>379</v>
      </c>
      <c r="P40" s="4" t="s">
        <v>36</v>
      </c>
      <c r="Q40" s="4" t="s">
        <v>380</v>
      </c>
      <c r="R40" s="4" t="s">
        <v>381</v>
      </c>
      <c r="S40" s="4" t="s">
        <v>382</v>
      </c>
      <c r="T40" s="6" t="s">
        <v>383</v>
      </c>
      <c r="U40" s="3" t="str">
        <f t="shared" si="0"/>
        <v>Outstanding</v>
      </c>
      <c r="V40" s="15" t="s">
        <v>28</v>
      </c>
    </row>
    <row r="41" spans="1:22" ht="60" customHeight="1" x14ac:dyDescent="0.35">
      <c r="A41" s="13" t="s">
        <v>384</v>
      </c>
      <c r="B41" s="2" t="s">
        <v>385</v>
      </c>
      <c r="C41" s="1" t="s">
        <v>386</v>
      </c>
      <c r="D41" s="3" t="s">
        <v>25</v>
      </c>
      <c r="E41" s="3" t="s">
        <v>26</v>
      </c>
      <c r="F41" s="3" t="s">
        <v>27</v>
      </c>
      <c r="G41" s="3" t="s">
        <v>28</v>
      </c>
      <c r="H41" s="4" t="s">
        <v>28</v>
      </c>
      <c r="I41" s="4" t="s">
        <v>387</v>
      </c>
      <c r="J41" s="4" t="s">
        <v>388</v>
      </c>
      <c r="K41" s="5" t="s">
        <v>389</v>
      </c>
      <c r="L41" s="5" t="s">
        <v>390</v>
      </c>
      <c r="M41" s="4" t="s">
        <v>391</v>
      </c>
      <c r="N41" s="4" t="s">
        <v>392</v>
      </c>
      <c r="O41" s="4" t="s">
        <v>393</v>
      </c>
      <c r="P41" s="4" t="s">
        <v>36</v>
      </c>
      <c r="Q41" s="4" t="s">
        <v>394</v>
      </c>
      <c r="R41" s="4" t="s">
        <v>395</v>
      </c>
      <c r="S41" s="4"/>
      <c r="T41" s="6" t="s">
        <v>396</v>
      </c>
      <c r="U41" s="3" t="str">
        <f t="shared" si="0"/>
        <v>Outstanding</v>
      </c>
      <c r="V41" s="15" t="s">
        <v>28</v>
      </c>
    </row>
    <row r="42" spans="1:22" ht="60" customHeight="1" x14ac:dyDescent="0.35">
      <c r="A42" s="13" t="s">
        <v>397</v>
      </c>
      <c r="B42" s="2" t="s">
        <v>398</v>
      </c>
      <c r="C42" s="1" t="s">
        <v>399</v>
      </c>
      <c r="D42" s="3" t="s">
        <v>25</v>
      </c>
      <c r="E42" s="3" t="s">
        <v>26</v>
      </c>
      <c r="F42" s="3" t="s">
        <v>27</v>
      </c>
      <c r="G42" s="3" t="s">
        <v>28</v>
      </c>
      <c r="H42" s="4" t="s">
        <v>28</v>
      </c>
      <c r="I42" s="4" t="s">
        <v>400</v>
      </c>
      <c r="J42" s="4" t="s">
        <v>401</v>
      </c>
      <c r="K42" s="5" t="s">
        <v>402</v>
      </c>
      <c r="L42" s="5" t="s">
        <v>403</v>
      </c>
      <c r="M42" s="4" t="s">
        <v>404</v>
      </c>
      <c r="N42" s="4" t="s">
        <v>405</v>
      </c>
      <c r="O42" s="4" t="s">
        <v>406</v>
      </c>
      <c r="P42" s="4" t="s">
        <v>36</v>
      </c>
      <c r="Q42" s="4" t="s">
        <v>407</v>
      </c>
      <c r="R42" s="4" t="s">
        <v>408</v>
      </c>
      <c r="S42" s="4" t="s">
        <v>409</v>
      </c>
      <c r="T42" s="6" t="s">
        <v>410</v>
      </c>
      <c r="U42" s="3" t="str">
        <f t="shared" si="0"/>
        <v>Outstanding</v>
      </c>
      <c r="V42" s="15" t="s">
        <v>28</v>
      </c>
    </row>
    <row r="43" spans="1:22" ht="60" customHeight="1" x14ac:dyDescent="0.35">
      <c r="A43" s="13" t="s">
        <v>411</v>
      </c>
      <c r="B43" s="2" t="s">
        <v>412</v>
      </c>
      <c r="C43" s="1" t="s">
        <v>413</v>
      </c>
      <c r="D43" s="3" t="s">
        <v>25</v>
      </c>
      <c r="E43" s="3" t="s">
        <v>26</v>
      </c>
      <c r="F43" s="3" t="s">
        <v>27</v>
      </c>
      <c r="G43" s="3" t="s">
        <v>28</v>
      </c>
      <c r="H43" s="4" t="s">
        <v>28</v>
      </c>
      <c r="I43" s="4" t="s">
        <v>414</v>
      </c>
      <c r="J43" s="4" t="s">
        <v>415</v>
      </c>
      <c r="K43" s="5" t="s">
        <v>416</v>
      </c>
      <c r="L43" s="5" t="s">
        <v>417</v>
      </c>
      <c r="M43" s="4" t="s">
        <v>418</v>
      </c>
      <c r="N43" s="4" t="s">
        <v>419</v>
      </c>
      <c r="O43" s="4" t="s">
        <v>420</v>
      </c>
      <c r="P43" s="4" t="s">
        <v>421</v>
      </c>
      <c r="Q43" s="4" t="s">
        <v>422</v>
      </c>
      <c r="R43" s="4" t="s">
        <v>423</v>
      </c>
      <c r="S43" s="4" t="s">
        <v>419</v>
      </c>
      <c r="T43" s="6" t="s">
        <v>424</v>
      </c>
      <c r="U43" s="3" t="str">
        <f t="shared" si="0"/>
        <v>Outstanding</v>
      </c>
      <c r="V43" s="15" t="s">
        <v>28</v>
      </c>
    </row>
    <row r="44" spans="1:22" ht="60" customHeight="1" x14ac:dyDescent="0.35">
      <c r="A44" s="13" t="s">
        <v>411</v>
      </c>
      <c r="B44" s="2" t="s">
        <v>425</v>
      </c>
      <c r="C44" s="1" t="s">
        <v>426</v>
      </c>
      <c r="D44" s="3" t="s">
        <v>25</v>
      </c>
      <c r="E44" s="3" t="s">
        <v>26</v>
      </c>
      <c r="F44" s="3" t="s">
        <v>27</v>
      </c>
      <c r="G44" s="3" t="s">
        <v>28</v>
      </c>
      <c r="H44" s="4" t="s">
        <v>28</v>
      </c>
      <c r="I44" s="4" t="s">
        <v>427</v>
      </c>
      <c r="J44" s="4" t="s">
        <v>428</v>
      </c>
      <c r="K44" s="5" t="s">
        <v>416</v>
      </c>
      <c r="L44" s="5" t="s">
        <v>429</v>
      </c>
      <c r="M44" s="4" t="s">
        <v>430</v>
      </c>
      <c r="N44" s="4" t="s">
        <v>431</v>
      </c>
      <c r="O44" s="4" t="s">
        <v>432</v>
      </c>
      <c r="P44" s="4" t="s">
        <v>421</v>
      </c>
      <c r="Q44" s="4" t="s">
        <v>422</v>
      </c>
      <c r="R44" s="4" t="s">
        <v>317</v>
      </c>
      <c r="S44" s="4"/>
      <c r="T44" s="6" t="s">
        <v>424</v>
      </c>
      <c r="U44" s="3" t="str">
        <f t="shared" si="0"/>
        <v>Outstanding</v>
      </c>
      <c r="V44" s="15" t="s">
        <v>28</v>
      </c>
    </row>
    <row r="45" spans="1:22" ht="60" customHeight="1" x14ac:dyDescent="0.35">
      <c r="A45" s="13" t="s">
        <v>411</v>
      </c>
      <c r="B45" s="2" t="s">
        <v>433</v>
      </c>
      <c r="C45" s="1" t="s">
        <v>434</v>
      </c>
      <c r="D45" s="3" t="s">
        <v>25</v>
      </c>
      <c r="E45" s="3" t="s">
        <v>26</v>
      </c>
      <c r="F45" s="3" t="s">
        <v>27</v>
      </c>
      <c r="G45" s="3" t="s">
        <v>28</v>
      </c>
      <c r="H45" s="4" t="s">
        <v>28</v>
      </c>
      <c r="I45" s="4" t="s">
        <v>435</v>
      </c>
      <c r="J45" s="4" t="s">
        <v>436</v>
      </c>
      <c r="K45" s="5" t="s">
        <v>416</v>
      </c>
      <c r="L45" s="5" t="s">
        <v>437</v>
      </c>
      <c r="M45" s="4" t="s">
        <v>438</v>
      </c>
      <c r="N45" s="4" t="s">
        <v>439</v>
      </c>
      <c r="O45" s="4" t="s">
        <v>440</v>
      </c>
      <c r="P45" s="4" t="s">
        <v>421</v>
      </c>
      <c r="Q45" s="4" t="s">
        <v>422</v>
      </c>
      <c r="R45" s="4" t="s">
        <v>317</v>
      </c>
      <c r="S45" s="4"/>
      <c r="T45" s="6" t="s">
        <v>424</v>
      </c>
      <c r="U45" s="3" t="str">
        <f t="shared" si="0"/>
        <v>Outstanding</v>
      </c>
      <c r="V45" s="15" t="s">
        <v>28</v>
      </c>
    </row>
    <row r="46" spans="1:22" ht="60" customHeight="1" x14ac:dyDescent="0.35">
      <c r="A46" s="13" t="s">
        <v>441</v>
      </c>
      <c r="B46" s="2" t="s">
        <v>442</v>
      </c>
      <c r="C46" s="1" t="s">
        <v>443</v>
      </c>
      <c r="D46" s="3" t="s">
        <v>25</v>
      </c>
      <c r="E46" s="3" t="s">
        <v>26</v>
      </c>
      <c r="F46" s="3" t="s">
        <v>27</v>
      </c>
      <c r="G46" s="3" t="s">
        <v>28</v>
      </c>
      <c r="H46" s="4" t="s">
        <v>28</v>
      </c>
      <c r="I46" s="4" t="s">
        <v>444</v>
      </c>
      <c r="J46" s="4" t="s">
        <v>445</v>
      </c>
      <c r="K46" s="5" t="s">
        <v>446</v>
      </c>
      <c r="L46" s="5" t="s">
        <v>447</v>
      </c>
      <c r="M46" s="4" t="s">
        <v>448</v>
      </c>
      <c r="N46" s="4" t="s">
        <v>449</v>
      </c>
      <c r="O46" s="4" t="s">
        <v>450</v>
      </c>
      <c r="P46" s="4" t="s">
        <v>36</v>
      </c>
      <c r="Q46" s="4" t="s">
        <v>451</v>
      </c>
      <c r="R46" s="4" t="s">
        <v>452</v>
      </c>
      <c r="S46" s="4" t="s">
        <v>453</v>
      </c>
      <c r="T46" s="6" t="s">
        <v>454</v>
      </c>
      <c r="U46" s="3" t="str">
        <f t="shared" si="0"/>
        <v>Outstanding</v>
      </c>
      <c r="V46" s="15" t="s">
        <v>28</v>
      </c>
    </row>
    <row r="47" spans="1:22" ht="60" customHeight="1" x14ac:dyDescent="0.35">
      <c r="A47" s="13" t="s">
        <v>455</v>
      </c>
      <c r="B47" s="2" t="s">
        <v>456</v>
      </c>
      <c r="C47" s="1" t="s">
        <v>457</v>
      </c>
      <c r="D47" s="3" t="s">
        <v>25</v>
      </c>
      <c r="E47" s="3" t="s">
        <v>26</v>
      </c>
      <c r="F47" s="3" t="s">
        <v>27</v>
      </c>
      <c r="G47" s="3" t="s">
        <v>28</v>
      </c>
      <c r="H47" s="4" t="s">
        <v>28</v>
      </c>
      <c r="I47" s="4" t="s">
        <v>458</v>
      </c>
      <c r="J47" s="4" t="s">
        <v>459</v>
      </c>
      <c r="K47" s="5" t="s">
        <v>460</v>
      </c>
      <c r="L47" s="5" t="s">
        <v>461</v>
      </c>
      <c r="M47" s="4" t="s">
        <v>462</v>
      </c>
      <c r="N47" s="4" t="s">
        <v>463</v>
      </c>
      <c r="O47" s="4" t="s">
        <v>464</v>
      </c>
      <c r="P47" s="4" t="s">
        <v>36</v>
      </c>
      <c r="Q47" s="4" t="s">
        <v>465</v>
      </c>
      <c r="R47" s="4" t="s">
        <v>452</v>
      </c>
      <c r="S47" s="4" t="s">
        <v>466</v>
      </c>
      <c r="T47" s="6" t="s">
        <v>454</v>
      </c>
      <c r="U47" s="3" t="str">
        <f t="shared" si="0"/>
        <v>Outstanding</v>
      </c>
      <c r="V47" s="15" t="s">
        <v>28</v>
      </c>
    </row>
    <row r="48" spans="1:22" ht="60" customHeight="1" x14ac:dyDescent="0.35">
      <c r="A48" s="13" t="s">
        <v>467</v>
      </c>
      <c r="B48" s="2" t="s">
        <v>468</v>
      </c>
      <c r="C48" s="1" t="s">
        <v>469</v>
      </c>
      <c r="D48" s="3" t="s">
        <v>25</v>
      </c>
      <c r="E48" s="3" t="s">
        <v>26</v>
      </c>
      <c r="F48" s="3" t="s">
        <v>27</v>
      </c>
      <c r="G48" s="3" t="s">
        <v>28</v>
      </c>
      <c r="H48" s="4" t="s">
        <v>28</v>
      </c>
      <c r="I48" s="4" t="s">
        <v>470</v>
      </c>
      <c r="J48" s="4" t="s">
        <v>471</v>
      </c>
      <c r="K48" s="5" t="s">
        <v>472</v>
      </c>
      <c r="L48" s="5" t="s">
        <v>473</v>
      </c>
      <c r="M48" s="4" t="s">
        <v>474</v>
      </c>
      <c r="N48" s="4" t="s">
        <v>475</v>
      </c>
      <c r="O48" s="4" t="s">
        <v>476</v>
      </c>
      <c r="P48" s="4" t="s">
        <v>36</v>
      </c>
      <c r="Q48" s="4" t="s">
        <v>477</v>
      </c>
      <c r="R48" s="4" t="s">
        <v>478</v>
      </c>
      <c r="S48" s="4" t="s">
        <v>475</v>
      </c>
      <c r="T48" s="6" t="s">
        <v>479</v>
      </c>
      <c r="U48" s="3" t="str">
        <f t="shared" si="0"/>
        <v>Outstanding</v>
      </c>
      <c r="V48" s="15" t="s">
        <v>28</v>
      </c>
    </row>
    <row r="49" spans="1:22" ht="60" customHeight="1" x14ac:dyDescent="0.35">
      <c r="A49" s="13" t="s">
        <v>480</v>
      </c>
      <c r="B49" s="2" t="s">
        <v>481</v>
      </c>
      <c r="C49" s="1" t="s">
        <v>482</v>
      </c>
      <c r="D49" s="3" t="s">
        <v>25</v>
      </c>
      <c r="E49" s="3" t="s">
        <v>26</v>
      </c>
      <c r="F49" s="3" t="s">
        <v>27</v>
      </c>
      <c r="G49" s="3" t="s">
        <v>28</v>
      </c>
      <c r="H49" s="4" t="s">
        <v>28</v>
      </c>
      <c r="I49" s="4" t="s">
        <v>483</v>
      </c>
      <c r="J49" s="4" t="s">
        <v>484</v>
      </c>
      <c r="K49" s="5" t="s">
        <v>485</v>
      </c>
      <c r="L49" s="5" t="s">
        <v>486</v>
      </c>
      <c r="M49" s="4" t="s">
        <v>487</v>
      </c>
      <c r="N49" s="4" t="s">
        <v>488</v>
      </c>
      <c r="O49" s="4" t="s">
        <v>489</v>
      </c>
      <c r="P49" s="4" t="s">
        <v>36</v>
      </c>
      <c r="Q49" s="4" t="s">
        <v>490</v>
      </c>
      <c r="R49" s="4" t="s">
        <v>491</v>
      </c>
      <c r="S49" s="4"/>
      <c r="T49" s="6" t="s">
        <v>492</v>
      </c>
      <c r="U49" s="3" t="str">
        <f t="shared" si="0"/>
        <v>Outstanding</v>
      </c>
      <c r="V49" s="15" t="s">
        <v>28</v>
      </c>
    </row>
    <row r="50" spans="1:22" ht="60" customHeight="1" x14ac:dyDescent="0.35">
      <c r="A50" s="13" t="s">
        <v>493</v>
      </c>
      <c r="B50" s="2" t="s">
        <v>494</v>
      </c>
      <c r="C50" s="1" t="s">
        <v>495</v>
      </c>
      <c r="D50" s="3" t="s">
        <v>25</v>
      </c>
      <c r="E50" s="3" t="s">
        <v>26</v>
      </c>
      <c r="F50" s="3" t="s">
        <v>27</v>
      </c>
      <c r="G50" s="3" t="s">
        <v>28</v>
      </c>
      <c r="H50" s="4" t="s">
        <v>28</v>
      </c>
      <c r="I50" s="4" t="s">
        <v>496</v>
      </c>
      <c r="J50" s="4" t="s">
        <v>497</v>
      </c>
      <c r="K50" s="5" t="s">
        <v>498</v>
      </c>
      <c r="L50" s="5" t="s">
        <v>499</v>
      </c>
      <c r="M50" s="4" t="s">
        <v>500</v>
      </c>
      <c r="N50" s="4" t="s">
        <v>501</v>
      </c>
      <c r="O50" s="4" t="s">
        <v>489</v>
      </c>
      <c r="P50" s="4" t="s">
        <v>36</v>
      </c>
      <c r="Q50" s="4" t="s">
        <v>502</v>
      </c>
      <c r="R50" s="4" t="s">
        <v>503</v>
      </c>
      <c r="S50" s="4"/>
      <c r="T50" s="6" t="s">
        <v>492</v>
      </c>
      <c r="U50" s="3" t="str">
        <f t="shared" si="0"/>
        <v>Outstanding</v>
      </c>
      <c r="V50" s="15" t="s">
        <v>28</v>
      </c>
    </row>
    <row r="51" spans="1:22" ht="60" customHeight="1" x14ac:dyDescent="0.35">
      <c r="A51" s="13" t="s">
        <v>504</v>
      </c>
      <c r="B51" s="2" t="s">
        <v>505</v>
      </c>
      <c r="C51" s="1" t="s">
        <v>482</v>
      </c>
      <c r="D51" s="3" t="s">
        <v>25</v>
      </c>
      <c r="E51" s="3" t="s">
        <v>26</v>
      </c>
      <c r="F51" s="3" t="s">
        <v>27</v>
      </c>
      <c r="G51" s="3" t="s">
        <v>28</v>
      </c>
      <c r="H51" s="4" t="s">
        <v>28</v>
      </c>
      <c r="I51" s="4" t="s">
        <v>506</v>
      </c>
      <c r="J51" s="4" t="s">
        <v>484</v>
      </c>
      <c r="K51" s="5" t="s">
        <v>507</v>
      </c>
      <c r="L51" s="5" t="s">
        <v>508</v>
      </c>
      <c r="M51" s="4" t="s">
        <v>509</v>
      </c>
      <c r="N51" s="4" t="s">
        <v>510</v>
      </c>
      <c r="O51" s="4" t="s">
        <v>489</v>
      </c>
      <c r="P51" s="4" t="s">
        <v>36</v>
      </c>
      <c r="Q51" s="4" t="s">
        <v>511</v>
      </c>
      <c r="R51" s="4" t="s">
        <v>512</v>
      </c>
      <c r="S51" s="4"/>
      <c r="T51" s="6" t="s">
        <v>492</v>
      </c>
      <c r="U51" s="3" t="str">
        <f t="shared" si="0"/>
        <v>Outstanding</v>
      </c>
      <c r="V51" s="15" t="s">
        <v>28</v>
      </c>
    </row>
    <row r="52" spans="1:22" ht="60" customHeight="1" x14ac:dyDescent="0.35">
      <c r="A52" s="13" t="s">
        <v>513</v>
      </c>
      <c r="B52" s="2" t="s">
        <v>514</v>
      </c>
      <c r="C52" s="1" t="s">
        <v>515</v>
      </c>
      <c r="D52" s="3" t="s">
        <v>25</v>
      </c>
      <c r="E52" s="3" t="s">
        <v>26</v>
      </c>
      <c r="F52" s="3" t="s">
        <v>27</v>
      </c>
      <c r="G52" s="3" t="s">
        <v>28</v>
      </c>
      <c r="H52" s="4" t="s">
        <v>28</v>
      </c>
      <c r="I52" s="4" t="s">
        <v>516</v>
      </c>
      <c r="J52" s="4" t="s">
        <v>517</v>
      </c>
      <c r="K52" s="5" t="s">
        <v>518</v>
      </c>
      <c r="L52" s="5" t="s">
        <v>519</v>
      </c>
      <c r="M52" s="4" t="s">
        <v>520</v>
      </c>
      <c r="N52" s="4" t="s">
        <v>521</v>
      </c>
      <c r="O52" s="4" t="s">
        <v>522</v>
      </c>
      <c r="P52" s="4" t="s">
        <v>36</v>
      </c>
      <c r="Q52" s="4" t="s">
        <v>523</v>
      </c>
      <c r="R52" s="4" t="s">
        <v>330</v>
      </c>
      <c r="S52" s="4" t="s">
        <v>521</v>
      </c>
      <c r="T52" s="6" t="s">
        <v>524</v>
      </c>
      <c r="U52" s="3" t="str">
        <f t="shared" si="0"/>
        <v>Outstanding</v>
      </c>
      <c r="V52" s="15" t="s">
        <v>28</v>
      </c>
    </row>
    <row r="53" spans="1:22" ht="60" customHeight="1" x14ac:dyDescent="0.35">
      <c r="A53" s="13" t="s">
        <v>513</v>
      </c>
      <c r="B53" s="2" t="s">
        <v>525</v>
      </c>
      <c r="C53" s="1" t="s">
        <v>526</v>
      </c>
      <c r="D53" s="3" t="s">
        <v>25</v>
      </c>
      <c r="E53" s="3" t="s">
        <v>26</v>
      </c>
      <c r="F53" s="3" t="s">
        <v>27</v>
      </c>
      <c r="G53" s="3" t="s">
        <v>28</v>
      </c>
      <c r="H53" s="4" t="s">
        <v>28</v>
      </c>
      <c r="I53" s="4" t="s">
        <v>527</v>
      </c>
      <c r="J53" s="4" t="s">
        <v>528</v>
      </c>
      <c r="K53" s="5" t="s">
        <v>518</v>
      </c>
      <c r="L53" s="5" t="s">
        <v>529</v>
      </c>
      <c r="M53" s="4" t="s">
        <v>530</v>
      </c>
      <c r="N53" s="4" t="s">
        <v>531</v>
      </c>
      <c r="O53" s="4" t="s">
        <v>532</v>
      </c>
      <c r="P53" s="4" t="s">
        <v>36</v>
      </c>
      <c r="Q53" s="4" t="s">
        <v>523</v>
      </c>
      <c r="R53" s="4" t="s">
        <v>423</v>
      </c>
      <c r="S53" s="4" t="s">
        <v>531</v>
      </c>
      <c r="T53" s="6" t="s">
        <v>533</v>
      </c>
      <c r="U53" s="3" t="str">
        <f t="shared" si="0"/>
        <v>Outstanding</v>
      </c>
      <c r="V53" s="15" t="s">
        <v>28</v>
      </c>
    </row>
    <row r="54" spans="1:22" ht="60" customHeight="1" x14ac:dyDescent="0.35">
      <c r="A54" s="13" t="s">
        <v>513</v>
      </c>
      <c r="B54" s="2" t="s">
        <v>534</v>
      </c>
      <c r="C54" s="1" t="s">
        <v>535</v>
      </c>
      <c r="D54" s="3" t="s">
        <v>25</v>
      </c>
      <c r="E54" s="3" t="s">
        <v>26</v>
      </c>
      <c r="F54" s="3" t="s">
        <v>27</v>
      </c>
      <c r="G54" s="3" t="s">
        <v>28</v>
      </c>
      <c r="H54" s="4" t="s">
        <v>28</v>
      </c>
      <c r="I54" s="4" t="s">
        <v>536</v>
      </c>
      <c r="J54" s="4" t="s">
        <v>537</v>
      </c>
      <c r="K54" s="5" t="s">
        <v>518</v>
      </c>
      <c r="L54" s="5" t="s">
        <v>538</v>
      </c>
      <c r="M54" s="4" t="s">
        <v>539</v>
      </c>
      <c r="N54" s="4" t="s">
        <v>540</v>
      </c>
      <c r="O54" s="4" t="s">
        <v>541</v>
      </c>
      <c r="P54" s="4" t="s">
        <v>36</v>
      </c>
      <c r="Q54" s="4" t="s">
        <v>523</v>
      </c>
      <c r="R54" s="4" t="s">
        <v>423</v>
      </c>
      <c r="S54" s="4" t="s">
        <v>540</v>
      </c>
      <c r="T54" s="6" t="s">
        <v>533</v>
      </c>
      <c r="U54" s="3" t="str">
        <f t="shared" si="0"/>
        <v>Outstanding</v>
      </c>
      <c r="V54" s="15" t="s">
        <v>28</v>
      </c>
    </row>
    <row r="55" spans="1:22" ht="60" customHeight="1" x14ac:dyDescent="0.35">
      <c r="A55" s="13" t="s">
        <v>542</v>
      </c>
      <c r="B55" s="2" t="s">
        <v>543</v>
      </c>
      <c r="C55" s="1" t="s">
        <v>544</v>
      </c>
      <c r="D55" s="3" t="s">
        <v>25</v>
      </c>
      <c r="E55" s="3" t="s">
        <v>26</v>
      </c>
      <c r="F55" s="3" t="s">
        <v>27</v>
      </c>
      <c r="G55" s="3" t="s">
        <v>28</v>
      </c>
      <c r="H55" s="4" t="s">
        <v>28</v>
      </c>
      <c r="I55" s="4" t="s">
        <v>545</v>
      </c>
      <c r="J55" s="4" t="s">
        <v>546</v>
      </c>
      <c r="K55" s="5" t="s">
        <v>547</v>
      </c>
      <c r="L55" s="5" t="s">
        <v>548</v>
      </c>
      <c r="M55" s="4" t="s">
        <v>549</v>
      </c>
      <c r="N55" s="4" t="s">
        <v>550</v>
      </c>
      <c r="O55" s="4" t="s">
        <v>551</v>
      </c>
      <c r="P55" s="4" t="s">
        <v>421</v>
      </c>
      <c r="Q55" s="4" t="s">
        <v>552</v>
      </c>
      <c r="R55" s="4" t="s">
        <v>553</v>
      </c>
      <c r="S55" s="4" t="s">
        <v>554</v>
      </c>
      <c r="T55" s="6" t="s">
        <v>555</v>
      </c>
      <c r="U55" s="3" t="str">
        <f t="shared" si="0"/>
        <v>Outstanding</v>
      </c>
      <c r="V55" s="15" t="s">
        <v>28</v>
      </c>
    </row>
    <row r="56" spans="1:22" ht="60" customHeight="1" x14ac:dyDescent="0.35">
      <c r="A56" s="13" t="s">
        <v>556</v>
      </c>
      <c r="B56" s="2" t="s">
        <v>557</v>
      </c>
      <c r="C56" s="1" t="s">
        <v>558</v>
      </c>
      <c r="D56" s="3" t="s">
        <v>25</v>
      </c>
      <c r="E56" s="3" t="s">
        <v>26</v>
      </c>
      <c r="F56" s="3" t="s">
        <v>27</v>
      </c>
      <c r="G56" s="3" t="s">
        <v>28</v>
      </c>
      <c r="H56" s="4" t="s">
        <v>28</v>
      </c>
      <c r="I56" s="4" t="s">
        <v>559</v>
      </c>
      <c r="J56" s="4" t="s">
        <v>560</v>
      </c>
      <c r="K56" s="5" t="s">
        <v>561</v>
      </c>
      <c r="L56" s="5" t="s">
        <v>562</v>
      </c>
      <c r="M56" s="4" t="s">
        <v>563</v>
      </c>
      <c r="N56" s="4" t="s">
        <v>564</v>
      </c>
      <c r="O56" s="4" t="s">
        <v>565</v>
      </c>
      <c r="P56" s="4" t="s">
        <v>421</v>
      </c>
      <c r="Q56" s="4" t="s">
        <v>566</v>
      </c>
      <c r="R56" s="4" t="s">
        <v>567</v>
      </c>
      <c r="S56" s="4" t="s">
        <v>568</v>
      </c>
      <c r="T56" s="6" t="s">
        <v>555</v>
      </c>
      <c r="U56" s="3" t="str">
        <f t="shared" si="0"/>
        <v>Outstanding</v>
      </c>
      <c r="V56" s="15" t="s">
        <v>28</v>
      </c>
    </row>
    <row r="57" spans="1:22" ht="60" customHeight="1" x14ac:dyDescent="0.35">
      <c r="A57" s="13" t="s">
        <v>569</v>
      </c>
      <c r="B57" s="2" t="s">
        <v>570</v>
      </c>
      <c r="C57" s="1" t="s">
        <v>571</v>
      </c>
      <c r="D57" s="3" t="s">
        <v>25</v>
      </c>
      <c r="E57" s="3" t="s">
        <v>26</v>
      </c>
      <c r="F57" s="3" t="s">
        <v>27</v>
      </c>
      <c r="G57" s="3" t="s">
        <v>28</v>
      </c>
      <c r="H57" s="4" t="s">
        <v>28</v>
      </c>
      <c r="I57" s="4" t="s">
        <v>572</v>
      </c>
      <c r="J57" s="4" t="s">
        <v>573</v>
      </c>
      <c r="K57" s="5" t="s">
        <v>574</v>
      </c>
      <c r="L57" s="5" t="s">
        <v>575</v>
      </c>
      <c r="M57" s="4" t="s">
        <v>576</v>
      </c>
      <c r="N57" s="4" t="s">
        <v>577</v>
      </c>
      <c r="O57" s="4" t="s">
        <v>578</v>
      </c>
      <c r="P57" s="4" t="s">
        <v>421</v>
      </c>
      <c r="Q57" s="4" t="s">
        <v>579</v>
      </c>
      <c r="R57" s="4" t="s">
        <v>580</v>
      </c>
      <c r="S57" s="4" t="s">
        <v>581</v>
      </c>
      <c r="T57" s="6" t="s">
        <v>555</v>
      </c>
      <c r="U57" s="3" t="str">
        <f t="shared" si="0"/>
        <v>Outstanding</v>
      </c>
      <c r="V57" s="15" t="s">
        <v>28</v>
      </c>
    </row>
    <row r="58" spans="1:22" ht="60" customHeight="1" x14ac:dyDescent="0.35">
      <c r="A58" s="13" t="s">
        <v>569</v>
      </c>
      <c r="B58" s="2" t="s">
        <v>582</v>
      </c>
      <c r="C58" s="1" t="s">
        <v>583</v>
      </c>
      <c r="D58" s="3" t="s">
        <v>25</v>
      </c>
      <c r="E58" s="3" t="s">
        <v>26</v>
      </c>
      <c r="F58" s="3" t="s">
        <v>27</v>
      </c>
      <c r="G58" s="3" t="s">
        <v>28</v>
      </c>
      <c r="H58" s="4" t="s">
        <v>28</v>
      </c>
      <c r="I58" s="4" t="s">
        <v>584</v>
      </c>
      <c r="J58" s="4" t="s">
        <v>585</v>
      </c>
      <c r="K58" s="5" t="s">
        <v>574</v>
      </c>
      <c r="L58" s="5" t="s">
        <v>586</v>
      </c>
      <c r="M58" s="4" t="s">
        <v>587</v>
      </c>
      <c r="N58" s="4" t="s">
        <v>588</v>
      </c>
      <c r="O58" s="4" t="s">
        <v>589</v>
      </c>
      <c r="P58" s="4" t="s">
        <v>421</v>
      </c>
      <c r="Q58" s="4" t="s">
        <v>579</v>
      </c>
      <c r="R58" s="4" t="s">
        <v>567</v>
      </c>
      <c r="S58" s="4" t="s">
        <v>590</v>
      </c>
      <c r="T58" s="6" t="s">
        <v>555</v>
      </c>
      <c r="U58" s="3" t="str">
        <f t="shared" si="0"/>
        <v>Outstanding</v>
      </c>
      <c r="V58" s="15" t="s">
        <v>28</v>
      </c>
    </row>
    <row r="59" spans="1:22" ht="60" customHeight="1" x14ac:dyDescent="0.35">
      <c r="A59" s="13" t="s">
        <v>569</v>
      </c>
      <c r="B59" s="2" t="s">
        <v>591</v>
      </c>
      <c r="C59" s="1" t="s">
        <v>592</v>
      </c>
      <c r="D59" s="3" t="s">
        <v>25</v>
      </c>
      <c r="E59" s="3" t="s">
        <v>26</v>
      </c>
      <c r="F59" s="3" t="s">
        <v>27</v>
      </c>
      <c r="G59" s="3" t="s">
        <v>28</v>
      </c>
      <c r="H59" s="4" t="s">
        <v>28</v>
      </c>
      <c r="I59" s="4" t="s">
        <v>593</v>
      </c>
      <c r="J59" s="4" t="s">
        <v>594</v>
      </c>
      <c r="K59" s="5" t="s">
        <v>574</v>
      </c>
      <c r="L59" s="5" t="s">
        <v>595</v>
      </c>
      <c r="M59" s="4" t="s">
        <v>596</v>
      </c>
      <c r="N59" s="4" t="s">
        <v>597</v>
      </c>
      <c r="O59" s="4" t="s">
        <v>598</v>
      </c>
      <c r="P59" s="4" t="s">
        <v>421</v>
      </c>
      <c r="Q59" s="4" t="s">
        <v>579</v>
      </c>
      <c r="R59" s="4" t="s">
        <v>580</v>
      </c>
      <c r="S59" s="4" t="s">
        <v>599</v>
      </c>
      <c r="T59" s="6" t="s">
        <v>555</v>
      </c>
      <c r="U59" s="3" t="str">
        <f t="shared" si="0"/>
        <v>Outstanding</v>
      </c>
      <c r="V59" s="15" t="s">
        <v>28</v>
      </c>
    </row>
    <row r="60" spans="1:22" ht="60" customHeight="1" x14ac:dyDescent="0.35">
      <c r="A60" s="13" t="s">
        <v>569</v>
      </c>
      <c r="B60" s="2" t="s">
        <v>600</v>
      </c>
      <c r="C60" s="1" t="s">
        <v>601</v>
      </c>
      <c r="D60" s="3" t="s">
        <v>25</v>
      </c>
      <c r="E60" s="3" t="s">
        <v>26</v>
      </c>
      <c r="F60" s="3" t="s">
        <v>27</v>
      </c>
      <c r="G60" s="3" t="s">
        <v>28</v>
      </c>
      <c r="H60" s="4" t="s">
        <v>28</v>
      </c>
      <c r="I60" s="4" t="s">
        <v>602</v>
      </c>
      <c r="J60" s="4" t="s">
        <v>603</v>
      </c>
      <c r="K60" s="5" t="s">
        <v>574</v>
      </c>
      <c r="L60" s="5" t="s">
        <v>604</v>
      </c>
      <c r="M60" s="4" t="s">
        <v>605</v>
      </c>
      <c r="N60" s="4" t="s">
        <v>606</v>
      </c>
      <c r="O60" s="4" t="s">
        <v>607</v>
      </c>
      <c r="P60" s="4" t="s">
        <v>421</v>
      </c>
      <c r="Q60" s="4" t="s">
        <v>579</v>
      </c>
      <c r="R60" s="4" t="s">
        <v>608</v>
      </c>
      <c r="S60" s="4" t="s">
        <v>609</v>
      </c>
      <c r="T60" s="6" t="s">
        <v>555</v>
      </c>
      <c r="U60" s="3" t="str">
        <f t="shared" si="0"/>
        <v>Outstanding</v>
      </c>
      <c r="V60" s="15" t="s">
        <v>28</v>
      </c>
    </row>
    <row r="61" spans="1:22" ht="60" customHeight="1" x14ac:dyDescent="0.35">
      <c r="A61" s="13" t="s">
        <v>569</v>
      </c>
      <c r="B61" s="2" t="s">
        <v>610</v>
      </c>
      <c r="C61" s="1" t="s">
        <v>611</v>
      </c>
      <c r="D61" s="3" t="s">
        <v>25</v>
      </c>
      <c r="E61" s="3" t="s">
        <v>26</v>
      </c>
      <c r="F61" s="3" t="s">
        <v>27</v>
      </c>
      <c r="G61" s="3" t="s">
        <v>28</v>
      </c>
      <c r="H61" s="4" t="s">
        <v>28</v>
      </c>
      <c r="I61" s="4" t="s">
        <v>612</v>
      </c>
      <c r="J61" s="4" t="s">
        <v>613</v>
      </c>
      <c r="K61" s="5" t="s">
        <v>574</v>
      </c>
      <c r="L61" s="5" t="s">
        <v>614</v>
      </c>
      <c r="M61" s="4" t="s">
        <v>615</v>
      </c>
      <c r="N61" s="4" t="s">
        <v>616</v>
      </c>
      <c r="O61" s="4" t="s">
        <v>617</v>
      </c>
      <c r="P61" s="4" t="s">
        <v>421</v>
      </c>
      <c r="Q61" s="4" t="s">
        <v>579</v>
      </c>
      <c r="R61" s="4" t="s">
        <v>567</v>
      </c>
      <c r="S61" s="4"/>
      <c r="T61" s="6" t="s">
        <v>555</v>
      </c>
      <c r="U61" s="3" t="str">
        <f t="shared" si="0"/>
        <v>Outstanding</v>
      </c>
      <c r="V61" s="15" t="s">
        <v>28</v>
      </c>
    </row>
    <row r="62" spans="1:22" ht="60" customHeight="1" x14ac:dyDescent="0.35">
      <c r="A62" s="13" t="s">
        <v>569</v>
      </c>
      <c r="B62" s="2" t="s">
        <v>618</v>
      </c>
      <c r="C62" s="1" t="s">
        <v>619</v>
      </c>
      <c r="D62" s="3" t="s">
        <v>25</v>
      </c>
      <c r="E62" s="3" t="s">
        <v>26</v>
      </c>
      <c r="F62" s="3" t="s">
        <v>27</v>
      </c>
      <c r="G62" s="3" t="s">
        <v>28</v>
      </c>
      <c r="H62" s="4" t="s">
        <v>28</v>
      </c>
      <c r="I62" s="4" t="s">
        <v>620</v>
      </c>
      <c r="J62" s="4"/>
      <c r="K62" s="5" t="s">
        <v>574</v>
      </c>
      <c r="L62" s="5" t="s">
        <v>621</v>
      </c>
      <c r="M62" s="4" t="s">
        <v>622</v>
      </c>
      <c r="N62" s="4" t="s">
        <v>623</v>
      </c>
      <c r="O62" s="4" t="s">
        <v>624</v>
      </c>
      <c r="P62" s="4" t="s">
        <v>421</v>
      </c>
      <c r="Q62" s="4" t="s">
        <v>579</v>
      </c>
      <c r="R62" s="4" t="s">
        <v>608</v>
      </c>
      <c r="S62" s="4" t="s">
        <v>625</v>
      </c>
      <c r="T62" s="6" t="s">
        <v>555</v>
      </c>
      <c r="U62" s="3" t="str">
        <f t="shared" si="0"/>
        <v>Outstanding</v>
      </c>
      <c r="V62" s="15" t="s">
        <v>28</v>
      </c>
    </row>
    <row r="63" spans="1:22" ht="60" customHeight="1" x14ac:dyDescent="0.35">
      <c r="A63" s="13" t="s">
        <v>569</v>
      </c>
      <c r="B63" s="2" t="s">
        <v>626</v>
      </c>
      <c r="C63" s="1" t="s">
        <v>627</v>
      </c>
      <c r="D63" s="3" t="s">
        <v>25</v>
      </c>
      <c r="E63" s="3" t="s">
        <v>26</v>
      </c>
      <c r="F63" s="3" t="s">
        <v>27</v>
      </c>
      <c r="G63" s="3" t="s">
        <v>28</v>
      </c>
      <c r="H63" s="4" t="s">
        <v>28</v>
      </c>
      <c r="I63" s="4" t="s">
        <v>628</v>
      </c>
      <c r="J63" s="4" t="s">
        <v>629</v>
      </c>
      <c r="K63" s="5" t="s">
        <v>574</v>
      </c>
      <c r="L63" s="5" t="s">
        <v>630</v>
      </c>
      <c r="M63" s="4" t="s">
        <v>631</v>
      </c>
      <c r="N63" s="4" t="s">
        <v>632</v>
      </c>
      <c r="O63" s="4" t="s">
        <v>633</v>
      </c>
      <c r="P63" s="4" t="s">
        <v>421</v>
      </c>
      <c r="Q63" s="4" t="s">
        <v>579</v>
      </c>
      <c r="R63" s="4" t="s">
        <v>608</v>
      </c>
      <c r="S63" s="4" t="s">
        <v>634</v>
      </c>
      <c r="T63" s="6" t="s">
        <v>555</v>
      </c>
      <c r="U63" s="3" t="str">
        <f t="shared" si="0"/>
        <v>Outstanding</v>
      </c>
      <c r="V63" s="15" t="s">
        <v>28</v>
      </c>
    </row>
    <row r="64" spans="1:22" ht="60" customHeight="1" x14ac:dyDescent="0.35">
      <c r="A64" s="13" t="s">
        <v>635</v>
      </c>
      <c r="B64" s="2" t="s">
        <v>636</v>
      </c>
      <c r="C64" s="1" t="s">
        <v>637</v>
      </c>
      <c r="D64" s="3" t="s">
        <v>25</v>
      </c>
      <c r="E64" s="3" t="s">
        <v>26</v>
      </c>
      <c r="F64" s="3" t="s">
        <v>27</v>
      </c>
      <c r="G64" s="3" t="s">
        <v>28</v>
      </c>
      <c r="H64" s="4" t="s">
        <v>28</v>
      </c>
      <c r="I64" s="4" t="s">
        <v>638</v>
      </c>
      <c r="J64" s="4" t="s">
        <v>639</v>
      </c>
      <c r="K64" s="5" t="s">
        <v>640</v>
      </c>
      <c r="L64" s="5" t="s">
        <v>641</v>
      </c>
      <c r="M64" s="4" t="s">
        <v>642</v>
      </c>
      <c r="N64" s="4" t="s">
        <v>643</v>
      </c>
      <c r="O64" s="4" t="s">
        <v>644</v>
      </c>
      <c r="P64" s="4" t="s">
        <v>421</v>
      </c>
      <c r="Q64" s="4" t="s">
        <v>645</v>
      </c>
      <c r="R64" s="4" t="s">
        <v>646</v>
      </c>
      <c r="S64" s="4" t="s">
        <v>647</v>
      </c>
      <c r="T64" s="6" t="s">
        <v>555</v>
      </c>
      <c r="U64" s="3" t="str">
        <f t="shared" si="0"/>
        <v>Outstanding</v>
      </c>
      <c r="V64" s="15" t="s">
        <v>28</v>
      </c>
    </row>
    <row r="65" spans="1:22" ht="60" customHeight="1" x14ac:dyDescent="0.35">
      <c r="A65" s="13" t="s">
        <v>648</v>
      </c>
      <c r="B65" s="2" t="s">
        <v>649</v>
      </c>
      <c r="C65" s="1" t="s">
        <v>650</v>
      </c>
      <c r="D65" s="3" t="s">
        <v>25</v>
      </c>
      <c r="E65" s="3" t="s">
        <v>26</v>
      </c>
      <c r="F65" s="3" t="s">
        <v>27</v>
      </c>
      <c r="G65" s="3" t="s">
        <v>28</v>
      </c>
      <c r="H65" s="4" t="s">
        <v>28</v>
      </c>
      <c r="I65" s="4" t="s">
        <v>651</v>
      </c>
      <c r="J65" s="4" t="s">
        <v>652</v>
      </c>
      <c r="K65" s="5" t="s">
        <v>653</v>
      </c>
      <c r="L65" s="5" t="s">
        <v>654</v>
      </c>
      <c r="M65" s="4" t="s">
        <v>655</v>
      </c>
      <c r="N65" s="4" t="s">
        <v>656</v>
      </c>
      <c r="O65" s="4" t="s">
        <v>657</v>
      </c>
      <c r="P65" s="4" t="s">
        <v>421</v>
      </c>
      <c r="Q65" s="4" t="s">
        <v>658</v>
      </c>
      <c r="R65" s="4" t="s">
        <v>659</v>
      </c>
      <c r="S65" s="4"/>
      <c r="T65" s="6" t="s">
        <v>555</v>
      </c>
      <c r="U65" s="3" t="str">
        <f t="shared" si="0"/>
        <v>Outstanding</v>
      </c>
      <c r="V65" s="15" t="s">
        <v>28</v>
      </c>
    </row>
    <row r="66" spans="1:22" ht="60" customHeight="1" x14ac:dyDescent="0.35">
      <c r="A66" s="13" t="s">
        <v>648</v>
      </c>
      <c r="B66" s="2" t="s">
        <v>660</v>
      </c>
      <c r="C66" s="1" t="s">
        <v>661</v>
      </c>
      <c r="D66" s="3" t="s">
        <v>25</v>
      </c>
      <c r="E66" s="3" t="s">
        <v>26</v>
      </c>
      <c r="F66" s="3" t="s">
        <v>27</v>
      </c>
      <c r="G66" s="3" t="s">
        <v>28</v>
      </c>
      <c r="H66" s="4" t="s">
        <v>28</v>
      </c>
      <c r="I66" s="4" t="s">
        <v>662</v>
      </c>
      <c r="J66" s="4" t="s">
        <v>663</v>
      </c>
      <c r="K66" s="5" t="s">
        <v>653</v>
      </c>
      <c r="L66" s="5" t="s">
        <v>664</v>
      </c>
      <c r="M66" s="4" t="s">
        <v>665</v>
      </c>
      <c r="N66" s="4" t="s">
        <v>666</v>
      </c>
      <c r="O66" s="4" t="s">
        <v>667</v>
      </c>
      <c r="P66" s="4" t="s">
        <v>421</v>
      </c>
      <c r="Q66" s="4" t="s">
        <v>658</v>
      </c>
      <c r="R66" s="4" t="s">
        <v>659</v>
      </c>
      <c r="S66" s="4"/>
      <c r="T66" s="6" t="s">
        <v>555</v>
      </c>
      <c r="U66" s="3" t="str">
        <f t="shared" si="0"/>
        <v>Outstanding</v>
      </c>
      <c r="V66" s="15" t="s">
        <v>28</v>
      </c>
    </row>
    <row r="67" spans="1:22" ht="60" customHeight="1" x14ac:dyDescent="0.35">
      <c r="A67" s="13" t="s">
        <v>648</v>
      </c>
      <c r="B67" s="2" t="s">
        <v>668</v>
      </c>
      <c r="C67" s="1" t="s">
        <v>669</v>
      </c>
      <c r="D67" s="3" t="s">
        <v>25</v>
      </c>
      <c r="E67" s="3" t="s">
        <v>26</v>
      </c>
      <c r="F67" s="3" t="s">
        <v>27</v>
      </c>
      <c r="G67" s="3" t="s">
        <v>28</v>
      </c>
      <c r="H67" s="4" t="s">
        <v>28</v>
      </c>
      <c r="I67" s="4" t="s">
        <v>670</v>
      </c>
      <c r="J67" s="4" t="s">
        <v>671</v>
      </c>
      <c r="K67" s="5" t="s">
        <v>653</v>
      </c>
      <c r="L67" s="5" t="s">
        <v>672</v>
      </c>
      <c r="M67" s="4" t="s">
        <v>673</v>
      </c>
      <c r="N67" s="4" t="s">
        <v>674</v>
      </c>
      <c r="O67" s="4" t="s">
        <v>675</v>
      </c>
      <c r="P67" s="4" t="s">
        <v>421</v>
      </c>
      <c r="Q67" s="4" t="s">
        <v>658</v>
      </c>
      <c r="R67" s="4" t="s">
        <v>659</v>
      </c>
      <c r="S67" s="4"/>
      <c r="T67" s="6" t="s">
        <v>555</v>
      </c>
      <c r="U67" s="3" t="str">
        <f t="shared" si="0"/>
        <v>Outstanding</v>
      </c>
      <c r="V67" s="15" t="s">
        <v>28</v>
      </c>
    </row>
    <row r="68" spans="1:22" ht="60" customHeight="1" x14ac:dyDescent="0.35">
      <c r="A68" s="13" t="s">
        <v>648</v>
      </c>
      <c r="B68" s="2" t="s">
        <v>676</v>
      </c>
      <c r="C68" s="1" t="s">
        <v>677</v>
      </c>
      <c r="D68" s="3" t="s">
        <v>25</v>
      </c>
      <c r="E68" s="3" t="s">
        <v>26</v>
      </c>
      <c r="F68" s="3" t="s">
        <v>27</v>
      </c>
      <c r="G68" s="3" t="s">
        <v>28</v>
      </c>
      <c r="H68" s="4" t="s">
        <v>28</v>
      </c>
      <c r="I68" s="4" t="s">
        <v>678</v>
      </c>
      <c r="J68" s="4" t="s">
        <v>679</v>
      </c>
      <c r="K68" s="5" t="s">
        <v>653</v>
      </c>
      <c r="L68" s="5" t="s">
        <v>680</v>
      </c>
      <c r="M68" s="4" t="s">
        <v>681</v>
      </c>
      <c r="N68" s="4" t="s">
        <v>682</v>
      </c>
      <c r="O68" s="4" t="s">
        <v>683</v>
      </c>
      <c r="P68" s="4" t="s">
        <v>421</v>
      </c>
      <c r="Q68" s="4" t="s">
        <v>658</v>
      </c>
      <c r="R68" s="4" t="s">
        <v>659</v>
      </c>
      <c r="S68" s="4"/>
      <c r="T68" s="6" t="s">
        <v>555</v>
      </c>
      <c r="U68" s="3" t="str">
        <f t="shared" si="0"/>
        <v>Outstanding</v>
      </c>
      <c r="V68" s="15" t="s">
        <v>28</v>
      </c>
    </row>
    <row r="69" spans="1:22" ht="60" customHeight="1" x14ac:dyDescent="0.35">
      <c r="A69" s="13" t="s">
        <v>648</v>
      </c>
      <c r="B69" s="2" t="s">
        <v>684</v>
      </c>
      <c r="C69" s="1" t="s">
        <v>685</v>
      </c>
      <c r="D69" s="3" t="s">
        <v>25</v>
      </c>
      <c r="E69" s="3" t="s">
        <v>26</v>
      </c>
      <c r="F69" s="3" t="s">
        <v>27</v>
      </c>
      <c r="G69" s="3" t="s">
        <v>28</v>
      </c>
      <c r="H69" s="4" t="s">
        <v>28</v>
      </c>
      <c r="I69" s="4" t="s">
        <v>686</v>
      </c>
      <c r="J69" s="4" t="s">
        <v>687</v>
      </c>
      <c r="K69" s="5" t="s">
        <v>653</v>
      </c>
      <c r="L69" s="5" t="s">
        <v>688</v>
      </c>
      <c r="M69" s="4" t="s">
        <v>689</v>
      </c>
      <c r="N69" s="4" t="s">
        <v>690</v>
      </c>
      <c r="O69" s="4" t="s">
        <v>691</v>
      </c>
      <c r="P69" s="4" t="s">
        <v>421</v>
      </c>
      <c r="Q69" s="4" t="s">
        <v>658</v>
      </c>
      <c r="R69" s="4" t="s">
        <v>659</v>
      </c>
      <c r="S69" s="4"/>
      <c r="T69" s="6" t="s">
        <v>555</v>
      </c>
      <c r="U69" s="3" t="str">
        <f t="shared" si="0"/>
        <v>Outstanding</v>
      </c>
      <c r="V69" s="15" t="s">
        <v>28</v>
      </c>
    </row>
    <row r="70" spans="1:22" ht="60" customHeight="1" x14ac:dyDescent="0.35">
      <c r="A70" s="13" t="s">
        <v>648</v>
      </c>
      <c r="B70" s="2" t="s">
        <v>692</v>
      </c>
      <c r="C70" s="1" t="s">
        <v>693</v>
      </c>
      <c r="D70" s="3" t="s">
        <v>25</v>
      </c>
      <c r="E70" s="3" t="s">
        <v>26</v>
      </c>
      <c r="F70" s="3" t="s">
        <v>27</v>
      </c>
      <c r="G70" s="3" t="s">
        <v>28</v>
      </c>
      <c r="H70" s="4" t="s">
        <v>28</v>
      </c>
      <c r="I70" s="4" t="s">
        <v>694</v>
      </c>
      <c r="J70" s="4" t="s">
        <v>695</v>
      </c>
      <c r="K70" s="5" t="s">
        <v>653</v>
      </c>
      <c r="L70" s="5" t="s">
        <v>696</v>
      </c>
      <c r="M70" s="4" t="s">
        <v>697</v>
      </c>
      <c r="N70" s="4" t="s">
        <v>698</v>
      </c>
      <c r="O70" s="4" t="s">
        <v>699</v>
      </c>
      <c r="P70" s="4" t="s">
        <v>421</v>
      </c>
      <c r="Q70" s="4" t="s">
        <v>658</v>
      </c>
      <c r="R70" s="4" t="s">
        <v>659</v>
      </c>
      <c r="S70" s="4"/>
      <c r="T70" s="6" t="s">
        <v>555</v>
      </c>
      <c r="U70" s="3" t="str">
        <f t="shared" si="0"/>
        <v>Outstanding</v>
      </c>
      <c r="V70" s="15" t="s">
        <v>28</v>
      </c>
    </row>
    <row r="71" spans="1:22" ht="60" customHeight="1" x14ac:dyDescent="0.35">
      <c r="A71" s="13" t="s">
        <v>648</v>
      </c>
      <c r="B71" s="2" t="s">
        <v>700</v>
      </c>
      <c r="C71" s="1" t="s">
        <v>701</v>
      </c>
      <c r="D71" s="3" t="s">
        <v>25</v>
      </c>
      <c r="E71" s="3" t="s">
        <v>26</v>
      </c>
      <c r="F71" s="3" t="s">
        <v>27</v>
      </c>
      <c r="G71" s="3" t="s">
        <v>28</v>
      </c>
      <c r="H71" s="4" t="s">
        <v>28</v>
      </c>
      <c r="I71" s="4" t="s">
        <v>702</v>
      </c>
      <c r="J71" s="4" t="s">
        <v>703</v>
      </c>
      <c r="K71" s="5" t="s">
        <v>653</v>
      </c>
      <c r="L71" s="5" t="s">
        <v>704</v>
      </c>
      <c r="M71" s="4" t="s">
        <v>705</v>
      </c>
      <c r="N71" s="4" t="s">
        <v>706</v>
      </c>
      <c r="O71" s="4" t="s">
        <v>707</v>
      </c>
      <c r="P71" s="4" t="s">
        <v>421</v>
      </c>
      <c r="Q71" s="4" t="s">
        <v>658</v>
      </c>
      <c r="R71" s="4" t="s">
        <v>659</v>
      </c>
      <c r="S71" s="4"/>
      <c r="T71" s="6" t="s">
        <v>555</v>
      </c>
      <c r="U71" s="3" t="str">
        <f t="shared" si="0"/>
        <v>Outstanding</v>
      </c>
      <c r="V71" s="15" t="s">
        <v>28</v>
      </c>
    </row>
    <row r="72" spans="1:22" ht="60" customHeight="1" x14ac:dyDescent="0.35">
      <c r="A72" s="13" t="s">
        <v>648</v>
      </c>
      <c r="B72" s="2" t="s">
        <v>708</v>
      </c>
      <c r="C72" s="1" t="s">
        <v>709</v>
      </c>
      <c r="D72" s="3" t="s">
        <v>25</v>
      </c>
      <c r="E72" s="3" t="s">
        <v>26</v>
      </c>
      <c r="F72" s="3" t="s">
        <v>27</v>
      </c>
      <c r="G72" s="3" t="s">
        <v>28</v>
      </c>
      <c r="H72" s="4" t="s">
        <v>28</v>
      </c>
      <c r="I72" s="4" t="s">
        <v>710</v>
      </c>
      <c r="J72" s="4" t="s">
        <v>711</v>
      </c>
      <c r="K72" s="5" t="s">
        <v>653</v>
      </c>
      <c r="L72" s="5" t="s">
        <v>712</v>
      </c>
      <c r="M72" s="4" t="s">
        <v>713</v>
      </c>
      <c r="N72" s="4" t="s">
        <v>714</v>
      </c>
      <c r="O72" s="4" t="s">
        <v>715</v>
      </c>
      <c r="P72" s="4" t="s">
        <v>421</v>
      </c>
      <c r="Q72" s="4" t="s">
        <v>658</v>
      </c>
      <c r="R72" s="4" t="s">
        <v>659</v>
      </c>
      <c r="S72" s="4"/>
      <c r="T72" s="6" t="s">
        <v>555</v>
      </c>
      <c r="U72" s="3" t="str">
        <f t="shared" si="0"/>
        <v>Outstanding</v>
      </c>
      <c r="V72" s="15" t="s">
        <v>28</v>
      </c>
    </row>
    <row r="73" spans="1:22" ht="60" customHeight="1" x14ac:dyDescent="0.35">
      <c r="A73" s="13" t="s">
        <v>648</v>
      </c>
      <c r="B73" s="2" t="s">
        <v>716</v>
      </c>
      <c r="C73" s="1" t="s">
        <v>717</v>
      </c>
      <c r="D73" s="3" t="s">
        <v>25</v>
      </c>
      <c r="E73" s="3" t="s">
        <v>26</v>
      </c>
      <c r="F73" s="3" t="s">
        <v>27</v>
      </c>
      <c r="G73" s="3" t="s">
        <v>28</v>
      </c>
      <c r="H73" s="4" t="s">
        <v>28</v>
      </c>
      <c r="I73" s="4" t="s">
        <v>718</v>
      </c>
      <c r="J73" s="4" t="s">
        <v>719</v>
      </c>
      <c r="K73" s="5" t="s">
        <v>653</v>
      </c>
      <c r="L73" s="5" t="s">
        <v>720</v>
      </c>
      <c r="M73" s="4" t="s">
        <v>721</v>
      </c>
      <c r="N73" s="4" t="s">
        <v>722</v>
      </c>
      <c r="O73" s="4" t="s">
        <v>723</v>
      </c>
      <c r="P73" s="4" t="s">
        <v>421</v>
      </c>
      <c r="Q73" s="4" t="s">
        <v>658</v>
      </c>
      <c r="R73" s="4" t="s">
        <v>659</v>
      </c>
      <c r="S73" s="4"/>
      <c r="T73" s="6" t="s">
        <v>555</v>
      </c>
      <c r="U73" s="3" t="str">
        <f t="shared" si="0"/>
        <v>Outstanding</v>
      </c>
      <c r="V73" s="15" t="s">
        <v>28</v>
      </c>
    </row>
    <row r="74" spans="1:22" ht="60" customHeight="1" x14ac:dyDescent="0.35">
      <c r="A74" s="13" t="s">
        <v>648</v>
      </c>
      <c r="B74" s="2" t="s">
        <v>724</v>
      </c>
      <c r="C74" s="1" t="s">
        <v>725</v>
      </c>
      <c r="D74" s="3" t="s">
        <v>25</v>
      </c>
      <c r="E74" s="3" t="s">
        <v>26</v>
      </c>
      <c r="F74" s="3" t="s">
        <v>27</v>
      </c>
      <c r="G74" s="3" t="s">
        <v>28</v>
      </c>
      <c r="H74" s="4" t="s">
        <v>28</v>
      </c>
      <c r="I74" s="4" t="s">
        <v>726</v>
      </c>
      <c r="J74" s="4" t="s">
        <v>727</v>
      </c>
      <c r="K74" s="5" t="s">
        <v>653</v>
      </c>
      <c r="L74" s="5" t="s">
        <v>728</v>
      </c>
      <c r="M74" s="4" t="s">
        <v>729</v>
      </c>
      <c r="N74" s="4" t="s">
        <v>730</v>
      </c>
      <c r="O74" s="4" t="s">
        <v>731</v>
      </c>
      <c r="P74" s="4" t="s">
        <v>421</v>
      </c>
      <c r="Q74" s="4" t="s">
        <v>658</v>
      </c>
      <c r="R74" s="4" t="s">
        <v>659</v>
      </c>
      <c r="S74" s="4"/>
      <c r="T74" s="6" t="s">
        <v>555</v>
      </c>
      <c r="U74" s="3" t="str">
        <f t="shared" si="0"/>
        <v>Outstanding</v>
      </c>
      <c r="V74" s="15" t="s">
        <v>28</v>
      </c>
    </row>
    <row r="75" spans="1:22" ht="60" customHeight="1" x14ac:dyDescent="0.35">
      <c r="A75" s="13" t="s">
        <v>648</v>
      </c>
      <c r="B75" s="2" t="s">
        <v>732</v>
      </c>
      <c r="C75" s="1" t="s">
        <v>733</v>
      </c>
      <c r="D75" s="3" t="s">
        <v>25</v>
      </c>
      <c r="E75" s="3" t="s">
        <v>26</v>
      </c>
      <c r="F75" s="3" t="s">
        <v>27</v>
      </c>
      <c r="G75" s="3" t="s">
        <v>28</v>
      </c>
      <c r="H75" s="4" t="s">
        <v>28</v>
      </c>
      <c r="I75" s="4" t="s">
        <v>734</v>
      </c>
      <c r="J75" s="4" t="s">
        <v>735</v>
      </c>
      <c r="K75" s="5" t="s">
        <v>653</v>
      </c>
      <c r="L75" s="5" t="s">
        <v>736</v>
      </c>
      <c r="M75" s="4" t="s">
        <v>737</v>
      </c>
      <c r="N75" s="4" t="s">
        <v>738</v>
      </c>
      <c r="O75" s="4" t="s">
        <v>739</v>
      </c>
      <c r="P75" s="4" t="s">
        <v>421</v>
      </c>
      <c r="Q75" s="4" t="s">
        <v>658</v>
      </c>
      <c r="R75" s="4" t="s">
        <v>659</v>
      </c>
      <c r="S75" s="4"/>
      <c r="T75" s="6" t="s">
        <v>555</v>
      </c>
      <c r="U75" s="3" t="str">
        <f t="shared" si="0"/>
        <v>Outstanding</v>
      </c>
      <c r="V75" s="15" t="s">
        <v>28</v>
      </c>
    </row>
    <row r="76" spans="1:22" ht="60" customHeight="1" x14ac:dyDescent="0.35">
      <c r="A76" s="13" t="s">
        <v>648</v>
      </c>
      <c r="B76" s="2" t="s">
        <v>740</v>
      </c>
      <c r="C76" s="1" t="s">
        <v>741</v>
      </c>
      <c r="D76" s="3" t="s">
        <v>25</v>
      </c>
      <c r="E76" s="3" t="s">
        <v>26</v>
      </c>
      <c r="F76" s="3" t="s">
        <v>27</v>
      </c>
      <c r="G76" s="3" t="s">
        <v>28</v>
      </c>
      <c r="H76" s="4" t="s">
        <v>28</v>
      </c>
      <c r="I76" s="4" t="s">
        <v>742</v>
      </c>
      <c r="J76" s="4" t="s">
        <v>743</v>
      </c>
      <c r="K76" s="5" t="s">
        <v>653</v>
      </c>
      <c r="L76" s="5" t="s">
        <v>744</v>
      </c>
      <c r="M76" s="4" t="s">
        <v>745</v>
      </c>
      <c r="N76" s="4" t="s">
        <v>746</v>
      </c>
      <c r="O76" s="4" t="s">
        <v>747</v>
      </c>
      <c r="P76" s="4" t="s">
        <v>421</v>
      </c>
      <c r="Q76" s="4" t="s">
        <v>658</v>
      </c>
      <c r="R76" s="4" t="s">
        <v>659</v>
      </c>
      <c r="S76" s="4"/>
      <c r="T76" s="6" t="s">
        <v>555</v>
      </c>
      <c r="U76" s="3" t="str">
        <f t="shared" si="0"/>
        <v>Outstanding</v>
      </c>
      <c r="V76" s="15" t="s">
        <v>28</v>
      </c>
    </row>
    <row r="77" spans="1:22" ht="60" customHeight="1" x14ac:dyDescent="0.35">
      <c r="A77" s="13" t="s">
        <v>648</v>
      </c>
      <c r="B77" s="2" t="s">
        <v>748</v>
      </c>
      <c r="C77" s="1" t="s">
        <v>749</v>
      </c>
      <c r="D77" s="3" t="s">
        <v>25</v>
      </c>
      <c r="E77" s="3" t="s">
        <v>26</v>
      </c>
      <c r="F77" s="3" t="s">
        <v>27</v>
      </c>
      <c r="G77" s="3" t="s">
        <v>28</v>
      </c>
      <c r="H77" s="4" t="s">
        <v>28</v>
      </c>
      <c r="I77" s="4" t="s">
        <v>750</v>
      </c>
      <c r="J77" s="4" t="s">
        <v>751</v>
      </c>
      <c r="K77" s="5" t="s">
        <v>653</v>
      </c>
      <c r="L77" s="5" t="s">
        <v>752</v>
      </c>
      <c r="M77" s="4" t="s">
        <v>753</v>
      </c>
      <c r="N77" s="4" t="s">
        <v>754</v>
      </c>
      <c r="O77" s="4" t="s">
        <v>755</v>
      </c>
      <c r="P77" s="4" t="s">
        <v>421</v>
      </c>
      <c r="Q77" s="4" t="s">
        <v>658</v>
      </c>
      <c r="R77" s="4" t="s">
        <v>659</v>
      </c>
      <c r="S77" s="4"/>
      <c r="T77" s="6" t="s">
        <v>555</v>
      </c>
      <c r="U77" s="3" t="str">
        <f t="shared" si="0"/>
        <v>Outstanding</v>
      </c>
      <c r="V77" s="15" t="s">
        <v>28</v>
      </c>
    </row>
    <row r="78" spans="1:22" ht="60" customHeight="1" x14ac:dyDescent="0.35">
      <c r="A78" s="13" t="s">
        <v>648</v>
      </c>
      <c r="B78" s="2" t="s">
        <v>756</v>
      </c>
      <c r="C78" s="1" t="s">
        <v>757</v>
      </c>
      <c r="D78" s="3" t="s">
        <v>25</v>
      </c>
      <c r="E78" s="3" t="s">
        <v>26</v>
      </c>
      <c r="F78" s="3" t="s">
        <v>27</v>
      </c>
      <c r="G78" s="3" t="s">
        <v>28</v>
      </c>
      <c r="H78" s="4" t="s">
        <v>28</v>
      </c>
      <c r="I78" s="4" t="s">
        <v>758</v>
      </c>
      <c r="J78" s="4" t="s">
        <v>759</v>
      </c>
      <c r="K78" s="5" t="s">
        <v>653</v>
      </c>
      <c r="L78" s="5" t="s">
        <v>760</v>
      </c>
      <c r="M78" s="4" t="s">
        <v>761</v>
      </c>
      <c r="N78" s="4" t="s">
        <v>762</v>
      </c>
      <c r="O78" s="4" t="s">
        <v>763</v>
      </c>
      <c r="P78" s="4" t="s">
        <v>421</v>
      </c>
      <c r="Q78" s="4" t="s">
        <v>658</v>
      </c>
      <c r="R78" s="4" t="s">
        <v>659</v>
      </c>
      <c r="S78" s="4"/>
      <c r="T78" s="6" t="s">
        <v>555</v>
      </c>
      <c r="U78" s="3" t="str">
        <f t="shared" si="0"/>
        <v>Outstanding</v>
      </c>
      <c r="V78" s="15" t="s">
        <v>28</v>
      </c>
    </row>
    <row r="79" spans="1:22" ht="60" customHeight="1" x14ac:dyDescent="0.35">
      <c r="A79" s="13" t="s">
        <v>648</v>
      </c>
      <c r="B79" s="2" t="s">
        <v>764</v>
      </c>
      <c r="C79" s="1" t="s">
        <v>765</v>
      </c>
      <c r="D79" s="3" t="s">
        <v>25</v>
      </c>
      <c r="E79" s="3" t="s">
        <v>26</v>
      </c>
      <c r="F79" s="3" t="s">
        <v>27</v>
      </c>
      <c r="G79" s="3" t="s">
        <v>28</v>
      </c>
      <c r="H79" s="4" t="s">
        <v>28</v>
      </c>
      <c r="I79" s="4" t="s">
        <v>766</v>
      </c>
      <c r="J79" s="4" t="s">
        <v>767</v>
      </c>
      <c r="K79" s="5" t="s">
        <v>653</v>
      </c>
      <c r="L79" s="5" t="s">
        <v>768</v>
      </c>
      <c r="M79" s="4" t="s">
        <v>769</v>
      </c>
      <c r="N79" s="4" t="s">
        <v>770</v>
      </c>
      <c r="O79" s="4" t="s">
        <v>771</v>
      </c>
      <c r="P79" s="4" t="s">
        <v>421</v>
      </c>
      <c r="Q79" s="4" t="s">
        <v>658</v>
      </c>
      <c r="R79" s="4" t="s">
        <v>659</v>
      </c>
      <c r="S79" s="4"/>
      <c r="T79" s="6" t="s">
        <v>555</v>
      </c>
      <c r="U79" s="3" t="str">
        <f t="shared" si="0"/>
        <v>Outstanding</v>
      </c>
      <c r="V79" s="15" t="s">
        <v>28</v>
      </c>
    </row>
    <row r="80" spans="1:22" ht="60" customHeight="1" x14ac:dyDescent="0.35">
      <c r="A80" s="13" t="s">
        <v>648</v>
      </c>
      <c r="B80" s="2" t="s">
        <v>772</v>
      </c>
      <c r="C80" s="1" t="s">
        <v>773</v>
      </c>
      <c r="D80" s="3" t="s">
        <v>25</v>
      </c>
      <c r="E80" s="3" t="s">
        <v>26</v>
      </c>
      <c r="F80" s="3" t="s">
        <v>27</v>
      </c>
      <c r="G80" s="3" t="s">
        <v>28</v>
      </c>
      <c r="H80" s="4" t="s">
        <v>28</v>
      </c>
      <c r="I80" s="4" t="s">
        <v>774</v>
      </c>
      <c r="J80" s="4" t="s">
        <v>775</v>
      </c>
      <c r="K80" s="5" t="s">
        <v>653</v>
      </c>
      <c r="L80" s="5" t="s">
        <v>776</v>
      </c>
      <c r="M80" s="4" t="s">
        <v>777</v>
      </c>
      <c r="N80" s="4" t="s">
        <v>778</v>
      </c>
      <c r="O80" s="4" t="s">
        <v>779</v>
      </c>
      <c r="P80" s="4" t="s">
        <v>421</v>
      </c>
      <c r="Q80" s="4" t="s">
        <v>658</v>
      </c>
      <c r="R80" s="4" t="s">
        <v>659</v>
      </c>
      <c r="S80" s="4"/>
      <c r="T80" s="6" t="s">
        <v>555</v>
      </c>
      <c r="U80" s="3" t="str">
        <f t="shared" si="0"/>
        <v>Outstanding</v>
      </c>
      <c r="V80" s="15" t="s">
        <v>28</v>
      </c>
    </row>
    <row r="81" spans="1:22" ht="60" customHeight="1" x14ac:dyDescent="0.35">
      <c r="A81" s="13" t="s">
        <v>648</v>
      </c>
      <c r="B81" s="2" t="s">
        <v>780</v>
      </c>
      <c r="C81" s="1" t="s">
        <v>781</v>
      </c>
      <c r="D81" s="3" t="s">
        <v>25</v>
      </c>
      <c r="E81" s="3" t="s">
        <v>26</v>
      </c>
      <c r="F81" s="3" t="s">
        <v>27</v>
      </c>
      <c r="G81" s="3" t="s">
        <v>28</v>
      </c>
      <c r="H81" s="4" t="s">
        <v>28</v>
      </c>
      <c r="I81" s="4" t="s">
        <v>782</v>
      </c>
      <c r="J81" s="4" t="s">
        <v>775</v>
      </c>
      <c r="K81" s="5" t="s">
        <v>653</v>
      </c>
      <c r="L81" s="5" t="s">
        <v>776</v>
      </c>
      <c r="M81" s="4" t="s">
        <v>777</v>
      </c>
      <c r="N81" s="4" t="s">
        <v>778</v>
      </c>
      <c r="O81" s="4" t="s">
        <v>779</v>
      </c>
      <c r="P81" s="4" t="s">
        <v>421</v>
      </c>
      <c r="Q81" s="4" t="s">
        <v>658</v>
      </c>
      <c r="R81" s="4" t="s">
        <v>659</v>
      </c>
      <c r="S81" s="4"/>
      <c r="T81" s="6" t="s">
        <v>555</v>
      </c>
      <c r="U81" s="3" t="str">
        <f t="shared" si="0"/>
        <v>Outstanding</v>
      </c>
      <c r="V81" s="15" t="s">
        <v>28</v>
      </c>
    </row>
    <row r="82" spans="1:22" ht="60" customHeight="1" x14ac:dyDescent="0.35">
      <c r="A82" s="13" t="s">
        <v>648</v>
      </c>
      <c r="B82" s="2" t="s">
        <v>783</v>
      </c>
      <c r="C82" s="1" t="s">
        <v>784</v>
      </c>
      <c r="D82" s="3" t="s">
        <v>25</v>
      </c>
      <c r="E82" s="3" t="s">
        <v>26</v>
      </c>
      <c r="F82" s="3" t="s">
        <v>27</v>
      </c>
      <c r="G82" s="3" t="s">
        <v>28</v>
      </c>
      <c r="H82" s="4" t="s">
        <v>28</v>
      </c>
      <c r="I82" s="4" t="s">
        <v>785</v>
      </c>
      <c r="J82" s="4" t="s">
        <v>786</v>
      </c>
      <c r="K82" s="5" t="s">
        <v>653</v>
      </c>
      <c r="L82" s="5" t="s">
        <v>787</v>
      </c>
      <c r="M82" s="4" t="s">
        <v>788</v>
      </c>
      <c r="N82" s="4" t="s">
        <v>789</v>
      </c>
      <c r="O82" s="4" t="s">
        <v>790</v>
      </c>
      <c r="P82" s="4" t="s">
        <v>421</v>
      </c>
      <c r="Q82" s="4" t="s">
        <v>658</v>
      </c>
      <c r="R82" s="4" t="s">
        <v>659</v>
      </c>
      <c r="S82" s="4"/>
      <c r="T82" s="6" t="s">
        <v>555</v>
      </c>
      <c r="U82" s="3" t="str">
        <f t="shared" si="0"/>
        <v>Outstanding</v>
      </c>
      <c r="V82" s="15" t="s">
        <v>28</v>
      </c>
    </row>
    <row r="83" spans="1:22" ht="60" customHeight="1" x14ac:dyDescent="0.35">
      <c r="A83" s="13" t="s">
        <v>648</v>
      </c>
      <c r="B83" s="2" t="s">
        <v>791</v>
      </c>
      <c r="C83" s="1" t="s">
        <v>792</v>
      </c>
      <c r="D83" s="3" t="s">
        <v>25</v>
      </c>
      <c r="E83" s="3" t="s">
        <v>26</v>
      </c>
      <c r="F83" s="3" t="s">
        <v>27</v>
      </c>
      <c r="G83" s="3" t="s">
        <v>28</v>
      </c>
      <c r="H83" s="4" t="s">
        <v>28</v>
      </c>
      <c r="I83" s="4" t="s">
        <v>793</v>
      </c>
      <c r="J83" s="4" t="s">
        <v>794</v>
      </c>
      <c r="K83" s="5" t="s">
        <v>653</v>
      </c>
      <c r="L83" s="5" t="s">
        <v>795</v>
      </c>
      <c r="M83" s="4" t="s">
        <v>796</v>
      </c>
      <c r="N83" s="4" t="s">
        <v>797</v>
      </c>
      <c r="O83" s="4" t="s">
        <v>798</v>
      </c>
      <c r="P83" s="4" t="s">
        <v>421</v>
      </c>
      <c r="Q83" s="4" t="s">
        <v>658</v>
      </c>
      <c r="R83" s="4" t="s">
        <v>659</v>
      </c>
      <c r="S83" s="4"/>
      <c r="T83" s="6" t="s">
        <v>555</v>
      </c>
      <c r="U83" s="3" t="str">
        <f t="shared" si="0"/>
        <v>Outstanding</v>
      </c>
      <c r="V83" s="15" t="s">
        <v>28</v>
      </c>
    </row>
    <row r="84" spans="1:22" ht="60" customHeight="1" x14ac:dyDescent="0.35">
      <c r="A84" s="13" t="s">
        <v>648</v>
      </c>
      <c r="B84" s="2" t="s">
        <v>799</v>
      </c>
      <c r="C84" s="1" t="s">
        <v>800</v>
      </c>
      <c r="D84" s="3" t="s">
        <v>25</v>
      </c>
      <c r="E84" s="3" t="s">
        <v>26</v>
      </c>
      <c r="F84" s="3" t="s">
        <v>27</v>
      </c>
      <c r="G84" s="3" t="s">
        <v>28</v>
      </c>
      <c r="H84" s="4" t="s">
        <v>28</v>
      </c>
      <c r="I84" s="4" t="s">
        <v>801</v>
      </c>
      <c r="J84" s="4" t="s">
        <v>802</v>
      </c>
      <c r="K84" s="5" t="s">
        <v>653</v>
      </c>
      <c r="L84" s="5" t="s">
        <v>803</v>
      </c>
      <c r="M84" s="4" t="s">
        <v>804</v>
      </c>
      <c r="N84" s="4" t="s">
        <v>805</v>
      </c>
      <c r="O84" s="4" t="s">
        <v>806</v>
      </c>
      <c r="P84" s="4" t="s">
        <v>421</v>
      </c>
      <c r="Q84" s="4" t="s">
        <v>658</v>
      </c>
      <c r="R84" s="4" t="s">
        <v>659</v>
      </c>
      <c r="S84" s="4"/>
      <c r="T84" s="6" t="s">
        <v>555</v>
      </c>
      <c r="U84" s="3" t="str">
        <f t="shared" si="0"/>
        <v>Outstanding</v>
      </c>
      <c r="V84" s="15" t="s">
        <v>28</v>
      </c>
    </row>
    <row r="85" spans="1:22" ht="60" customHeight="1" x14ac:dyDescent="0.35">
      <c r="A85" s="13" t="s">
        <v>648</v>
      </c>
      <c r="B85" s="2" t="s">
        <v>807</v>
      </c>
      <c r="C85" s="1" t="s">
        <v>808</v>
      </c>
      <c r="D85" s="3" t="s">
        <v>25</v>
      </c>
      <c r="E85" s="3" t="s">
        <v>26</v>
      </c>
      <c r="F85" s="3" t="s">
        <v>27</v>
      </c>
      <c r="G85" s="3" t="s">
        <v>28</v>
      </c>
      <c r="H85" s="4" t="s">
        <v>28</v>
      </c>
      <c r="I85" s="4" t="s">
        <v>809</v>
      </c>
      <c r="J85" s="4" t="s">
        <v>810</v>
      </c>
      <c r="K85" s="5" t="s">
        <v>653</v>
      </c>
      <c r="L85" s="5" t="s">
        <v>811</v>
      </c>
      <c r="M85" s="4" t="s">
        <v>812</v>
      </c>
      <c r="N85" s="4" t="s">
        <v>813</v>
      </c>
      <c r="O85" s="4" t="s">
        <v>814</v>
      </c>
      <c r="P85" s="4" t="s">
        <v>421</v>
      </c>
      <c r="Q85" s="4" t="s">
        <v>658</v>
      </c>
      <c r="R85" s="4" t="s">
        <v>659</v>
      </c>
      <c r="S85" s="4"/>
      <c r="T85" s="6" t="s">
        <v>555</v>
      </c>
      <c r="U85" s="3" t="str">
        <f t="shared" si="0"/>
        <v>Outstanding</v>
      </c>
      <c r="V85" s="15" t="s">
        <v>28</v>
      </c>
    </row>
    <row r="86" spans="1:22" ht="60" customHeight="1" x14ac:dyDescent="0.35">
      <c r="A86" s="13" t="s">
        <v>648</v>
      </c>
      <c r="B86" s="2" t="s">
        <v>815</v>
      </c>
      <c r="C86" s="1" t="s">
        <v>816</v>
      </c>
      <c r="D86" s="3" t="s">
        <v>25</v>
      </c>
      <c r="E86" s="3" t="s">
        <v>26</v>
      </c>
      <c r="F86" s="3" t="s">
        <v>27</v>
      </c>
      <c r="G86" s="3" t="s">
        <v>28</v>
      </c>
      <c r="H86" s="4" t="s">
        <v>28</v>
      </c>
      <c r="I86" s="4" t="s">
        <v>817</v>
      </c>
      <c r="J86" s="4" t="s">
        <v>818</v>
      </c>
      <c r="K86" s="5" t="s">
        <v>653</v>
      </c>
      <c r="L86" s="5" t="s">
        <v>819</v>
      </c>
      <c r="M86" s="4" t="s">
        <v>820</v>
      </c>
      <c r="N86" s="4" t="s">
        <v>821</v>
      </c>
      <c r="O86" s="4" t="s">
        <v>822</v>
      </c>
      <c r="P86" s="4" t="s">
        <v>421</v>
      </c>
      <c r="Q86" s="4" t="s">
        <v>658</v>
      </c>
      <c r="R86" s="4" t="s">
        <v>659</v>
      </c>
      <c r="S86" s="4"/>
      <c r="T86" s="6" t="s">
        <v>555</v>
      </c>
      <c r="U86" s="3" t="str">
        <f t="shared" si="0"/>
        <v>Outstanding</v>
      </c>
      <c r="V86" s="15" t="s">
        <v>28</v>
      </c>
    </row>
    <row r="87" spans="1:22" ht="60" customHeight="1" x14ac:dyDescent="0.35">
      <c r="A87" s="13" t="s">
        <v>648</v>
      </c>
      <c r="B87" s="2" t="s">
        <v>823</v>
      </c>
      <c r="C87" s="1" t="s">
        <v>824</v>
      </c>
      <c r="D87" s="3" t="s">
        <v>25</v>
      </c>
      <c r="E87" s="3" t="s">
        <v>26</v>
      </c>
      <c r="F87" s="3" t="s">
        <v>27</v>
      </c>
      <c r="G87" s="3" t="s">
        <v>28</v>
      </c>
      <c r="H87" s="4" t="s">
        <v>28</v>
      </c>
      <c r="I87" s="4" t="s">
        <v>825</v>
      </c>
      <c r="J87" s="4" t="s">
        <v>826</v>
      </c>
      <c r="K87" s="5" t="s">
        <v>653</v>
      </c>
      <c r="L87" s="5" t="s">
        <v>827</v>
      </c>
      <c r="M87" s="4" t="s">
        <v>828</v>
      </c>
      <c r="N87" s="4" t="s">
        <v>829</v>
      </c>
      <c r="O87" s="4" t="s">
        <v>830</v>
      </c>
      <c r="P87" s="4" t="s">
        <v>421</v>
      </c>
      <c r="Q87" s="4" t="s">
        <v>658</v>
      </c>
      <c r="R87" s="4" t="s">
        <v>659</v>
      </c>
      <c r="S87" s="4"/>
      <c r="T87" s="6" t="s">
        <v>555</v>
      </c>
      <c r="U87" s="3" t="str">
        <f t="shared" si="0"/>
        <v>Outstanding</v>
      </c>
      <c r="V87" s="15" t="s">
        <v>28</v>
      </c>
    </row>
    <row r="88" spans="1:22" ht="60" customHeight="1" x14ac:dyDescent="0.35">
      <c r="A88" s="13" t="s">
        <v>648</v>
      </c>
      <c r="B88" s="2" t="s">
        <v>831</v>
      </c>
      <c r="C88" s="1" t="s">
        <v>832</v>
      </c>
      <c r="D88" s="3" t="s">
        <v>25</v>
      </c>
      <c r="E88" s="3" t="s">
        <v>26</v>
      </c>
      <c r="F88" s="3" t="s">
        <v>27</v>
      </c>
      <c r="G88" s="3" t="s">
        <v>28</v>
      </c>
      <c r="H88" s="4" t="s">
        <v>28</v>
      </c>
      <c r="I88" s="4" t="s">
        <v>833</v>
      </c>
      <c r="J88" s="4" t="s">
        <v>834</v>
      </c>
      <c r="K88" s="5" t="s">
        <v>653</v>
      </c>
      <c r="L88" s="5" t="s">
        <v>835</v>
      </c>
      <c r="M88" s="4" t="s">
        <v>836</v>
      </c>
      <c r="N88" s="4" t="s">
        <v>837</v>
      </c>
      <c r="O88" s="4" t="s">
        <v>838</v>
      </c>
      <c r="P88" s="4" t="s">
        <v>421</v>
      </c>
      <c r="Q88" s="4" t="s">
        <v>658</v>
      </c>
      <c r="R88" s="4" t="s">
        <v>659</v>
      </c>
      <c r="S88" s="4"/>
      <c r="T88" s="6" t="s">
        <v>555</v>
      </c>
      <c r="U88" s="3" t="str">
        <f t="shared" si="0"/>
        <v>Outstanding</v>
      </c>
      <c r="V88" s="15" t="s">
        <v>28</v>
      </c>
    </row>
    <row r="89" spans="1:22" ht="60" customHeight="1" x14ac:dyDescent="0.35">
      <c r="A89" s="13" t="s">
        <v>648</v>
      </c>
      <c r="B89" s="2" t="s">
        <v>839</v>
      </c>
      <c r="C89" s="1" t="s">
        <v>840</v>
      </c>
      <c r="D89" s="3" t="s">
        <v>25</v>
      </c>
      <c r="E89" s="3" t="s">
        <v>26</v>
      </c>
      <c r="F89" s="3" t="s">
        <v>27</v>
      </c>
      <c r="G89" s="3" t="s">
        <v>28</v>
      </c>
      <c r="H89" s="4" t="s">
        <v>28</v>
      </c>
      <c r="I89" s="4" t="s">
        <v>841</v>
      </c>
      <c r="J89" s="4" t="s">
        <v>842</v>
      </c>
      <c r="K89" s="5" t="s">
        <v>653</v>
      </c>
      <c r="L89" s="5" t="s">
        <v>843</v>
      </c>
      <c r="M89" s="4" t="s">
        <v>844</v>
      </c>
      <c r="N89" s="4" t="s">
        <v>845</v>
      </c>
      <c r="O89" s="4" t="s">
        <v>846</v>
      </c>
      <c r="P89" s="4" t="s">
        <v>421</v>
      </c>
      <c r="Q89" s="4" t="s">
        <v>658</v>
      </c>
      <c r="R89" s="4" t="s">
        <v>659</v>
      </c>
      <c r="S89" s="4"/>
      <c r="T89" s="6" t="s">
        <v>555</v>
      </c>
      <c r="U89" s="3" t="str">
        <f t="shared" si="0"/>
        <v>Outstanding</v>
      </c>
      <c r="V89" s="15" t="s">
        <v>28</v>
      </c>
    </row>
    <row r="90" spans="1:22" ht="60" customHeight="1" x14ac:dyDescent="0.35">
      <c r="A90" s="13" t="s">
        <v>648</v>
      </c>
      <c r="B90" s="2" t="s">
        <v>847</v>
      </c>
      <c r="C90" s="1" t="s">
        <v>848</v>
      </c>
      <c r="D90" s="3" t="s">
        <v>25</v>
      </c>
      <c r="E90" s="3" t="s">
        <v>26</v>
      </c>
      <c r="F90" s="3" t="s">
        <v>27</v>
      </c>
      <c r="G90" s="3" t="s">
        <v>28</v>
      </c>
      <c r="H90" s="4" t="s">
        <v>28</v>
      </c>
      <c r="I90" s="4" t="s">
        <v>849</v>
      </c>
      <c r="J90" s="4" t="s">
        <v>850</v>
      </c>
      <c r="K90" s="5" t="s">
        <v>653</v>
      </c>
      <c r="L90" s="5" t="s">
        <v>851</v>
      </c>
      <c r="M90" s="4" t="s">
        <v>852</v>
      </c>
      <c r="N90" s="4" t="s">
        <v>853</v>
      </c>
      <c r="O90" s="4" t="s">
        <v>854</v>
      </c>
      <c r="P90" s="4" t="s">
        <v>421</v>
      </c>
      <c r="Q90" s="4" t="s">
        <v>658</v>
      </c>
      <c r="R90" s="4" t="s">
        <v>659</v>
      </c>
      <c r="S90" s="4"/>
      <c r="T90" s="6" t="s">
        <v>555</v>
      </c>
      <c r="U90" s="3" t="str">
        <f t="shared" si="0"/>
        <v>Outstanding</v>
      </c>
      <c r="V90" s="15" t="s">
        <v>28</v>
      </c>
    </row>
    <row r="91" spans="1:22" ht="60" customHeight="1" x14ac:dyDescent="0.35">
      <c r="A91" s="13" t="s">
        <v>648</v>
      </c>
      <c r="B91" s="2" t="s">
        <v>855</v>
      </c>
      <c r="C91" s="1" t="s">
        <v>856</v>
      </c>
      <c r="D91" s="3" t="s">
        <v>25</v>
      </c>
      <c r="E91" s="3" t="s">
        <v>26</v>
      </c>
      <c r="F91" s="3" t="s">
        <v>27</v>
      </c>
      <c r="G91" s="3" t="s">
        <v>28</v>
      </c>
      <c r="H91" s="4" t="s">
        <v>28</v>
      </c>
      <c r="I91" s="4" t="s">
        <v>857</v>
      </c>
      <c r="J91" s="4" t="s">
        <v>858</v>
      </c>
      <c r="K91" s="5" t="s">
        <v>653</v>
      </c>
      <c r="L91" s="5" t="s">
        <v>859</v>
      </c>
      <c r="M91" s="4" t="s">
        <v>860</v>
      </c>
      <c r="N91" s="4" t="s">
        <v>861</v>
      </c>
      <c r="O91" s="4" t="s">
        <v>862</v>
      </c>
      <c r="P91" s="4" t="s">
        <v>421</v>
      </c>
      <c r="Q91" s="4" t="s">
        <v>658</v>
      </c>
      <c r="R91" s="4" t="s">
        <v>659</v>
      </c>
      <c r="S91" s="4"/>
      <c r="T91" s="6" t="s">
        <v>555</v>
      </c>
      <c r="U91" s="3" t="str">
        <f t="shared" si="0"/>
        <v>Outstanding</v>
      </c>
      <c r="V91" s="15" t="s">
        <v>28</v>
      </c>
    </row>
    <row r="92" spans="1:22" ht="60" customHeight="1" x14ac:dyDescent="0.35">
      <c r="A92" s="13" t="s">
        <v>648</v>
      </c>
      <c r="B92" s="2" t="s">
        <v>863</v>
      </c>
      <c r="C92" s="1" t="s">
        <v>864</v>
      </c>
      <c r="D92" s="3" t="s">
        <v>25</v>
      </c>
      <c r="E92" s="3" t="s">
        <v>26</v>
      </c>
      <c r="F92" s="3" t="s">
        <v>27</v>
      </c>
      <c r="G92" s="3" t="s">
        <v>28</v>
      </c>
      <c r="H92" s="4" t="s">
        <v>28</v>
      </c>
      <c r="I92" s="4" t="s">
        <v>865</v>
      </c>
      <c r="J92" s="4" t="s">
        <v>866</v>
      </c>
      <c r="K92" s="5" t="s">
        <v>653</v>
      </c>
      <c r="L92" s="5" t="s">
        <v>867</v>
      </c>
      <c r="M92" s="4" t="s">
        <v>868</v>
      </c>
      <c r="N92" s="4" t="s">
        <v>869</v>
      </c>
      <c r="O92" s="4" t="s">
        <v>870</v>
      </c>
      <c r="P92" s="4" t="s">
        <v>421</v>
      </c>
      <c r="Q92" s="4" t="s">
        <v>658</v>
      </c>
      <c r="R92" s="4" t="s">
        <v>659</v>
      </c>
      <c r="S92" s="4"/>
      <c r="T92" s="6" t="s">
        <v>555</v>
      </c>
      <c r="U92" s="3" t="str">
        <f t="shared" si="0"/>
        <v>Outstanding</v>
      </c>
      <c r="V92" s="15" t="s">
        <v>28</v>
      </c>
    </row>
    <row r="93" spans="1:22" ht="60" customHeight="1" x14ac:dyDescent="0.35">
      <c r="A93" s="13" t="s">
        <v>648</v>
      </c>
      <c r="B93" s="2" t="s">
        <v>871</v>
      </c>
      <c r="C93" s="1" t="s">
        <v>872</v>
      </c>
      <c r="D93" s="3" t="s">
        <v>25</v>
      </c>
      <c r="E93" s="3" t="s">
        <v>26</v>
      </c>
      <c r="F93" s="3" t="s">
        <v>27</v>
      </c>
      <c r="G93" s="3" t="s">
        <v>28</v>
      </c>
      <c r="H93" s="4" t="s">
        <v>28</v>
      </c>
      <c r="I93" s="4" t="s">
        <v>873</v>
      </c>
      <c r="J93" s="4" t="s">
        <v>874</v>
      </c>
      <c r="K93" s="5" t="s">
        <v>653</v>
      </c>
      <c r="L93" s="5" t="s">
        <v>875</v>
      </c>
      <c r="M93" s="4" t="s">
        <v>876</v>
      </c>
      <c r="N93" s="4" t="s">
        <v>877</v>
      </c>
      <c r="O93" s="4" t="s">
        <v>878</v>
      </c>
      <c r="P93" s="4" t="s">
        <v>421</v>
      </c>
      <c r="Q93" s="4" t="s">
        <v>658</v>
      </c>
      <c r="R93" s="4" t="s">
        <v>659</v>
      </c>
      <c r="S93" s="4"/>
      <c r="T93" s="6" t="s">
        <v>555</v>
      </c>
      <c r="U93" s="3" t="str">
        <f t="shared" si="0"/>
        <v>Outstanding</v>
      </c>
      <c r="V93" s="15" t="s">
        <v>28</v>
      </c>
    </row>
    <row r="94" spans="1:22" ht="60" customHeight="1" x14ac:dyDescent="0.35">
      <c r="A94" s="13" t="s">
        <v>648</v>
      </c>
      <c r="B94" s="2" t="s">
        <v>879</v>
      </c>
      <c r="C94" s="1" t="s">
        <v>880</v>
      </c>
      <c r="D94" s="3" t="s">
        <v>25</v>
      </c>
      <c r="E94" s="3" t="s">
        <v>26</v>
      </c>
      <c r="F94" s="3" t="s">
        <v>27</v>
      </c>
      <c r="G94" s="3" t="s">
        <v>28</v>
      </c>
      <c r="H94" s="4" t="s">
        <v>28</v>
      </c>
      <c r="I94" s="4" t="s">
        <v>881</v>
      </c>
      <c r="J94" s="4"/>
      <c r="K94" s="5" t="s">
        <v>653</v>
      </c>
      <c r="L94" s="5" t="s">
        <v>882</v>
      </c>
      <c r="M94" s="4"/>
      <c r="N94" s="4"/>
      <c r="O94" s="4"/>
      <c r="P94" s="4"/>
      <c r="Q94" s="4"/>
      <c r="R94" s="4"/>
      <c r="S94" s="4"/>
      <c r="T94" s="6"/>
      <c r="U94" s="3" t="str">
        <f t="shared" si="0"/>
        <v>Outstanding</v>
      </c>
      <c r="V94" s="15" t="s">
        <v>28</v>
      </c>
    </row>
    <row r="95" spans="1:22" ht="60" customHeight="1" x14ac:dyDescent="0.35">
      <c r="A95" s="13" t="s">
        <v>648</v>
      </c>
      <c r="B95" s="2" t="s">
        <v>883</v>
      </c>
      <c r="C95" s="1" t="s">
        <v>884</v>
      </c>
      <c r="D95" s="3" t="s">
        <v>25</v>
      </c>
      <c r="E95" s="3" t="s">
        <v>26</v>
      </c>
      <c r="F95" s="3" t="s">
        <v>27</v>
      </c>
      <c r="G95" s="3" t="s">
        <v>28</v>
      </c>
      <c r="H95" s="4" t="s">
        <v>28</v>
      </c>
      <c r="I95" s="4" t="s">
        <v>885</v>
      </c>
      <c r="J95" s="4" t="s">
        <v>886</v>
      </c>
      <c r="K95" s="5" t="s">
        <v>653</v>
      </c>
      <c r="L95" s="5" t="s">
        <v>887</v>
      </c>
      <c r="M95" s="4" t="s">
        <v>888</v>
      </c>
      <c r="N95" s="4" t="s">
        <v>889</v>
      </c>
      <c r="O95" s="4" t="s">
        <v>890</v>
      </c>
      <c r="P95" s="4" t="s">
        <v>421</v>
      </c>
      <c r="Q95" s="4" t="s">
        <v>658</v>
      </c>
      <c r="R95" s="4" t="s">
        <v>659</v>
      </c>
      <c r="S95" s="4"/>
      <c r="T95" s="6" t="s">
        <v>555</v>
      </c>
      <c r="U95" s="3" t="str">
        <f t="shared" si="0"/>
        <v>Outstanding</v>
      </c>
      <c r="V95" s="15" t="s">
        <v>28</v>
      </c>
    </row>
    <row r="96" spans="1:22" ht="60" customHeight="1" x14ac:dyDescent="0.35">
      <c r="A96" s="13" t="s">
        <v>648</v>
      </c>
      <c r="B96" s="2" t="s">
        <v>891</v>
      </c>
      <c r="C96" s="1" t="s">
        <v>892</v>
      </c>
      <c r="D96" s="3" t="s">
        <v>25</v>
      </c>
      <c r="E96" s="3" t="s">
        <v>26</v>
      </c>
      <c r="F96" s="3" t="s">
        <v>27</v>
      </c>
      <c r="G96" s="3" t="s">
        <v>28</v>
      </c>
      <c r="H96" s="4" t="s">
        <v>28</v>
      </c>
      <c r="I96" s="4" t="s">
        <v>893</v>
      </c>
      <c r="J96" s="4" t="s">
        <v>894</v>
      </c>
      <c r="K96" s="5" t="s">
        <v>653</v>
      </c>
      <c r="L96" s="5" t="s">
        <v>895</v>
      </c>
      <c r="M96" s="4" t="s">
        <v>896</v>
      </c>
      <c r="N96" s="4" t="s">
        <v>897</v>
      </c>
      <c r="O96" s="4" t="s">
        <v>898</v>
      </c>
      <c r="P96" s="4" t="s">
        <v>421</v>
      </c>
      <c r="Q96" s="4" t="s">
        <v>658</v>
      </c>
      <c r="R96" s="4" t="s">
        <v>659</v>
      </c>
      <c r="S96" s="4"/>
      <c r="T96" s="6" t="s">
        <v>555</v>
      </c>
      <c r="U96" s="3" t="str">
        <f t="shared" si="0"/>
        <v>Outstanding</v>
      </c>
      <c r="V96" s="15" t="s">
        <v>28</v>
      </c>
    </row>
    <row r="97" spans="1:22" ht="60" customHeight="1" x14ac:dyDescent="0.35">
      <c r="A97" s="13" t="s">
        <v>635</v>
      </c>
      <c r="B97" s="2" t="s">
        <v>899</v>
      </c>
      <c r="C97" s="1" t="s">
        <v>900</v>
      </c>
      <c r="D97" s="3" t="s">
        <v>25</v>
      </c>
      <c r="E97" s="3" t="s">
        <v>26</v>
      </c>
      <c r="F97" s="3" t="s">
        <v>27</v>
      </c>
      <c r="G97" s="3" t="s">
        <v>28</v>
      </c>
      <c r="H97" s="4" t="s">
        <v>28</v>
      </c>
      <c r="I97" s="4" t="s">
        <v>901</v>
      </c>
      <c r="J97" s="4" t="s">
        <v>902</v>
      </c>
      <c r="K97" s="5" t="s">
        <v>640</v>
      </c>
      <c r="L97" s="5" t="s">
        <v>903</v>
      </c>
      <c r="M97" s="4" t="s">
        <v>904</v>
      </c>
      <c r="N97" s="4" t="s">
        <v>905</v>
      </c>
      <c r="O97" s="4" t="s">
        <v>906</v>
      </c>
      <c r="P97" s="4" t="s">
        <v>421</v>
      </c>
      <c r="Q97" s="4" t="s">
        <v>645</v>
      </c>
      <c r="R97" s="4" t="s">
        <v>567</v>
      </c>
      <c r="S97" s="4" t="s">
        <v>907</v>
      </c>
      <c r="T97" s="6" t="s">
        <v>555</v>
      </c>
      <c r="U97" s="3" t="str">
        <f t="shared" si="0"/>
        <v>Outstanding</v>
      </c>
      <c r="V97" s="15" t="s">
        <v>28</v>
      </c>
    </row>
    <row r="98" spans="1:22" ht="60" customHeight="1" x14ac:dyDescent="0.35">
      <c r="A98" s="13" t="s">
        <v>908</v>
      </c>
      <c r="B98" s="2" t="s">
        <v>909</v>
      </c>
      <c r="C98" s="1" t="s">
        <v>749</v>
      </c>
      <c r="D98" s="3" t="s">
        <v>25</v>
      </c>
      <c r="E98" s="3" t="s">
        <v>26</v>
      </c>
      <c r="F98" s="3" t="s">
        <v>27</v>
      </c>
      <c r="G98" s="3" t="s">
        <v>28</v>
      </c>
      <c r="H98" s="4" t="s">
        <v>28</v>
      </c>
      <c r="I98" s="4" t="s">
        <v>910</v>
      </c>
      <c r="J98" s="4" t="s">
        <v>911</v>
      </c>
      <c r="K98" s="5" t="s">
        <v>912</v>
      </c>
      <c r="L98" s="5" t="s">
        <v>913</v>
      </c>
      <c r="M98" s="4" t="s">
        <v>914</v>
      </c>
      <c r="N98" s="4" t="s">
        <v>915</v>
      </c>
      <c r="O98" s="4" t="s">
        <v>755</v>
      </c>
      <c r="P98" s="4" t="s">
        <v>421</v>
      </c>
      <c r="Q98" s="4" t="s">
        <v>916</v>
      </c>
      <c r="R98" s="4" t="s">
        <v>917</v>
      </c>
      <c r="S98" s="4"/>
      <c r="T98" s="6" t="s">
        <v>555</v>
      </c>
      <c r="U98" s="3" t="str">
        <f t="shared" si="0"/>
        <v>Outstanding</v>
      </c>
      <c r="V98" s="15" t="s">
        <v>28</v>
      </c>
    </row>
    <row r="99" spans="1:22" ht="60" customHeight="1" x14ac:dyDescent="0.35">
      <c r="A99" s="13" t="s">
        <v>908</v>
      </c>
      <c r="B99" s="2" t="s">
        <v>918</v>
      </c>
      <c r="C99" s="1" t="s">
        <v>792</v>
      </c>
      <c r="D99" s="3" t="s">
        <v>25</v>
      </c>
      <c r="E99" s="3" t="s">
        <v>26</v>
      </c>
      <c r="F99" s="3" t="s">
        <v>27</v>
      </c>
      <c r="G99" s="3" t="s">
        <v>28</v>
      </c>
      <c r="H99" s="4" t="s">
        <v>28</v>
      </c>
      <c r="I99" s="4" t="s">
        <v>919</v>
      </c>
      <c r="J99" s="4" t="s">
        <v>794</v>
      </c>
      <c r="K99" s="5" t="s">
        <v>912</v>
      </c>
      <c r="L99" s="5" t="s">
        <v>920</v>
      </c>
      <c r="M99" s="4" t="s">
        <v>921</v>
      </c>
      <c r="N99" s="4" t="s">
        <v>922</v>
      </c>
      <c r="O99" s="4" t="s">
        <v>798</v>
      </c>
      <c r="P99" s="4" t="s">
        <v>421</v>
      </c>
      <c r="Q99" s="4" t="s">
        <v>916</v>
      </c>
      <c r="R99" s="4" t="s">
        <v>917</v>
      </c>
      <c r="S99" s="4"/>
      <c r="T99" s="6" t="s">
        <v>555</v>
      </c>
      <c r="U99" s="3" t="str">
        <f t="shared" si="0"/>
        <v>Outstanding</v>
      </c>
      <c r="V99" s="15" t="s">
        <v>28</v>
      </c>
    </row>
    <row r="100" spans="1:22" ht="60" customHeight="1" x14ac:dyDescent="0.35">
      <c r="A100" s="13" t="s">
        <v>908</v>
      </c>
      <c r="B100" s="2" t="s">
        <v>923</v>
      </c>
      <c r="C100" s="1" t="s">
        <v>924</v>
      </c>
      <c r="D100" s="3" t="s">
        <v>25</v>
      </c>
      <c r="E100" s="3" t="s">
        <v>26</v>
      </c>
      <c r="F100" s="3" t="s">
        <v>27</v>
      </c>
      <c r="G100" s="3" t="s">
        <v>28</v>
      </c>
      <c r="H100" s="4" t="s">
        <v>28</v>
      </c>
      <c r="I100" s="4" t="s">
        <v>925</v>
      </c>
      <c r="J100" s="4" t="s">
        <v>926</v>
      </c>
      <c r="K100" s="5" t="s">
        <v>912</v>
      </c>
      <c r="L100" s="5" t="s">
        <v>927</v>
      </c>
      <c r="M100" s="4" t="s">
        <v>928</v>
      </c>
      <c r="N100" s="4" t="s">
        <v>929</v>
      </c>
      <c r="O100" s="4" t="s">
        <v>806</v>
      </c>
      <c r="P100" s="4" t="s">
        <v>421</v>
      </c>
      <c r="Q100" s="4" t="s">
        <v>916</v>
      </c>
      <c r="R100" s="4" t="s">
        <v>917</v>
      </c>
      <c r="S100" s="4"/>
      <c r="T100" s="6" t="s">
        <v>555</v>
      </c>
      <c r="U100" s="3" t="str">
        <f t="shared" si="0"/>
        <v>Outstanding</v>
      </c>
      <c r="V100" s="15" t="s">
        <v>28</v>
      </c>
    </row>
    <row r="101" spans="1:22" ht="60" customHeight="1" x14ac:dyDescent="0.35">
      <c r="A101" s="13" t="s">
        <v>930</v>
      </c>
      <c r="B101" s="2" t="s">
        <v>931</v>
      </c>
      <c r="C101" s="1" t="s">
        <v>749</v>
      </c>
      <c r="D101" s="3" t="s">
        <v>25</v>
      </c>
      <c r="E101" s="3" t="s">
        <v>26</v>
      </c>
      <c r="F101" s="3" t="s">
        <v>27</v>
      </c>
      <c r="G101" s="3" t="s">
        <v>28</v>
      </c>
      <c r="H101" s="4" t="s">
        <v>28</v>
      </c>
      <c r="I101" s="4" t="s">
        <v>932</v>
      </c>
      <c r="J101" s="4" t="s">
        <v>911</v>
      </c>
      <c r="K101" s="5" t="s">
        <v>933</v>
      </c>
      <c r="L101" s="5" t="s">
        <v>934</v>
      </c>
      <c r="M101" s="4" t="s">
        <v>935</v>
      </c>
      <c r="N101" s="4" t="s">
        <v>936</v>
      </c>
      <c r="O101" s="4" t="s">
        <v>755</v>
      </c>
      <c r="P101" s="4" t="s">
        <v>421</v>
      </c>
      <c r="Q101" s="4" t="s">
        <v>937</v>
      </c>
      <c r="R101" s="4" t="s">
        <v>938</v>
      </c>
      <c r="S101" s="4"/>
      <c r="T101" s="6" t="s">
        <v>555</v>
      </c>
      <c r="U101" s="3" t="str">
        <f t="shared" si="0"/>
        <v>Outstanding</v>
      </c>
      <c r="V101" s="15" t="s">
        <v>28</v>
      </c>
    </row>
    <row r="102" spans="1:22" ht="60" customHeight="1" x14ac:dyDescent="0.35">
      <c r="A102" s="13" t="s">
        <v>930</v>
      </c>
      <c r="B102" s="2" t="s">
        <v>939</v>
      </c>
      <c r="C102" s="1" t="s">
        <v>800</v>
      </c>
      <c r="D102" s="3" t="s">
        <v>25</v>
      </c>
      <c r="E102" s="3" t="s">
        <v>26</v>
      </c>
      <c r="F102" s="3" t="s">
        <v>27</v>
      </c>
      <c r="G102" s="3" t="s">
        <v>28</v>
      </c>
      <c r="H102" s="4" t="s">
        <v>28</v>
      </c>
      <c r="I102" s="4" t="s">
        <v>940</v>
      </c>
      <c r="J102" s="4" t="s">
        <v>926</v>
      </c>
      <c r="K102" s="5" t="s">
        <v>933</v>
      </c>
      <c r="L102" s="5" t="s">
        <v>941</v>
      </c>
      <c r="M102" s="4" t="s">
        <v>942</v>
      </c>
      <c r="N102" s="4" t="s">
        <v>943</v>
      </c>
      <c r="O102" s="4" t="s">
        <v>806</v>
      </c>
      <c r="P102" s="4" t="s">
        <v>421</v>
      </c>
      <c r="Q102" s="4" t="s">
        <v>937</v>
      </c>
      <c r="R102" s="4" t="s">
        <v>938</v>
      </c>
      <c r="S102" s="4"/>
      <c r="T102" s="6" t="s">
        <v>555</v>
      </c>
      <c r="U102" s="3" t="str">
        <f t="shared" si="0"/>
        <v>Outstanding</v>
      </c>
      <c r="V102" s="15" t="s">
        <v>28</v>
      </c>
    </row>
    <row r="103" spans="1:22" ht="60" customHeight="1" x14ac:dyDescent="0.35">
      <c r="A103" s="13" t="s">
        <v>944</v>
      </c>
      <c r="B103" s="2" t="s">
        <v>945</v>
      </c>
      <c r="C103" s="1" t="s">
        <v>872</v>
      </c>
      <c r="D103" s="3" t="s">
        <v>25</v>
      </c>
      <c r="E103" s="3" t="s">
        <v>26</v>
      </c>
      <c r="F103" s="3" t="s">
        <v>27</v>
      </c>
      <c r="G103" s="3" t="s">
        <v>28</v>
      </c>
      <c r="H103" s="4" t="s">
        <v>28</v>
      </c>
      <c r="I103" s="4" t="s">
        <v>946</v>
      </c>
      <c r="J103" s="4" t="s">
        <v>874</v>
      </c>
      <c r="K103" s="5" t="s">
        <v>947</v>
      </c>
      <c r="L103" s="5" t="s">
        <v>948</v>
      </c>
      <c r="M103" s="4" t="s">
        <v>949</v>
      </c>
      <c r="N103" s="4" t="s">
        <v>950</v>
      </c>
      <c r="O103" s="4" t="s">
        <v>878</v>
      </c>
      <c r="P103" s="4" t="s">
        <v>421</v>
      </c>
      <c r="Q103" s="4" t="s">
        <v>951</v>
      </c>
      <c r="R103" s="4" t="s">
        <v>952</v>
      </c>
      <c r="S103" s="4"/>
      <c r="T103" s="6" t="s">
        <v>555</v>
      </c>
      <c r="U103" s="3" t="str">
        <f t="shared" si="0"/>
        <v>Outstanding</v>
      </c>
      <c r="V103" s="15" t="s">
        <v>28</v>
      </c>
    </row>
    <row r="104" spans="1:22" ht="60" customHeight="1" x14ac:dyDescent="0.35">
      <c r="A104" s="13" t="s">
        <v>953</v>
      </c>
      <c r="B104" s="2" t="s">
        <v>954</v>
      </c>
      <c r="C104" s="1" t="s">
        <v>800</v>
      </c>
      <c r="D104" s="3" t="s">
        <v>25</v>
      </c>
      <c r="E104" s="3" t="s">
        <v>26</v>
      </c>
      <c r="F104" s="3" t="s">
        <v>27</v>
      </c>
      <c r="G104" s="3" t="s">
        <v>28</v>
      </c>
      <c r="H104" s="4" t="s">
        <v>28</v>
      </c>
      <c r="I104" s="4" t="s">
        <v>955</v>
      </c>
      <c r="J104" s="4" t="s">
        <v>956</v>
      </c>
      <c r="K104" s="5" t="s">
        <v>957</v>
      </c>
      <c r="L104" s="5" t="s">
        <v>958</v>
      </c>
      <c r="M104" s="4" t="s">
        <v>959</v>
      </c>
      <c r="N104" s="4" t="s">
        <v>960</v>
      </c>
      <c r="O104" s="4" t="s">
        <v>806</v>
      </c>
      <c r="P104" s="4" t="s">
        <v>421</v>
      </c>
      <c r="Q104" s="4" t="s">
        <v>961</v>
      </c>
      <c r="R104" s="4" t="s">
        <v>962</v>
      </c>
      <c r="S104" s="4"/>
      <c r="T104" s="6" t="s">
        <v>555</v>
      </c>
      <c r="U104" s="3" t="str">
        <f t="shared" si="0"/>
        <v>Outstanding</v>
      </c>
      <c r="V104" s="15" t="s">
        <v>28</v>
      </c>
    </row>
    <row r="105" spans="1:22" ht="60" customHeight="1" x14ac:dyDescent="0.35">
      <c r="A105" s="13" t="s">
        <v>963</v>
      </c>
      <c r="B105" s="2" t="s">
        <v>964</v>
      </c>
      <c r="C105" s="1" t="s">
        <v>800</v>
      </c>
      <c r="D105" s="3" t="s">
        <v>25</v>
      </c>
      <c r="E105" s="3" t="s">
        <v>26</v>
      </c>
      <c r="F105" s="3" t="s">
        <v>27</v>
      </c>
      <c r="G105" s="3" t="s">
        <v>28</v>
      </c>
      <c r="H105" s="4" t="s">
        <v>28</v>
      </c>
      <c r="I105" s="4" t="s">
        <v>965</v>
      </c>
      <c r="J105" s="4" t="s">
        <v>956</v>
      </c>
      <c r="K105" s="5" t="s">
        <v>966</v>
      </c>
      <c r="L105" s="5" t="s">
        <v>967</v>
      </c>
      <c r="M105" s="4" t="s">
        <v>968</v>
      </c>
      <c r="N105" s="4" t="s">
        <v>969</v>
      </c>
      <c r="O105" s="4" t="s">
        <v>806</v>
      </c>
      <c r="P105" s="4" t="s">
        <v>421</v>
      </c>
      <c r="Q105" s="4" t="s">
        <v>970</v>
      </c>
      <c r="R105" s="4" t="s">
        <v>971</v>
      </c>
      <c r="S105" s="4"/>
      <c r="T105" s="6" t="s">
        <v>555</v>
      </c>
      <c r="U105" s="3" t="str">
        <f t="shared" si="0"/>
        <v>Outstanding</v>
      </c>
      <c r="V105" s="15" t="s">
        <v>28</v>
      </c>
    </row>
    <row r="106" spans="1:22" ht="60" customHeight="1" x14ac:dyDescent="0.35">
      <c r="A106" s="13" t="s">
        <v>972</v>
      </c>
      <c r="B106" s="2" t="s">
        <v>973</v>
      </c>
      <c r="C106" s="1" t="s">
        <v>800</v>
      </c>
      <c r="D106" s="3" t="s">
        <v>25</v>
      </c>
      <c r="E106" s="3" t="s">
        <v>26</v>
      </c>
      <c r="F106" s="3" t="s">
        <v>27</v>
      </c>
      <c r="G106" s="3" t="s">
        <v>28</v>
      </c>
      <c r="H106" s="4" t="s">
        <v>28</v>
      </c>
      <c r="I106" s="4" t="s">
        <v>974</v>
      </c>
      <c r="J106" s="4" t="s">
        <v>956</v>
      </c>
      <c r="K106" s="5" t="s">
        <v>975</v>
      </c>
      <c r="L106" s="5" t="s">
        <v>967</v>
      </c>
      <c r="M106" s="4" t="s">
        <v>968</v>
      </c>
      <c r="N106" s="4" t="s">
        <v>969</v>
      </c>
      <c r="O106" s="4" t="s">
        <v>806</v>
      </c>
      <c r="P106" s="4" t="s">
        <v>421</v>
      </c>
      <c r="Q106" s="4" t="s">
        <v>970</v>
      </c>
      <c r="R106" s="4" t="s">
        <v>971</v>
      </c>
      <c r="S106" s="4"/>
      <c r="T106" s="6" t="s">
        <v>555</v>
      </c>
      <c r="U106" s="3" t="str">
        <f t="shared" si="0"/>
        <v>Outstanding</v>
      </c>
      <c r="V106" s="15" t="s">
        <v>28</v>
      </c>
    </row>
    <row r="107" spans="1:22" ht="60" customHeight="1" x14ac:dyDescent="0.35">
      <c r="A107" s="13" t="s">
        <v>972</v>
      </c>
      <c r="B107" s="2" t="s">
        <v>976</v>
      </c>
      <c r="C107" s="1" t="s">
        <v>872</v>
      </c>
      <c r="D107" s="3" t="s">
        <v>25</v>
      </c>
      <c r="E107" s="3" t="s">
        <v>26</v>
      </c>
      <c r="F107" s="3" t="s">
        <v>27</v>
      </c>
      <c r="G107" s="3" t="s">
        <v>28</v>
      </c>
      <c r="H107" s="4" t="s">
        <v>28</v>
      </c>
      <c r="I107" s="4" t="s">
        <v>977</v>
      </c>
      <c r="J107" s="4" t="s">
        <v>874</v>
      </c>
      <c r="K107" s="5" t="s">
        <v>975</v>
      </c>
      <c r="L107" s="5" t="s">
        <v>978</v>
      </c>
      <c r="M107" s="4" t="s">
        <v>979</v>
      </c>
      <c r="N107" s="4" t="s">
        <v>980</v>
      </c>
      <c r="O107" s="4" t="s">
        <v>878</v>
      </c>
      <c r="P107" s="4" t="s">
        <v>421</v>
      </c>
      <c r="Q107" s="4" t="s">
        <v>981</v>
      </c>
      <c r="R107" s="4" t="s">
        <v>982</v>
      </c>
      <c r="S107" s="4"/>
      <c r="T107" s="6" t="s">
        <v>555</v>
      </c>
      <c r="U107" s="3" t="str">
        <f t="shared" si="0"/>
        <v>Outstanding</v>
      </c>
      <c r="V107" s="15" t="s">
        <v>28</v>
      </c>
    </row>
    <row r="108" spans="1:22" ht="60" customHeight="1" x14ac:dyDescent="0.35">
      <c r="A108" s="13" t="s">
        <v>983</v>
      </c>
      <c r="B108" s="2" t="s">
        <v>984</v>
      </c>
      <c r="C108" s="1" t="s">
        <v>800</v>
      </c>
      <c r="D108" s="3" t="s">
        <v>25</v>
      </c>
      <c r="E108" s="3" t="s">
        <v>26</v>
      </c>
      <c r="F108" s="3" t="s">
        <v>27</v>
      </c>
      <c r="G108" s="3" t="s">
        <v>28</v>
      </c>
      <c r="H108" s="4" t="s">
        <v>28</v>
      </c>
      <c r="I108" s="4" t="s">
        <v>985</v>
      </c>
      <c r="J108" s="4" t="s">
        <v>956</v>
      </c>
      <c r="K108" s="5" t="s">
        <v>986</v>
      </c>
      <c r="L108" s="5" t="s">
        <v>987</v>
      </c>
      <c r="M108" s="4" t="s">
        <v>988</v>
      </c>
      <c r="N108" s="4" t="s">
        <v>989</v>
      </c>
      <c r="O108" s="4" t="s">
        <v>806</v>
      </c>
      <c r="P108" s="4" t="s">
        <v>421</v>
      </c>
      <c r="Q108" s="4" t="s">
        <v>990</v>
      </c>
      <c r="R108" s="4" t="s">
        <v>991</v>
      </c>
      <c r="S108" s="4"/>
      <c r="T108" s="6" t="s">
        <v>555</v>
      </c>
      <c r="U108" s="3" t="str">
        <f t="shared" si="0"/>
        <v>Outstanding</v>
      </c>
      <c r="V108" s="15" t="s">
        <v>28</v>
      </c>
    </row>
    <row r="109" spans="1:22" ht="60" customHeight="1" x14ac:dyDescent="0.35">
      <c r="A109" s="13" t="s">
        <v>992</v>
      </c>
      <c r="B109" s="2" t="s">
        <v>993</v>
      </c>
      <c r="C109" s="1" t="s">
        <v>650</v>
      </c>
      <c r="D109" s="3" t="s">
        <v>25</v>
      </c>
      <c r="E109" s="3" t="s">
        <v>26</v>
      </c>
      <c r="F109" s="3" t="s">
        <v>27</v>
      </c>
      <c r="G109" s="3" t="s">
        <v>28</v>
      </c>
      <c r="H109" s="4" t="s">
        <v>28</v>
      </c>
      <c r="I109" s="4" t="s">
        <v>994</v>
      </c>
      <c r="J109" s="4" t="s">
        <v>652</v>
      </c>
      <c r="K109" s="5" t="s">
        <v>995</v>
      </c>
      <c r="L109" s="5" t="s">
        <v>996</v>
      </c>
      <c r="M109" s="4" t="s">
        <v>997</v>
      </c>
      <c r="N109" s="4" t="s">
        <v>998</v>
      </c>
      <c r="O109" s="4" t="s">
        <v>657</v>
      </c>
      <c r="P109" s="4" t="s">
        <v>421</v>
      </c>
      <c r="Q109" s="4" t="s">
        <v>999</v>
      </c>
      <c r="R109" s="4" t="s">
        <v>1000</v>
      </c>
      <c r="S109" s="4"/>
      <c r="T109" s="6" t="s">
        <v>555</v>
      </c>
      <c r="U109" s="3" t="str">
        <f t="shared" si="0"/>
        <v>Outstanding</v>
      </c>
      <c r="V109" s="15" t="s">
        <v>28</v>
      </c>
    </row>
    <row r="110" spans="1:22" ht="60" customHeight="1" x14ac:dyDescent="0.35">
      <c r="A110" s="13" t="s">
        <v>992</v>
      </c>
      <c r="B110" s="2" t="s">
        <v>1001</v>
      </c>
      <c r="C110" s="1" t="s">
        <v>1002</v>
      </c>
      <c r="D110" s="3" t="s">
        <v>25</v>
      </c>
      <c r="E110" s="3" t="s">
        <v>26</v>
      </c>
      <c r="F110" s="3" t="s">
        <v>27</v>
      </c>
      <c r="G110" s="3" t="s">
        <v>28</v>
      </c>
      <c r="H110" s="4" t="s">
        <v>28</v>
      </c>
      <c r="I110" s="4" t="s">
        <v>1003</v>
      </c>
      <c r="J110" s="4" t="s">
        <v>1004</v>
      </c>
      <c r="K110" s="5" t="s">
        <v>995</v>
      </c>
      <c r="L110" s="5" t="s">
        <v>1005</v>
      </c>
      <c r="M110" s="4" t="s">
        <v>1006</v>
      </c>
      <c r="N110" s="4" t="s">
        <v>1007</v>
      </c>
      <c r="O110" s="4" t="s">
        <v>1008</v>
      </c>
      <c r="P110" s="4" t="s">
        <v>421</v>
      </c>
      <c r="Q110" s="4" t="s">
        <v>999</v>
      </c>
      <c r="R110" s="4" t="s">
        <v>1000</v>
      </c>
      <c r="S110" s="4"/>
      <c r="T110" s="6" t="s">
        <v>555</v>
      </c>
      <c r="U110" s="3" t="str">
        <f t="shared" si="0"/>
        <v>Outstanding</v>
      </c>
      <c r="V110" s="15" t="s">
        <v>28</v>
      </c>
    </row>
    <row r="111" spans="1:22" ht="60" customHeight="1" x14ac:dyDescent="0.35">
      <c r="A111" s="13" t="s">
        <v>992</v>
      </c>
      <c r="B111" s="2" t="s">
        <v>1009</v>
      </c>
      <c r="C111" s="1" t="s">
        <v>1010</v>
      </c>
      <c r="D111" s="3" t="s">
        <v>25</v>
      </c>
      <c r="E111" s="3" t="s">
        <v>26</v>
      </c>
      <c r="F111" s="3" t="s">
        <v>27</v>
      </c>
      <c r="G111" s="3" t="s">
        <v>28</v>
      </c>
      <c r="H111" s="4" t="s">
        <v>28</v>
      </c>
      <c r="I111" s="4" t="s">
        <v>1011</v>
      </c>
      <c r="J111" s="4" t="s">
        <v>1012</v>
      </c>
      <c r="K111" s="5" t="s">
        <v>995</v>
      </c>
      <c r="L111" s="5" t="s">
        <v>1013</v>
      </c>
      <c r="M111" s="4" t="s">
        <v>1014</v>
      </c>
      <c r="N111" s="4" t="s">
        <v>1015</v>
      </c>
      <c r="O111" s="4" t="s">
        <v>1016</v>
      </c>
      <c r="P111" s="4" t="s">
        <v>421</v>
      </c>
      <c r="Q111" s="4" t="s">
        <v>999</v>
      </c>
      <c r="R111" s="4" t="s">
        <v>1000</v>
      </c>
      <c r="S111" s="4"/>
      <c r="T111" s="6" t="s">
        <v>555</v>
      </c>
      <c r="U111" s="3" t="str">
        <f t="shared" si="0"/>
        <v>Outstanding</v>
      </c>
      <c r="V111" s="15" t="s">
        <v>28</v>
      </c>
    </row>
    <row r="112" spans="1:22" ht="60" customHeight="1" x14ac:dyDescent="0.35">
      <c r="A112" s="13" t="s">
        <v>992</v>
      </c>
      <c r="B112" s="2" t="s">
        <v>1017</v>
      </c>
      <c r="C112" s="1" t="s">
        <v>661</v>
      </c>
      <c r="D112" s="3" t="s">
        <v>25</v>
      </c>
      <c r="E112" s="3" t="s">
        <v>26</v>
      </c>
      <c r="F112" s="3" t="s">
        <v>27</v>
      </c>
      <c r="G112" s="3" t="s">
        <v>28</v>
      </c>
      <c r="H112" s="4" t="s">
        <v>28</v>
      </c>
      <c r="I112" s="4" t="s">
        <v>1018</v>
      </c>
      <c r="J112" s="4" t="s">
        <v>1019</v>
      </c>
      <c r="K112" s="5" t="s">
        <v>995</v>
      </c>
      <c r="L112" s="5" t="s">
        <v>1020</v>
      </c>
      <c r="M112" s="4" t="s">
        <v>1021</v>
      </c>
      <c r="N112" s="4" t="s">
        <v>1022</v>
      </c>
      <c r="O112" s="4" t="s">
        <v>667</v>
      </c>
      <c r="P112" s="4" t="s">
        <v>421</v>
      </c>
      <c r="Q112" s="4" t="s">
        <v>999</v>
      </c>
      <c r="R112" s="4" t="s">
        <v>1000</v>
      </c>
      <c r="S112" s="4"/>
      <c r="T112" s="6" t="s">
        <v>555</v>
      </c>
      <c r="U112" s="3" t="str">
        <f t="shared" si="0"/>
        <v>Outstanding</v>
      </c>
      <c r="V112" s="15" t="s">
        <v>28</v>
      </c>
    </row>
    <row r="113" spans="1:22" ht="60" customHeight="1" x14ac:dyDescent="0.35">
      <c r="A113" s="13" t="s">
        <v>992</v>
      </c>
      <c r="B113" s="2" t="s">
        <v>1023</v>
      </c>
      <c r="C113" s="1" t="s">
        <v>669</v>
      </c>
      <c r="D113" s="3" t="s">
        <v>25</v>
      </c>
      <c r="E113" s="3" t="s">
        <v>26</v>
      </c>
      <c r="F113" s="3" t="s">
        <v>27</v>
      </c>
      <c r="G113" s="3" t="s">
        <v>28</v>
      </c>
      <c r="H113" s="4" t="s">
        <v>28</v>
      </c>
      <c r="I113" s="4" t="s">
        <v>1024</v>
      </c>
      <c r="J113" s="4" t="s">
        <v>1025</v>
      </c>
      <c r="K113" s="5" t="s">
        <v>995</v>
      </c>
      <c r="L113" s="5" t="s">
        <v>1026</v>
      </c>
      <c r="M113" s="4" t="s">
        <v>1027</v>
      </c>
      <c r="N113" s="4" t="s">
        <v>1028</v>
      </c>
      <c r="O113" s="4" t="s">
        <v>675</v>
      </c>
      <c r="P113" s="4" t="s">
        <v>421</v>
      </c>
      <c r="Q113" s="4" t="s">
        <v>999</v>
      </c>
      <c r="R113" s="4" t="s">
        <v>1000</v>
      </c>
      <c r="S113" s="4"/>
      <c r="T113" s="6" t="s">
        <v>555</v>
      </c>
      <c r="U113" s="3" t="str">
        <f t="shared" si="0"/>
        <v>Outstanding</v>
      </c>
      <c r="V113" s="15" t="s">
        <v>28</v>
      </c>
    </row>
    <row r="114" spans="1:22" ht="60" customHeight="1" x14ac:dyDescent="0.35">
      <c r="A114" s="13" t="s">
        <v>992</v>
      </c>
      <c r="B114" s="2" t="s">
        <v>1029</v>
      </c>
      <c r="C114" s="1" t="s">
        <v>1030</v>
      </c>
      <c r="D114" s="3" t="s">
        <v>25</v>
      </c>
      <c r="E114" s="3" t="s">
        <v>26</v>
      </c>
      <c r="F114" s="3" t="s">
        <v>27</v>
      </c>
      <c r="G114" s="3" t="s">
        <v>28</v>
      </c>
      <c r="H114" s="4" t="s">
        <v>28</v>
      </c>
      <c r="I114" s="4" t="s">
        <v>1031</v>
      </c>
      <c r="J114" s="4" t="s">
        <v>1032</v>
      </c>
      <c r="K114" s="5" t="s">
        <v>995</v>
      </c>
      <c r="L114" s="5" t="s">
        <v>1033</v>
      </c>
      <c r="M114" s="4" t="s">
        <v>1034</v>
      </c>
      <c r="N114" s="4" t="s">
        <v>1035</v>
      </c>
      <c r="O114" s="4" t="s">
        <v>1036</v>
      </c>
      <c r="P114" s="4" t="s">
        <v>421</v>
      </c>
      <c r="Q114" s="4" t="s">
        <v>999</v>
      </c>
      <c r="R114" s="4" t="s">
        <v>1000</v>
      </c>
      <c r="S114" s="4"/>
      <c r="T114" s="6" t="s">
        <v>555</v>
      </c>
      <c r="U114" s="3" t="str">
        <f t="shared" si="0"/>
        <v>Outstanding</v>
      </c>
      <c r="V114" s="15" t="s">
        <v>28</v>
      </c>
    </row>
    <row r="115" spans="1:22" ht="60" customHeight="1" x14ac:dyDescent="0.35">
      <c r="A115" s="13" t="s">
        <v>992</v>
      </c>
      <c r="B115" s="2" t="s">
        <v>1037</v>
      </c>
      <c r="C115" s="1" t="s">
        <v>677</v>
      </c>
      <c r="D115" s="3" t="s">
        <v>25</v>
      </c>
      <c r="E115" s="3" t="s">
        <v>26</v>
      </c>
      <c r="F115" s="3" t="s">
        <v>27</v>
      </c>
      <c r="G115" s="3" t="s">
        <v>28</v>
      </c>
      <c r="H115" s="4" t="s">
        <v>28</v>
      </c>
      <c r="I115" s="4" t="s">
        <v>1038</v>
      </c>
      <c r="J115" s="4" t="s">
        <v>679</v>
      </c>
      <c r="K115" s="5" t="s">
        <v>995</v>
      </c>
      <c r="L115" s="5" t="s">
        <v>1039</v>
      </c>
      <c r="M115" s="4" t="s">
        <v>1040</v>
      </c>
      <c r="N115" s="4" t="s">
        <v>1041</v>
      </c>
      <c r="O115" s="4" t="s">
        <v>683</v>
      </c>
      <c r="P115" s="4" t="s">
        <v>421</v>
      </c>
      <c r="Q115" s="4" t="s">
        <v>999</v>
      </c>
      <c r="R115" s="4" t="s">
        <v>1000</v>
      </c>
      <c r="S115" s="4"/>
      <c r="T115" s="6" t="s">
        <v>555</v>
      </c>
      <c r="U115" s="3" t="str">
        <f t="shared" si="0"/>
        <v>Outstanding</v>
      </c>
      <c r="V115" s="15" t="s">
        <v>28</v>
      </c>
    </row>
    <row r="116" spans="1:22" ht="60" customHeight="1" x14ac:dyDescent="0.35">
      <c r="A116" s="13" t="s">
        <v>992</v>
      </c>
      <c r="B116" s="2" t="s">
        <v>1042</v>
      </c>
      <c r="C116" s="1" t="s">
        <v>1043</v>
      </c>
      <c r="D116" s="3" t="s">
        <v>25</v>
      </c>
      <c r="E116" s="3" t="s">
        <v>26</v>
      </c>
      <c r="F116" s="3" t="s">
        <v>27</v>
      </c>
      <c r="G116" s="3" t="s">
        <v>28</v>
      </c>
      <c r="H116" s="4" t="s">
        <v>28</v>
      </c>
      <c r="I116" s="4" t="s">
        <v>1044</v>
      </c>
      <c r="J116" s="4" t="s">
        <v>1045</v>
      </c>
      <c r="K116" s="5" t="s">
        <v>995</v>
      </c>
      <c r="L116" s="5" t="s">
        <v>1046</v>
      </c>
      <c r="M116" s="4" t="s">
        <v>1047</v>
      </c>
      <c r="N116" s="4" t="s">
        <v>1048</v>
      </c>
      <c r="O116" s="4" t="s">
        <v>1049</v>
      </c>
      <c r="P116" s="4" t="s">
        <v>421</v>
      </c>
      <c r="Q116" s="4" t="s">
        <v>999</v>
      </c>
      <c r="R116" s="4" t="s">
        <v>1000</v>
      </c>
      <c r="S116" s="4"/>
      <c r="T116" s="6" t="s">
        <v>555</v>
      </c>
      <c r="U116" s="3" t="str">
        <f t="shared" si="0"/>
        <v>Outstanding</v>
      </c>
      <c r="V116" s="15" t="s">
        <v>28</v>
      </c>
    </row>
    <row r="117" spans="1:22" ht="60" customHeight="1" x14ac:dyDescent="0.35">
      <c r="A117" s="13" t="s">
        <v>992</v>
      </c>
      <c r="B117" s="2" t="s">
        <v>1050</v>
      </c>
      <c r="C117" s="1" t="s">
        <v>685</v>
      </c>
      <c r="D117" s="3" t="s">
        <v>25</v>
      </c>
      <c r="E117" s="3" t="s">
        <v>26</v>
      </c>
      <c r="F117" s="3" t="s">
        <v>27</v>
      </c>
      <c r="G117" s="3" t="s">
        <v>28</v>
      </c>
      <c r="H117" s="4" t="s">
        <v>28</v>
      </c>
      <c r="I117" s="4" t="s">
        <v>1051</v>
      </c>
      <c r="J117" s="4" t="s">
        <v>687</v>
      </c>
      <c r="K117" s="5" t="s">
        <v>995</v>
      </c>
      <c r="L117" s="5" t="s">
        <v>1052</v>
      </c>
      <c r="M117" s="4" t="s">
        <v>1053</v>
      </c>
      <c r="N117" s="4" t="s">
        <v>1054</v>
      </c>
      <c r="O117" s="4" t="s">
        <v>691</v>
      </c>
      <c r="P117" s="4" t="s">
        <v>421</v>
      </c>
      <c r="Q117" s="4" t="s">
        <v>999</v>
      </c>
      <c r="R117" s="4" t="s">
        <v>1000</v>
      </c>
      <c r="S117" s="4"/>
      <c r="T117" s="6" t="s">
        <v>555</v>
      </c>
      <c r="U117" s="3" t="str">
        <f t="shared" si="0"/>
        <v>Outstanding</v>
      </c>
      <c r="V117" s="15" t="s">
        <v>28</v>
      </c>
    </row>
    <row r="118" spans="1:22" ht="60" customHeight="1" x14ac:dyDescent="0.35">
      <c r="A118" s="13" t="s">
        <v>992</v>
      </c>
      <c r="B118" s="2" t="s">
        <v>1055</v>
      </c>
      <c r="C118" s="1" t="s">
        <v>693</v>
      </c>
      <c r="D118" s="3" t="s">
        <v>25</v>
      </c>
      <c r="E118" s="3" t="s">
        <v>26</v>
      </c>
      <c r="F118" s="3" t="s">
        <v>27</v>
      </c>
      <c r="G118" s="3" t="s">
        <v>28</v>
      </c>
      <c r="H118" s="4" t="s">
        <v>28</v>
      </c>
      <c r="I118" s="4" t="s">
        <v>1056</v>
      </c>
      <c r="J118" s="4" t="s">
        <v>695</v>
      </c>
      <c r="K118" s="5" t="s">
        <v>995</v>
      </c>
      <c r="L118" s="5" t="s">
        <v>1057</v>
      </c>
      <c r="M118" s="4" t="s">
        <v>1058</v>
      </c>
      <c r="N118" s="4" t="s">
        <v>1059</v>
      </c>
      <c r="O118" s="4" t="s">
        <v>699</v>
      </c>
      <c r="P118" s="4" t="s">
        <v>421</v>
      </c>
      <c r="Q118" s="4" t="s">
        <v>999</v>
      </c>
      <c r="R118" s="4" t="s">
        <v>1000</v>
      </c>
      <c r="S118" s="4"/>
      <c r="T118" s="6" t="s">
        <v>555</v>
      </c>
      <c r="U118" s="3" t="str">
        <f t="shared" si="0"/>
        <v>Outstanding</v>
      </c>
      <c r="V118" s="15" t="s">
        <v>28</v>
      </c>
    </row>
    <row r="119" spans="1:22" ht="60" customHeight="1" x14ac:dyDescent="0.35">
      <c r="A119" s="13" t="s">
        <v>992</v>
      </c>
      <c r="B119" s="2" t="s">
        <v>1060</v>
      </c>
      <c r="C119" s="1" t="s">
        <v>701</v>
      </c>
      <c r="D119" s="3" t="s">
        <v>25</v>
      </c>
      <c r="E119" s="3" t="s">
        <v>26</v>
      </c>
      <c r="F119" s="3" t="s">
        <v>27</v>
      </c>
      <c r="G119" s="3" t="s">
        <v>28</v>
      </c>
      <c r="H119" s="4" t="s">
        <v>28</v>
      </c>
      <c r="I119" s="4" t="s">
        <v>1061</v>
      </c>
      <c r="J119" s="4" t="s">
        <v>703</v>
      </c>
      <c r="K119" s="5" t="s">
        <v>995</v>
      </c>
      <c r="L119" s="5" t="s">
        <v>1062</v>
      </c>
      <c r="M119" s="4" t="s">
        <v>1063</v>
      </c>
      <c r="N119" s="4" t="s">
        <v>1064</v>
      </c>
      <c r="O119" s="4" t="s">
        <v>707</v>
      </c>
      <c r="P119" s="4" t="s">
        <v>421</v>
      </c>
      <c r="Q119" s="4" t="s">
        <v>999</v>
      </c>
      <c r="R119" s="4" t="s">
        <v>1000</v>
      </c>
      <c r="S119" s="4"/>
      <c r="T119" s="6" t="s">
        <v>555</v>
      </c>
      <c r="U119" s="3" t="str">
        <f t="shared" si="0"/>
        <v>Outstanding</v>
      </c>
      <c r="V119" s="15" t="s">
        <v>28</v>
      </c>
    </row>
    <row r="120" spans="1:22" ht="60" customHeight="1" x14ac:dyDescent="0.35">
      <c r="A120" s="13" t="s">
        <v>992</v>
      </c>
      <c r="B120" s="2" t="s">
        <v>1065</v>
      </c>
      <c r="C120" s="1" t="s">
        <v>709</v>
      </c>
      <c r="D120" s="3" t="s">
        <v>25</v>
      </c>
      <c r="E120" s="3" t="s">
        <v>26</v>
      </c>
      <c r="F120" s="3" t="s">
        <v>27</v>
      </c>
      <c r="G120" s="3" t="s">
        <v>28</v>
      </c>
      <c r="H120" s="4" t="s">
        <v>28</v>
      </c>
      <c r="I120" s="4" t="s">
        <v>1066</v>
      </c>
      <c r="J120" s="4" t="s">
        <v>711</v>
      </c>
      <c r="K120" s="5" t="s">
        <v>995</v>
      </c>
      <c r="L120" s="5" t="s">
        <v>1067</v>
      </c>
      <c r="M120" s="4" t="s">
        <v>1068</v>
      </c>
      <c r="N120" s="4" t="s">
        <v>1069</v>
      </c>
      <c r="O120" s="4" t="s">
        <v>715</v>
      </c>
      <c r="P120" s="4" t="s">
        <v>421</v>
      </c>
      <c r="Q120" s="4" t="s">
        <v>999</v>
      </c>
      <c r="R120" s="4" t="s">
        <v>1000</v>
      </c>
      <c r="S120" s="4"/>
      <c r="T120" s="6" t="s">
        <v>555</v>
      </c>
      <c r="U120" s="3" t="str">
        <f t="shared" si="0"/>
        <v>Outstanding</v>
      </c>
      <c r="V120" s="15" t="s">
        <v>28</v>
      </c>
    </row>
    <row r="121" spans="1:22" ht="60" customHeight="1" x14ac:dyDescent="0.35">
      <c r="A121" s="13" t="s">
        <v>992</v>
      </c>
      <c r="B121" s="2" t="s">
        <v>1070</v>
      </c>
      <c r="C121" s="1" t="s">
        <v>717</v>
      </c>
      <c r="D121" s="3" t="s">
        <v>25</v>
      </c>
      <c r="E121" s="3" t="s">
        <v>26</v>
      </c>
      <c r="F121" s="3" t="s">
        <v>27</v>
      </c>
      <c r="G121" s="3" t="s">
        <v>28</v>
      </c>
      <c r="H121" s="4" t="s">
        <v>28</v>
      </c>
      <c r="I121" s="4" t="s">
        <v>1071</v>
      </c>
      <c r="J121" s="4" t="s">
        <v>719</v>
      </c>
      <c r="K121" s="5" t="s">
        <v>995</v>
      </c>
      <c r="L121" s="5" t="s">
        <v>1072</v>
      </c>
      <c r="M121" s="4" t="s">
        <v>1073</v>
      </c>
      <c r="N121" s="4" t="s">
        <v>1074</v>
      </c>
      <c r="O121" s="4" t="s">
        <v>723</v>
      </c>
      <c r="P121" s="4" t="s">
        <v>421</v>
      </c>
      <c r="Q121" s="4" t="s">
        <v>999</v>
      </c>
      <c r="R121" s="4" t="s">
        <v>1000</v>
      </c>
      <c r="S121" s="4"/>
      <c r="T121" s="6" t="s">
        <v>555</v>
      </c>
      <c r="U121" s="3" t="str">
        <f t="shared" si="0"/>
        <v>Outstanding</v>
      </c>
      <c r="V121" s="15" t="s">
        <v>28</v>
      </c>
    </row>
    <row r="122" spans="1:22" ht="60" customHeight="1" x14ac:dyDescent="0.35">
      <c r="A122" s="13" t="s">
        <v>992</v>
      </c>
      <c r="B122" s="2" t="s">
        <v>1075</v>
      </c>
      <c r="C122" s="1" t="s">
        <v>725</v>
      </c>
      <c r="D122" s="3" t="s">
        <v>25</v>
      </c>
      <c r="E122" s="3" t="s">
        <v>26</v>
      </c>
      <c r="F122" s="3" t="s">
        <v>27</v>
      </c>
      <c r="G122" s="3" t="s">
        <v>28</v>
      </c>
      <c r="H122" s="4" t="s">
        <v>28</v>
      </c>
      <c r="I122" s="4" t="s">
        <v>1076</v>
      </c>
      <c r="J122" s="4" t="s">
        <v>727</v>
      </c>
      <c r="K122" s="5" t="s">
        <v>995</v>
      </c>
      <c r="L122" s="5" t="s">
        <v>1077</v>
      </c>
      <c r="M122" s="4" t="s">
        <v>1078</v>
      </c>
      <c r="N122" s="4" t="s">
        <v>1079</v>
      </c>
      <c r="O122" s="4" t="s">
        <v>731</v>
      </c>
      <c r="P122" s="4" t="s">
        <v>421</v>
      </c>
      <c r="Q122" s="4" t="s">
        <v>999</v>
      </c>
      <c r="R122" s="4" t="s">
        <v>1000</v>
      </c>
      <c r="S122" s="4"/>
      <c r="T122" s="6" t="s">
        <v>555</v>
      </c>
      <c r="U122" s="3" t="str">
        <f t="shared" si="0"/>
        <v>Outstanding</v>
      </c>
      <c r="V122" s="15" t="s">
        <v>28</v>
      </c>
    </row>
    <row r="123" spans="1:22" ht="60" customHeight="1" x14ac:dyDescent="0.35">
      <c r="A123" s="13" t="s">
        <v>992</v>
      </c>
      <c r="B123" s="2" t="s">
        <v>1080</v>
      </c>
      <c r="C123" s="1" t="s">
        <v>733</v>
      </c>
      <c r="D123" s="3" t="s">
        <v>25</v>
      </c>
      <c r="E123" s="3" t="s">
        <v>26</v>
      </c>
      <c r="F123" s="3" t="s">
        <v>27</v>
      </c>
      <c r="G123" s="3" t="s">
        <v>28</v>
      </c>
      <c r="H123" s="4" t="s">
        <v>28</v>
      </c>
      <c r="I123" s="4" t="s">
        <v>1081</v>
      </c>
      <c r="J123" s="4" t="s">
        <v>735</v>
      </c>
      <c r="K123" s="5" t="s">
        <v>995</v>
      </c>
      <c r="L123" s="5" t="s">
        <v>1082</v>
      </c>
      <c r="M123" s="4" t="s">
        <v>1083</v>
      </c>
      <c r="N123" s="4" t="s">
        <v>1084</v>
      </c>
      <c r="O123" s="4" t="s">
        <v>739</v>
      </c>
      <c r="P123" s="4" t="s">
        <v>421</v>
      </c>
      <c r="Q123" s="4" t="s">
        <v>999</v>
      </c>
      <c r="R123" s="4" t="s">
        <v>1000</v>
      </c>
      <c r="S123" s="4"/>
      <c r="T123" s="6" t="s">
        <v>555</v>
      </c>
      <c r="U123" s="3" t="str">
        <f t="shared" si="0"/>
        <v>Outstanding</v>
      </c>
      <c r="V123" s="15" t="s">
        <v>28</v>
      </c>
    </row>
    <row r="124" spans="1:22" ht="60" customHeight="1" x14ac:dyDescent="0.35">
      <c r="A124" s="13" t="s">
        <v>992</v>
      </c>
      <c r="B124" s="2" t="s">
        <v>1085</v>
      </c>
      <c r="C124" s="1" t="s">
        <v>741</v>
      </c>
      <c r="D124" s="3" t="s">
        <v>25</v>
      </c>
      <c r="E124" s="3" t="s">
        <v>26</v>
      </c>
      <c r="F124" s="3" t="s">
        <v>27</v>
      </c>
      <c r="G124" s="3" t="s">
        <v>28</v>
      </c>
      <c r="H124" s="4" t="s">
        <v>28</v>
      </c>
      <c r="I124" s="4" t="s">
        <v>1086</v>
      </c>
      <c r="J124" s="4" t="s">
        <v>743</v>
      </c>
      <c r="K124" s="5" t="s">
        <v>995</v>
      </c>
      <c r="L124" s="5" t="s">
        <v>1087</v>
      </c>
      <c r="M124" s="4" t="s">
        <v>1088</v>
      </c>
      <c r="N124" s="4" t="s">
        <v>1089</v>
      </c>
      <c r="O124" s="4" t="s">
        <v>747</v>
      </c>
      <c r="P124" s="4" t="s">
        <v>421</v>
      </c>
      <c r="Q124" s="4" t="s">
        <v>999</v>
      </c>
      <c r="R124" s="4" t="s">
        <v>1000</v>
      </c>
      <c r="S124" s="4"/>
      <c r="T124" s="6" t="s">
        <v>555</v>
      </c>
      <c r="U124" s="3" t="str">
        <f t="shared" si="0"/>
        <v>Outstanding</v>
      </c>
      <c r="V124" s="15" t="s">
        <v>28</v>
      </c>
    </row>
    <row r="125" spans="1:22" ht="60" customHeight="1" x14ac:dyDescent="0.35">
      <c r="A125" s="13" t="s">
        <v>992</v>
      </c>
      <c r="B125" s="2" t="s">
        <v>1090</v>
      </c>
      <c r="C125" s="1" t="s">
        <v>749</v>
      </c>
      <c r="D125" s="3" t="s">
        <v>25</v>
      </c>
      <c r="E125" s="3" t="s">
        <v>26</v>
      </c>
      <c r="F125" s="3" t="s">
        <v>27</v>
      </c>
      <c r="G125" s="3" t="s">
        <v>28</v>
      </c>
      <c r="H125" s="4" t="s">
        <v>28</v>
      </c>
      <c r="I125" s="4" t="s">
        <v>1091</v>
      </c>
      <c r="J125" s="4" t="s">
        <v>751</v>
      </c>
      <c r="K125" s="5" t="s">
        <v>995</v>
      </c>
      <c r="L125" s="5" t="s">
        <v>1092</v>
      </c>
      <c r="M125" s="4" t="s">
        <v>1093</v>
      </c>
      <c r="N125" s="4" t="s">
        <v>1094</v>
      </c>
      <c r="O125" s="4" t="s">
        <v>755</v>
      </c>
      <c r="P125" s="4" t="s">
        <v>421</v>
      </c>
      <c r="Q125" s="4" t="s">
        <v>999</v>
      </c>
      <c r="R125" s="4" t="s">
        <v>1000</v>
      </c>
      <c r="S125" s="4"/>
      <c r="T125" s="6" t="s">
        <v>555</v>
      </c>
      <c r="U125" s="3" t="str">
        <f t="shared" si="0"/>
        <v>Outstanding</v>
      </c>
      <c r="V125" s="15" t="s">
        <v>28</v>
      </c>
    </row>
    <row r="126" spans="1:22" ht="60" customHeight="1" x14ac:dyDescent="0.35">
      <c r="A126" s="13" t="s">
        <v>992</v>
      </c>
      <c r="B126" s="2" t="s">
        <v>1095</v>
      </c>
      <c r="C126" s="1" t="s">
        <v>757</v>
      </c>
      <c r="D126" s="3" t="s">
        <v>25</v>
      </c>
      <c r="E126" s="3" t="s">
        <v>26</v>
      </c>
      <c r="F126" s="3" t="s">
        <v>27</v>
      </c>
      <c r="G126" s="3" t="s">
        <v>28</v>
      </c>
      <c r="H126" s="4" t="s">
        <v>28</v>
      </c>
      <c r="I126" s="4" t="s">
        <v>1096</v>
      </c>
      <c r="J126" s="4" t="s">
        <v>1097</v>
      </c>
      <c r="K126" s="5" t="s">
        <v>995</v>
      </c>
      <c r="L126" s="5" t="s">
        <v>1098</v>
      </c>
      <c r="M126" s="4" t="s">
        <v>1099</v>
      </c>
      <c r="N126" s="4" t="s">
        <v>1100</v>
      </c>
      <c r="O126" s="4" t="s">
        <v>763</v>
      </c>
      <c r="P126" s="4" t="s">
        <v>421</v>
      </c>
      <c r="Q126" s="4" t="s">
        <v>999</v>
      </c>
      <c r="R126" s="4" t="s">
        <v>1000</v>
      </c>
      <c r="S126" s="4"/>
      <c r="T126" s="6" t="s">
        <v>555</v>
      </c>
      <c r="U126" s="3" t="str">
        <f t="shared" si="0"/>
        <v>Outstanding</v>
      </c>
      <c r="V126" s="15" t="s">
        <v>28</v>
      </c>
    </row>
    <row r="127" spans="1:22" ht="60" customHeight="1" x14ac:dyDescent="0.35">
      <c r="A127" s="13" t="s">
        <v>992</v>
      </c>
      <c r="B127" s="2" t="s">
        <v>1101</v>
      </c>
      <c r="C127" s="1" t="s">
        <v>765</v>
      </c>
      <c r="D127" s="3" t="s">
        <v>25</v>
      </c>
      <c r="E127" s="3" t="s">
        <v>26</v>
      </c>
      <c r="F127" s="3" t="s">
        <v>27</v>
      </c>
      <c r="G127" s="3" t="s">
        <v>28</v>
      </c>
      <c r="H127" s="4" t="s">
        <v>28</v>
      </c>
      <c r="I127" s="4" t="s">
        <v>1102</v>
      </c>
      <c r="J127" s="4" t="s">
        <v>767</v>
      </c>
      <c r="K127" s="5" t="s">
        <v>995</v>
      </c>
      <c r="L127" s="5" t="s">
        <v>1103</v>
      </c>
      <c r="M127" s="4" t="s">
        <v>1104</v>
      </c>
      <c r="N127" s="4" t="s">
        <v>1105</v>
      </c>
      <c r="O127" s="4" t="s">
        <v>771</v>
      </c>
      <c r="P127" s="4" t="s">
        <v>421</v>
      </c>
      <c r="Q127" s="4" t="s">
        <v>999</v>
      </c>
      <c r="R127" s="4" t="s">
        <v>1000</v>
      </c>
      <c r="S127" s="4"/>
      <c r="T127" s="6" t="s">
        <v>555</v>
      </c>
      <c r="U127" s="3" t="str">
        <f t="shared" si="0"/>
        <v>Outstanding</v>
      </c>
      <c r="V127" s="15" t="s">
        <v>28</v>
      </c>
    </row>
    <row r="128" spans="1:22" ht="60" customHeight="1" x14ac:dyDescent="0.35">
      <c r="A128" s="13" t="s">
        <v>992</v>
      </c>
      <c r="B128" s="2" t="s">
        <v>1106</v>
      </c>
      <c r="C128" s="1" t="s">
        <v>773</v>
      </c>
      <c r="D128" s="3" t="s">
        <v>25</v>
      </c>
      <c r="E128" s="3" t="s">
        <v>26</v>
      </c>
      <c r="F128" s="3" t="s">
        <v>27</v>
      </c>
      <c r="G128" s="3" t="s">
        <v>28</v>
      </c>
      <c r="H128" s="4" t="s">
        <v>28</v>
      </c>
      <c r="I128" s="4" t="s">
        <v>1107</v>
      </c>
      <c r="J128" s="4" t="s">
        <v>775</v>
      </c>
      <c r="K128" s="5" t="s">
        <v>995</v>
      </c>
      <c r="L128" s="5" t="s">
        <v>1108</v>
      </c>
      <c r="M128" s="4" t="s">
        <v>1109</v>
      </c>
      <c r="N128" s="4" t="s">
        <v>1110</v>
      </c>
      <c r="O128" s="4" t="s">
        <v>779</v>
      </c>
      <c r="P128" s="4" t="s">
        <v>421</v>
      </c>
      <c r="Q128" s="4" t="s">
        <v>999</v>
      </c>
      <c r="R128" s="4" t="s">
        <v>1000</v>
      </c>
      <c r="S128" s="4"/>
      <c r="T128" s="6" t="s">
        <v>555</v>
      </c>
      <c r="U128" s="3" t="str">
        <f t="shared" si="0"/>
        <v>Outstanding</v>
      </c>
      <c r="V128" s="15" t="s">
        <v>28</v>
      </c>
    </row>
    <row r="129" spans="1:22" ht="60" customHeight="1" x14ac:dyDescent="0.35">
      <c r="A129" s="13" t="s">
        <v>992</v>
      </c>
      <c r="B129" s="2" t="s">
        <v>1111</v>
      </c>
      <c r="C129" s="1" t="s">
        <v>781</v>
      </c>
      <c r="D129" s="3" t="s">
        <v>25</v>
      </c>
      <c r="E129" s="3" t="s">
        <v>26</v>
      </c>
      <c r="F129" s="3" t="s">
        <v>27</v>
      </c>
      <c r="G129" s="3" t="s">
        <v>28</v>
      </c>
      <c r="H129" s="4" t="s">
        <v>28</v>
      </c>
      <c r="I129" s="4" t="s">
        <v>1112</v>
      </c>
      <c r="J129" s="4" t="s">
        <v>1113</v>
      </c>
      <c r="K129" s="5" t="s">
        <v>995</v>
      </c>
      <c r="L129" s="5" t="s">
        <v>1114</v>
      </c>
      <c r="M129" s="4" t="s">
        <v>1115</v>
      </c>
      <c r="N129" s="4" t="s">
        <v>1116</v>
      </c>
      <c r="O129" s="4" t="s">
        <v>1117</v>
      </c>
      <c r="P129" s="4" t="s">
        <v>421</v>
      </c>
      <c r="Q129" s="4" t="s">
        <v>999</v>
      </c>
      <c r="R129" s="4" t="s">
        <v>1000</v>
      </c>
      <c r="S129" s="4"/>
      <c r="T129" s="6" t="s">
        <v>555</v>
      </c>
      <c r="U129" s="3" t="str">
        <f t="shared" si="0"/>
        <v>Outstanding</v>
      </c>
      <c r="V129" s="15" t="s">
        <v>28</v>
      </c>
    </row>
    <row r="130" spans="1:22" ht="60" customHeight="1" x14ac:dyDescent="0.35">
      <c r="A130" s="13" t="s">
        <v>992</v>
      </c>
      <c r="B130" s="2" t="s">
        <v>1118</v>
      </c>
      <c r="C130" s="1" t="s">
        <v>1119</v>
      </c>
      <c r="D130" s="3" t="s">
        <v>25</v>
      </c>
      <c r="E130" s="3" t="s">
        <v>26</v>
      </c>
      <c r="F130" s="3" t="s">
        <v>27</v>
      </c>
      <c r="G130" s="3" t="s">
        <v>28</v>
      </c>
      <c r="H130" s="4" t="s">
        <v>28</v>
      </c>
      <c r="I130" s="4" t="s">
        <v>1120</v>
      </c>
      <c r="J130" s="4" t="s">
        <v>786</v>
      </c>
      <c r="K130" s="5" t="s">
        <v>995</v>
      </c>
      <c r="L130" s="5" t="s">
        <v>1121</v>
      </c>
      <c r="M130" s="4" t="s">
        <v>1122</v>
      </c>
      <c r="N130" s="4" t="s">
        <v>1123</v>
      </c>
      <c r="O130" s="4" t="s">
        <v>790</v>
      </c>
      <c r="P130" s="4" t="s">
        <v>421</v>
      </c>
      <c r="Q130" s="4" t="s">
        <v>999</v>
      </c>
      <c r="R130" s="4" t="s">
        <v>1000</v>
      </c>
      <c r="S130" s="4"/>
      <c r="T130" s="6" t="s">
        <v>555</v>
      </c>
      <c r="U130" s="3" t="str">
        <f t="shared" si="0"/>
        <v>Outstanding</v>
      </c>
      <c r="V130" s="15" t="s">
        <v>28</v>
      </c>
    </row>
    <row r="131" spans="1:22" ht="60" customHeight="1" x14ac:dyDescent="0.35">
      <c r="A131" s="13" t="s">
        <v>992</v>
      </c>
      <c r="B131" s="2" t="s">
        <v>1124</v>
      </c>
      <c r="C131" s="1" t="s">
        <v>792</v>
      </c>
      <c r="D131" s="3" t="s">
        <v>25</v>
      </c>
      <c r="E131" s="3" t="s">
        <v>26</v>
      </c>
      <c r="F131" s="3" t="s">
        <v>27</v>
      </c>
      <c r="G131" s="3" t="s">
        <v>28</v>
      </c>
      <c r="H131" s="4" t="s">
        <v>28</v>
      </c>
      <c r="I131" s="4" t="s">
        <v>1125</v>
      </c>
      <c r="J131" s="4" t="s">
        <v>794</v>
      </c>
      <c r="K131" s="5" t="s">
        <v>995</v>
      </c>
      <c r="L131" s="5" t="s">
        <v>1126</v>
      </c>
      <c r="M131" s="4" t="s">
        <v>1127</v>
      </c>
      <c r="N131" s="4" t="s">
        <v>1128</v>
      </c>
      <c r="O131" s="4" t="s">
        <v>798</v>
      </c>
      <c r="P131" s="4" t="s">
        <v>421</v>
      </c>
      <c r="Q131" s="4" t="s">
        <v>999</v>
      </c>
      <c r="R131" s="4" t="s">
        <v>1000</v>
      </c>
      <c r="S131" s="4"/>
      <c r="T131" s="6" t="s">
        <v>555</v>
      </c>
      <c r="U131" s="3" t="str">
        <f t="shared" si="0"/>
        <v>Outstanding</v>
      </c>
      <c r="V131" s="15" t="s">
        <v>28</v>
      </c>
    </row>
    <row r="132" spans="1:22" ht="60" customHeight="1" x14ac:dyDescent="0.35">
      <c r="A132" s="13" t="s">
        <v>992</v>
      </c>
      <c r="B132" s="2" t="s">
        <v>1129</v>
      </c>
      <c r="C132" s="1" t="s">
        <v>800</v>
      </c>
      <c r="D132" s="3" t="s">
        <v>25</v>
      </c>
      <c r="E132" s="3" t="s">
        <v>26</v>
      </c>
      <c r="F132" s="3" t="s">
        <v>27</v>
      </c>
      <c r="G132" s="3" t="s">
        <v>28</v>
      </c>
      <c r="H132" s="4" t="s">
        <v>28</v>
      </c>
      <c r="I132" s="4" t="s">
        <v>1130</v>
      </c>
      <c r="J132" s="4" t="s">
        <v>956</v>
      </c>
      <c r="K132" s="5" t="s">
        <v>995</v>
      </c>
      <c r="L132" s="5" t="s">
        <v>1131</v>
      </c>
      <c r="M132" s="4" t="s">
        <v>1132</v>
      </c>
      <c r="N132" s="4" t="s">
        <v>1133</v>
      </c>
      <c r="O132" s="4" t="s">
        <v>806</v>
      </c>
      <c r="P132" s="4" t="s">
        <v>421</v>
      </c>
      <c r="Q132" s="4" t="s">
        <v>999</v>
      </c>
      <c r="R132" s="4" t="s">
        <v>1000</v>
      </c>
      <c r="S132" s="4"/>
      <c r="T132" s="6" t="s">
        <v>555</v>
      </c>
      <c r="U132" s="3" t="str">
        <f t="shared" si="0"/>
        <v>Outstanding</v>
      </c>
      <c r="V132" s="15" t="s">
        <v>28</v>
      </c>
    </row>
    <row r="133" spans="1:22" ht="60" customHeight="1" x14ac:dyDescent="0.35">
      <c r="A133" s="13" t="s">
        <v>992</v>
      </c>
      <c r="B133" s="2" t="s">
        <v>1134</v>
      </c>
      <c r="C133" s="1" t="s">
        <v>808</v>
      </c>
      <c r="D133" s="3" t="s">
        <v>25</v>
      </c>
      <c r="E133" s="3" t="s">
        <v>26</v>
      </c>
      <c r="F133" s="3" t="s">
        <v>27</v>
      </c>
      <c r="G133" s="3" t="s">
        <v>28</v>
      </c>
      <c r="H133" s="4" t="s">
        <v>28</v>
      </c>
      <c r="I133" s="4" t="s">
        <v>1135</v>
      </c>
      <c r="J133" s="4" t="s">
        <v>1136</v>
      </c>
      <c r="K133" s="5" t="s">
        <v>995</v>
      </c>
      <c r="L133" s="5" t="s">
        <v>1137</v>
      </c>
      <c r="M133" s="4" t="s">
        <v>1138</v>
      </c>
      <c r="N133" s="4" t="s">
        <v>1139</v>
      </c>
      <c r="O133" s="4" t="s">
        <v>814</v>
      </c>
      <c r="P133" s="4" t="s">
        <v>421</v>
      </c>
      <c r="Q133" s="4" t="s">
        <v>999</v>
      </c>
      <c r="R133" s="4" t="s">
        <v>1000</v>
      </c>
      <c r="S133" s="4"/>
      <c r="T133" s="6" t="s">
        <v>555</v>
      </c>
      <c r="U133" s="3" t="str">
        <f t="shared" si="0"/>
        <v>Outstanding</v>
      </c>
      <c r="V133" s="15" t="s">
        <v>28</v>
      </c>
    </row>
    <row r="134" spans="1:22" ht="60" customHeight="1" x14ac:dyDescent="0.35">
      <c r="A134" s="13" t="s">
        <v>992</v>
      </c>
      <c r="B134" s="2" t="s">
        <v>1140</v>
      </c>
      <c r="C134" s="1" t="s">
        <v>1141</v>
      </c>
      <c r="D134" s="3" t="s">
        <v>25</v>
      </c>
      <c r="E134" s="3" t="s">
        <v>26</v>
      </c>
      <c r="F134" s="3" t="s">
        <v>27</v>
      </c>
      <c r="G134" s="3" t="s">
        <v>28</v>
      </c>
      <c r="H134" s="4" t="s">
        <v>28</v>
      </c>
      <c r="I134" s="4" t="s">
        <v>1142</v>
      </c>
      <c r="J134" s="4" t="s">
        <v>1143</v>
      </c>
      <c r="K134" s="5" t="s">
        <v>995</v>
      </c>
      <c r="L134" s="5" t="s">
        <v>1144</v>
      </c>
      <c r="M134" s="4" t="s">
        <v>1145</v>
      </c>
      <c r="N134" s="4" t="s">
        <v>1146</v>
      </c>
      <c r="O134" s="4" t="s">
        <v>822</v>
      </c>
      <c r="P134" s="4" t="s">
        <v>421</v>
      </c>
      <c r="Q134" s="4" t="s">
        <v>999</v>
      </c>
      <c r="R134" s="4" t="s">
        <v>1000</v>
      </c>
      <c r="S134" s="4"/>
      <c r="T134" s="6" t="s">
        <v>555</v>
      </c>
      <c r="U134" s="3" t="str">
        <f t="shared" si="0"/>
        <v>Outstanding</v>
      </c>
      <c r="V134" s="15" t="s">
        <v>28</v>
      </c>
    </row>
    <row r="135" spans="1:22" ht="60" customHeight="1" x14ac:dyDescent="0.35">
      <c r="A135" s="13" t="s">
        <v>992</v>
      </c>
      <c r="B135" s="2" t="s">
        <v>1147</v>
      </c>
      <c r="C135" s="1" t="s">
        <v>824</v>
      </c>
      <c r="D135" s="3" t="s">
        <v>25</v>
      </c>
      <c r="E135" s="3" t="s">
        <v>26</v>
      </c>
      <c r="F135" s="3" t="s">
        <v>27</v>
      </c>
      <c r="G135" s="3" t="s">
        <v>28</v>
      </c>
      <c r="H135" s="4" t="s">
        <v>28</v>
      </c>
      <c r="I135" s="4" t="s">
        <v>1148</v>
      </c>
      <c r="J135" s="4" t="s">
        <v>1149</v>
      </c>
      <c r="K135" s="5" t="s">
        <v>995</v>
      </c>
      <c r="L135" s="5" t="s">
        <v>1150</v>
      </c>
      <c r="M135" s="4" t="s">
        <v>1151</v>
      </c>
      <c r="N135" s="4" t="s">
        <v>1152</v>
      </c>
      <c r="O135" s="4" t="s">
        <v>830</v>
      </c>
      <c r="P135" s="4" t="s">
        <v>421</v>
      </c>
      <c r="Q135" s="4" t="s">
        <v>999</v>
      </c>
      <c r="R135" s="4" t="s">
        <v>1000</v>
      </c>
      <c r="S135" s="4"/>
      <c r="T135" s="6" t="s">
        <v>555</v>
      </c>
      <c r="U135" s="3" t="str">
        <f t="shared" si="0"/>
        <v>Outstanding</v>
      </c>
      <c r="V135" s="15" t="s">
        <v>28</v>
      </c>
    </row>
    <row r="136" spans="1:22" ht="60" customHeight="1" x14ac:dyDescent="0.35">
      <c r="A136" s="13" t="s">
        <v>992</v>
      </c>
      <c r="B136" s="2" t="s">
        <v>1153</v>
      </c>
      <c r="C136" s="1" t="s">
        <v>832</v>
      </c>
      <c r="D136" s="3" t="s">
        <v>25</v>
      </c>
      <c r="E136" s="3" t="s">
        <v>26</v>
      </c>
      <c r="F136" s="3" t="s">
        <v>27</v>
      </c>
      <c r="G136" s="3" t="s">
        <v>28</v>
      </c>
      <c r="H136" s="4" t="s">
        <v>28</v>
      </c>
      <c r="I136" s="4" t="s">
        <v>1154</v>
      </c>
      <c r="J136" s="4" t="s">
        <v>1155</v>
      </c>
      <c r="K136" s="5" t="s">
        <v>995</v>
      </c>
      <c r="L136" s="5" t="s">
        <v>1156</v>
      </c>
      <c r="M136" s="4" t="s">
        <v>1157</v>
      </c>
      <c r="N136" s="4" t="s">
        <v>1158</v>
      </c>
      <c r="O136" s="4" t="s">
        <v>838</v>
      </c>
      <c r="P136" s="4" t="s">
        <v>421</v>
      </c>
      <c r="Q136" s="4" t="s">
        <v>999</v>
      </c>
      <c r="R136" s="4" t="s">
        <v>1000</v>
      </c>
      <c r="S136" s="4"/>
      <c r="T136" s="6" t="s">
        <v>555</v>
      </c>
      <c r="U136" s="3" t="str">
        <f t="shared" si="0"/>
        <v>Outstanding</v>
      </c>
      <c r="V136" s="15" t="s">
        <v>28</v>
      </c>
    </row>
    <row r="137" spans="1:22" ht="60" customHeight="1" x14ac:dyDescent="0.35">
      <c r="A137" s="13" t="s">
        <v>992</v>
      </c>
      <c r="B137" s="2" t="s">
        <v>1159</v>
      </c>
      <c r="C137" s="1" t="s">
        <v>840</v>
      </c>
      <c r="D137" s="3" t="s">
        <v>25</v>
      </c>
      <c r="E137" s="3" t="s">
        <v>26</v>
      </c>
      <c r="F137" s="3" t="s">
        <v>27</v>
      </c>
      <c r="G137" s="3" t="s">
        <v>28</v>
      </c>
      <c r="H137" s="4" t="s">
        <v>28</v>
      </c>
      <c r="I137" s="4" t="s">
        <v>1160</v>
      </c>
      <c r="J137" s="4" t="s">
        <v>1161</v>
      </c>
      <c r="K137" s="5" t="s">
        <v>995</v>
      </c>
      <c r="L137" s="5" t="s">
        <v>1162</v>
      </c>
      <c r="M137" s="4" t="s">
        <v>1163</v>
      </c>
      <c r="N137" s="4" t="s">
        <v>1164</v>
      </c>
      <c r="O137" s="4" t="s">
        <v>846</v>
      </c>
      <c r="P137" s="4" t="s">
        <v>421</v>
      </c>
      <c r="Q137" s="4" t="s">
        <v>999</v>
      </c>
      <c r="R137" s="4" t="s">
        <v>1000</v>
      </c>
      <c r="S137" s="4"/>
      <c r="T137" s="6" t="s">
        <v>555</v>
      </c>
      <c r="U137" s="3" t="str">
        <f t="shared" si="0"/>
        <v>Outstanding</v>
      </c>
      <c r="V137" s="15" t="s">
        <v>28</v>
      </c>
    </row>
    <row r="138" spans="1:22" ht="60" customHeight="1" x14ac:dyDescent="0.35">
      <c r="A138" s="13" t="s">
        <v>992</v>
      </c>
      <c r="B138" s="2" t="s">
        <v>1165</v>
      </c>
      <c r="C138" s="1" t="s">
        <v>1166</v>
      </c>
      <c r="D138" s="3" t="s">
        <v>25</v>
      </c>
      <c r="E138" s="3" t="s">
        <v>26</v>
      </c>
      <c r="F138" s="3" t="s">
        <v>27</v>
      </c>
      <c r="G138" s="3" t="s">
        <v>28</v>
      </c>
      <c r="H138" s="4" t="s">
        <v>28</v>
      </c>
      <c r="I138" s="4" t="s">
        <v>1167</v>
      </c>
      <c r="J138" s="4" t="s">
        <v>1168</v>
      </c>
      <c r="K138" s="5" t="s">
        <v>995</v>
      </c>
      <c r="L138" s="5" t="s">
        <v>1169</v>
      </c>
      <c r="M138" s="4" t="s">
        <v>1170</v>
      </c>
      <c r="N138" s="4" t="s">
        <v>1171</v>
      </c>
      <c r="O138" s="4" t="s">
        <v>1172</v>
      </c>
      <c r="P138" s="4" t="s">
        <v>421</v>
      </c>
      <c r="Q138" s="4" t="s">
        <v>999</v>
      </c>
      <c r="R138" s="4" t="s">
        <v>1000</v>
      </c>
      <c r="S138" s="4"/>
      <c r="T138" s="6" t="s">
        <v>555</v>
      </c>
      <c r="U138" s="3" t="str">
        <f t="shared" si="0"/>
        <v>Outstanding</v>
      </c>
      <c r="V138" s="15" t="s">
        <v>28</v>
      </c>
    </row>
    <row r="139" spans="1:22" ht="60" customHeight="1" x14ac:dyDescent="0.35">
      <c r="A139" s="13" t="s">
        <v>992</v>
      </c>
      <c r="B139" s="2" t="s">
        <v>1173</v>
      </c>
      <c r="C139" s="1" t="s">
        <v>1174</v>
      </c>
      <c r="D139" s="3" t="s">
        <v>25</v>
      </c>
      <c r="E139" s="3" t="s">
        <v>26</v>
      </c>
      <c r="F139" s="3" t="s">
        <v>27</v>
      </c>
      <c r="G139" s="3" t="s">
        <v>28</v>
      </c>
      <c r="H139" s="4" t="s">
        <v>28</v>
      </c>
      <c r="I139" s="4" t="s">
        <v>1175</v>
      </c>
      <c r="J139" s="4" t="s">
        <v>1176</v>
      </c>
      <c r="K139" s="5" t="s">
        <v>995</v>
      </c>
      <c r="L139" s="5" t="s">
        <v>1177</v>
      </c>
      <c r="M139" s="4" t="s">
        <v>1178</v>
      </c>
      <c r="N139" s="4" t="s">
        <v>1179</v>
      </c>
      <c r="O139" s="4" t="s">
        <v>1180</v>
      </c>
      <c r="P139" s="4" t="s">
        <v>421</v>
      </c>
      <c r="Q139" s="4" t="s">
        <v>999</v>
      </c>
      <c r="R139" s="4" t="s">
        <v>1000</v>
      </c>
      <c r="S139" s="4"/>
      <c r="T139" s="6" t="s">
        <v>555</v>
      </c>
      <c r="U139" s="3" t="str">
        <f t="shared" si="0"/>
        <v>Outstanding</v>
      </c>
      <c r="V139" s="15" t="s">
        <v>28</v>
      </c>
    </row>
    <row r="140" spans="1:22" ht="60" customHeight="1" x14ac:dyDescent="0.35">
      <c r="A140" s="13" t="s">
        <v>992</v>
      </c>
      <c r="B140" s="2" t="s">
        <v>1181</v>
      </c>
      <c r="C140" s="1" t="s">
        <v>1182</v>
      </c>
      <c r="D140" s="3" t="s">
        <v>25</v>
      </c>
      <c r="E140" s="3" t="s">
        <v>26</v>
      </c>
      <c r="F140" s="3" t="s">
        <v>27</v>
      </c>
      <c r="G140" s="3" t="s">
        <v>28</v>
      </c>
      <c r="H140" s="4" t="s">
        <v>28</v>
      </c>
      <c r="I140" s="4" t="s">
        <v>1183</v>
      </c>
      <c r="J140" s="4" t="s">
        <v>1184</v>
      </c>
      <c r="K140" s="5" t="s">
        <v>995</v>
      </c>
      <c r="L140" s="5" t="s">
        <v>1185</v>
      </c>
      <c r="M140" s="4" t="s">
        <v>1186</v>
      </c>
      <c r="N140" s="4" t="s">
        <v>1187</v>
      </c>
      <c r="O140" s="4" t="s">
        <v>1188</v>
      </c>
      <c r="P140" s="4" t="s">
        <v>421</v>
      </c>
      <c r="Q140" s="4" t="s">
        <v>999</v>
      </c>
      <c r="R140" s="4" t="s">
        <v>1000</v>
      </c>
      <c r="S140" s="4"/>
      <c r="T140" s="6" t="s">
        <v>555</v>
      </c>
      <c r="U140" s="3" t="str">
        <f t="shared" si="0"/>
        <v>Outstanding</v>
      </c>
      <c r="V140" s="15" t="s">
        <v>28</v>
      </c>
    </row>
    <row r="141" spans="1:22" ht="60" customHeight="1" x14ac:dyDescent="0.35">
      <c r="A141" s="13" t="s">
        <v>992</v>
      </c>
      <c r="B141" s="2" t="s">
        <v>1189</v>
      </c>
      <c r="C141" s="1" t="s">
        <v>1190</v>
      </c>
      <c r="D141" s="3" t="s">
        <v>25</v>
      </c>
      <c r="E141" s="3" t="s">
        <v>26</v>
      </c>
      <c r="F141" s="3" t="s">
        <v>27</v>
      </c>
      <c r="G141" s="3" t="s">
        <v>28</v>
      </c>
      <c r="H141" s="4" t="s">
        <v>28</v>
      </c>
      <c r="I141" s="4" t="s">
        <v>1191</v>
      </c>
      <c r="J141" s="4" t="s">
        <v>850</v>
      </c>
      <c r="K141" s="5" t="s">
        <v>995</v>
      </c>
      <c r="L141" s="5" t="s">
        <v>1192</v>
      </c>
      <c r="M141" s="4" t="s">
        <v>1193</v>
      </c>
      <c r="N141" s="4" t="s">
        <v>1194</v>
      </c>
      <c r="O141" s="4" t="s">
        <v>854</v>
      </c>
      <c r="P141" s="4" t="s">
        <v>421</v>
      </c>
      <c r="Q141" s="4" t="s">
        <v>999</v>
      </c>
      <c r="R141" s="4" t="s">
        <v>1000</v>
      </c>
      <c r="S141" s="4"/>
      <c r="T141" s="6" t="s">
        <v>555</v>
      </c>
      <c r="U141" s="3" t="str">
        <f t="shared" si="0"/>
        <v>Outstanding</v>
      </c>
      <c r="V141" s="15" t="s">
        <v>28</v>
      </c>
    </row>
    <row r="142" spans="1:22" ht="60" customHeight="1" x14ac:dyDescent="0.35">
      <c r="A142" s="13" t="s">
        <v>992</v>
      </c>
      <c r="B142" s="2" t="s">
        <v>1195</v>
      </c>
      <c r="C142" s="1" t="s">
        <v>1196</v>
      </c>
      <c r="D142" s="3" t="s">
        <v>25</v>
      </c>
      <c r="E142" s="3" t="s">
        <v>26</v>
      </c>
      <c r="F142" s="3" t="s">
        <v>27</v>
      </c>
      <c r="G142" s="3" t="s">
        <v>28</v>
      </c>
      <c r="H142" s="4" t="s">
        <v>28</v>
      </c>
      <c r="I142" s="4" t="s">
        <v>1197</v>
      </c>
      <c r="J142" s="4" t="s">
        <v>858</v>
      </c>
      <c r="K142" s="5" t="s">
        <v>995</v>
      </c>
      <c r="L142" s="5" t="s">
        <v>1198</v>
      </c>
      <c r="M142" s="4" t="s">
        <v>1199</v>
      </c>
      <c r="N142" s="4" t="s">
        <v>1200</v>
      </c>
      <c r="O142" s="4" t="s">
        <v>862</v>
      </c>
      <c r="P142" s="4" t="s">
        <v>421</v>
      </c>
      <c r="Q142" s="4" t="s">
        <v>999</v>
      </c>
      <c r="R142" s="4" t="s">
        <v>1000</v>
      </c>
      <c r="S142" s="4"/>
      <c r="T142" s="6" t="s">
        <v>555</v>
      </c>
      <c r="U142" s="3" t="str">
        <f t="shared" si="0"/>
        <v>Outstanding</v>
      </c>
      <c r="V142" s="15" t="s">
        <v>28</v>
      </c>
    </row>
    <row r="143" spans="1:22" ht="60" customHeight="1" x14ac:dyDescent="0.35">
      <c r="A143" s="13" t="s">
        <v>992</v>
      </c>
      <c r="B143" s="2" t="s">
        <v>1201</v>
      </c>
      <c r="C143" s="1" t="s">
        <v>1202</v>
      </c>
      <c r="D143" s="3" t="s">
        <v>25</v>
      </c>
      <c r="E143" s="3" t="s">
        <v>26</v>
      </c>
      <c r="F143" s="3" t="s">
        <v>27</v>
      </c>
      <c r="G143" s="3" t="s">
        <v>28</v>
      </c>
      <c r="H143" s="4" t="s">
        <v>28</v>
      </c>
      <c r="I143" s="4" t="s">
        <v>1203</v>
      </c>
      <c r="J143" s="4" t="s">
        <v>866</v>
      </c>
      <c r="K143" s="5" t="s">
        <v>995</v>
      </c>
      <c r="L143" s="5" t="s">
        <v>1204</v>
      </c>
      <c r="M143" s="4" t="s">
        <v>1205</v>
      </c>
      <c r="N143" s="4" t="s">
        <v>1206</v>
      </c>
      <c r="O143" s="4" t="s">
        <v>870</v>
      </c>
      <c r="P143" s="4" t="s">
        <v>421</v>
      </c>
      <c r="Q143" s="4" t="s">
        <v>999</v>
      </c>
      <c r="R143" s="4" t="s">
        <v>1000</v>
      </c>
      <c r="S143" s="4"/>
      <c r="T143" s="6" t="s">
        <v>555</v>
      </c>
      <c r="U143" s="3" t="str">
        <f t="shared" si="0"/>
        <v>Outstanding</v>
      </c>
      <c r="V143" s="15" t="s">
        <v>28</v>
      </c>
    </row>
    <row r="144" spans="1:22" ht="60" customHeight="1" x14ac:dyDescent="0.35">
      <c r="A144" s="13" t="s">
        <v>992</v>
      </c>
      <c r="B144" s="2" t="s">
        <v>1207</v>
      </c>
      <c r="C144" s="1" t="s">
        <v>1208</v>
      </c>
      <c r="D144" s="3" t="s">
        <v>25</v>
      </c>
      <c r="E144" s="3" t="s">
        <v>26</v>
      </c>
      <c r="F144" s="3" t="s">
        <v>27</v>
      </c>
      <c r="G144" s="3" t="s">
        <v>28</v>
      </c>
      <c r="H144" s="4" t="s">
        <v>28</v>
      </c>
      <c r="I144" s="4" t="s">
        <v>1209</v>
      </c>
      <c r="J144" s="4" t="s">
        <v>874</v>
      </c>
      <c r="K144" s="5" t="s">
        <v>995</v>
      </c>
      <c r="L144" s="5" t="s">
        <v>1210</v>
      </c>
      <c r="M144" s="4" t="s">
        <v>1211</v>
      </c>
      <c r="N144" s="4" t="s">
        <v>1212</v>
      </c>
      <c r="O144" s="4" t="s">
        <v>878</v>
      </c>
      <c r="P144" s="4" t="s">
        <v>421</v>
      </c>
      <c r="Q144" s="4" t="s">
        <v>999</v>
      </c>
      <c r="R144" s="4" t="s">
        <v>1000</v>
      </c>
      <c r="S144" s="4"/>
      <c r="T144" s="6" t="s">
        <v>555</v>
      </c>
      <c r="U144" s="3" t="str">
        <f t="shared" si="0"/>
        <v>Outstanding</v>
      </c>
      <c r="V144" s="15" t="s">
        <v>28</v>
      </c>
    </row>
    <row r="145" spans="1:22" ht="60" customHeight="1" x14ac:dyDescent="0.35">
      <c r="A145" s="13" t="s">
        <v>992</v>
      </c>
      <c r="B145" s="2" t="s">
        <v>1213</v>
      </c>
      <c r="C145" s="1" t="s">
        <v>1214</v>
      </c>
      <c r="D145" s="3" t="s">
        <v>25</v>
      </c>
      <c r="E145" s="3" t="s">
        <v>26</v>
      </c>
      <c r="F145" s="3" t="s">
        <v>27</v>
      </c>
      <c r="G145" s="3" t="s">
        <v>28</v>
      </c>
      <c r="H145" s="4" t="s">
        <v>28</v>
      </c>
      <c r="I145" s="4" t="s">
        <v>1215</v>
      </c>
      <c r="J145" s="4" t="s">
        <v>1216</v>
      </c>
      <c r="K145" s="5" t="s">
        <v>995</v>
      </c>
      <c r="L145" s="5" t="s">
        <v>1217</v>
      </c>
      <c r="M145" s="4" t="s">
        <v>1218</v>
      </c>
      <c r="N145" s="4" t="s">
        <v>1219</v>
      </c>
      <c r="O145" s="4" t="s">
        <v>1220</v>
      </c>
      <c r="P145" s="4" t="s">
        <v>421</v>
      </c>
      <c r="Q145" s="4" t="s">
        <v>999</v>
      </c>
      <c r="R145" s="4" t="s">
        <v>1000</v>
      </c>
      <c r="S145" s="4"/>
      <c r="T145" s="6" t="s">
        <v>555</v>
      </c>
      <c r="U145" s="3" t="str">
        <f t="shared" si="0"/>
        <v>Outstanding</v>
      </c>
      <c r="V145" s="15" t="s">
        <v>28</v>
      </c>
    </row>
    <row r="146" spans="1:22" ht="60" customHeight="1" x14ac:dyDescent="0.35">
      <c r="A146" s="13" t="s">
        <v>992</v>
      </c>
      <c r="B146" s="2" t="s">
        <v>1221</v>
      </c>
      <c r="C146" s="1" t="s">
        <v>884</v>
      </c>
      <c r="D146" s="3" t="s">
        <v>25</v>
      </c>
      <c r="E146" s="3" t="s">
        <v>26</v>
      </c>
      <c r="F146" s="3" t="s">
        <v>27</v>
      </c>
      <c r="G146" s="3" t="s">
        <v>28</v>
      </c>
      <c r="H146" s="4" t="s">
        <v>28</v>
      </c>
      <c r="I146" s="4" t="s">
        <v>1222</v>
      </c>
      <c r="J146" s="4" t="s">
        <v>1223</v>
      </c>
      <c r="K146" s="5" t="s">
        <v>995</v>
      </c>
      <c r="L146" s="5" t="s">
        <v>1224</v>
      </c>
      <c r="M146" s="4" t="s">
        <v>1225</v>
      </c>
      <c r="N146" s="4" t="s">
        <v>1226</v>
      </c>
      <c r="O146" s="4" t="s">
        <v>890</v>
      </c>
      <c r="P146" s="4" t="s">
        <v>421</v>
      </c>
      <c r="Q146" s="4" t="s">
        <v>999</v>
      </c>
      <c r="R146" s="4" t="s">
        <v>1000</v>
      </c>
      <c r="S146" s="4"/>
      <c r="T146" s="6" t="s">
        <v>555</v>
      </c>
      <c r="U146" s="3" t="str">
        <f t="shared" si="0"/>
        <v>Outstanding</v>
      </c>
      <c r="V146" s="15" t="s">
        <v>28</v>
      </c>
    </row>
    <row r="147" spans="1:22" ht="60" customHeight="1" x14ac:dyDescent="0.35">
      <c r="A147" s="13" t="s">
        <v>992</v>
      </c>
      <c r="B147" s="2" t="s">
        <v>1227</v>
      </c>
      <c r="C147" s="1" t="s">
        <v>892</v>
      </c>
      <c r="D147" s="3" t="s">
        <v>25</v>
      </c>
      <c r="E147" s="3" t="s">
        <v>26</v>
      </c>
      <c r="F147" s="3" t="s">
        <v>27</v>
      </c>
      <c r="G147" s="3" t="s">
        <v>28</v>
      </c>
      <c r="H147" s="4" t="s">
        <v>28</v>
      </c>
      <c r="I147" s="4" t="s">
        <v>1228</v>
      </c>
      <c r="J147" s="4" t="s">
        <v>1229</v>
      </c>
      <c r="K147" s="5" t="s">
        <v>995</v>
      </c>
      <c r="L147" s="5" t="s">
        <v>1230</v>
      </c>
      <c r="M147" s="4" t="s">
        <v>1231</v>
      </c>
      <c r="N147" s="4" t="s">
        <v>1232</v>
      </c>
      <c r="O147" s="4" t="s">
        <v>898</v>
      </c>
      <c r="P147" s="4" t="s">
        <v>421</v>
      </c>
      <c r="Q147" s="4" t="s">
        <v>999</v>
      </c>
      <c r="R147" s="4" t="s">
        <v>1000</v>
      </c>
      <c r="S147" s="4"/>
      <c r="T147" s="6" t="s">
        <v>555</v>
      </c>
      <c r="U147" s="3" t="str">
        <f t="shared" si="0"/>
        <v>Outstanding</v>
      </c>
      <c r="V147" s="15" t="s">
        <v>28</v>
      </c>
    </row>
    <row r="148" spans="1:22" ht="60" customHeight="1" x14ac:dyDescent="0.35">
      <c r="A148" s="13" t="s">
        <v>1233</v>
      </c>
      <c r="B148" s="2" t="s">
        <v>1234</v>
      </c>
      <c r="C148" s="1" t="s">
        <v>749</v>
      </c>
      <c r="D148" s="3" t="s">
        <v>25</v>
      </c>
      <c r="E148" s="3" t="s">
        <v>26</v>
      </c>
      <c r="F148" s="3" t="s">
        <v>27</v>
      </c>
      <c r="G148" s="3" t="s">
        <v>28</v>
      </c>
      <c r="H148" s="4" t="s">
        <v>28</v>
      </c>
      <c r="I148" s="4" t="s">
        <v>1235</v>
      </c>
      <c r="J148" s="4" t="s">
        <v>911</v>
      </c>
      <c r="K148" s="5" t="s">
        <v>1236</v>
      </c>
      <c r="L148" s="5" t="s">
        <v>1237</v>
      </c>
      <c r="M148" s="4" t="s">
        <v>1238</v>
      </c>
      <c r="N148" s="4" t="s">
        <v>1239</v>
      </c>
      <c r="O148" s="4" t="s">
        <v>755</v>
      </c>
      <c r="P148" s="4" t="s">
        <v>421</v>
      </c>
      <c r="Q148" s="4" t="s">
        <v>1240</v>
      </c>
      <c r="R148" s="4" t="s">
        <v>1241</v>
      </c>
      <c r="S148" s="4"/>
      <c r="T148" s="6" t="s">
        <v>555</v>
      </c>
      <c r="U148" s="3" t="str">
        <f t="shared" si="0"/>
        <v>Outstanding</v>
      </c>
      <c r="V148" s="15" t="s">
        <v>28</v>
      </c>
    </row>
    <row r="149" spans="1:22" ht="60" customHeight="1" x14ac:dyDescent="0.35">
      <c r="A149" s="13" t="s">
        <v>1233</v>
      </c>
      <c r="B149" s="2" t="s">
        <v>1242</v>
      </c>
      <c r="C149" s="1" t="s">
        <v>792</v>
      </c>
      <c r="D149" s="3" t="s">
        <v>25</v>
      </c>
      <c r="E149" s="3" t="s">
        <v>26</v>
      </c>
      <c r="F149" s="3" t="s">
        <v>27</v>
      </c>
      <c r="G149" s="3" t="s">
        <v>28</v>
      </c>
      <c r="H149" s="4" t="s">
        <v>28</v>
      </c>
      <c r="I149" s="4" t="s">
        <v>1243</v>
      </c>
      <c r="J149" s="4" t="s">
        <v>1244</v>
      </c>
      <c r="K149" s="5" t="s">
        <v>1236</v>
      </c>
      <c r="L149" s="5" t="s">
        <v>1245</v>
      </c>
      <c r="M149" s="4" t="s">
        <v>1246</v>
      </c>
      <c r="N149" s="4" t="s">
        <v>1247</v>
      </c>
      <c r="O149" s="4" t="s">
        <v>798</v>
      </c>
      <c r="P149" s="4" t="s">
        <v>421</v>
      </c>
      <c r="Q149" s="4" t="s">
        <v>1240</v>
      </c>
      <c r="R149" s="4" t="s">
        <v>1241</v>
      </c>
      <c r="S149" s="4"/>
      <c r="T149" s="6" t="s">
        <v>555</v>
      </c>
      <c r="U149" s="3" t="str">
        <f t="shared" si="0"/>
        <v>Outstanding</v>
      </c>
      <c r="V149" s="15" t="s">
        <v>28</v>
      </c>
    </row>
    <row r="150" spans="1:22" ht="60" customHeight="1" x14ac:dyDescent="0.35">
      <c r="A150" s="13" t="s">
        <v>1233</v>
      </c>
      <c r="B150" s="2" t="s">
        <v>1248</v>
      </c>
      <c r="C150" s="1" t="s">
        <v>924</v>
      </c>
      <c r="D150" s="3" t="s">
        <v>25</v>
      </c>
      <c r="E150" s="3" t="s">
        <v>26</v>
      </c>
      <c r="F150" s="3" t="s">
        <v>27</v>
      </c>
      <c r="G150" s="3" t="s">
        <v>28</v>
      </c>
      <c r="H150" s="4" t="s">
        <v>28</v>
      </c>
      <c r="I150" s="4" t="s">
        <v>1249</v>
      </c>
      <c r="J150" s="4" t="s">
        <v>1250</v>
      </c>
      <c r="K150" s="5" t="s">
        <v>1236</v>
      </c>
      <c r="L150" s="5" t="s">
        <v>1251</v>
      </c>
      <c r="M150" s="4" t="s">
        <v>1252</v>
      </c>
      <c r="N150" s="4" t="s">
        <v>1253</v>
      </c>
      <c r="O150" s="4" t="s">
        <v>806</v>
      </c>
      <c r="P150" s="4" t="s">
        <v>421</v>
      </c>
      <c r="Q150" s="4" t="s">
        <v>1240</v>
      </c>
      <c r="R150" s="4" t="s">
        <v>1241</v>
      </c>
      <c r="S150" s="4"/>
      <c r="T150" s="6" t="s">
        <v>555</v>
      </c>
      <c r="U150" s="3" t="str">
        <f t="shared" si="0"/>
        <v>Outstanding</v>
      </c>
      <c r="V150" s="15" t="s">
        <v>28</v>
      </c>
    </row>
    <row r="151" spans="1:22" ht="60" customHeight="1" x14ac:dyDescent="0.35">
      <c r="A151" s="13" t="s">
        <v>542</v>
      </c>
      <c r="B151" s="2" t="s">
        <v>1254</v>
      </c>
      <c r="C151" s="1" t="s">
        <v>1255</v>
      </c>
      <c r="D151" s="3" t="s">
        <v>25</v>
      </c>
      <c r="E151" s="3" t="s">
        <v>26</v>
      </c>
      <c r="F151" s="3" t="s">
        <v>27</v>
      </c>
      <c r="G151" s="3" t="s">
        <v>28</v>
      </c>
      <c r="H151" s="4" t="s">
        <v>28</v>
      </c>
      <c r="I151" s="4" t="s">
        <v>1256</v>
      </c>
      <c r="J151" s="4" t="s">
        <v>1257</v>
      </c>
      <c r="K151" s="5" t="s">
        <v>547</v>
      </c>
      <c r="L151" s="5" t="s">
        <v>1258</v>
      </c>
      <c r="M151" s="4" t="s">
        <v>1259</v>
      </c>
      <c r="N151" s="4" t="s">
        <v>1260</v>
      </c>
      <c r="O151" s="4" t="s">
        <v>1261</v>
      </c>
      <c r="P151" s="4" t="s">
        <v>421</v>
      </c>
      <c r="Q151" s="4" t="s">
        <v>552</v>
      </c>
      <c r="R151" s="4" t="s">
        <v>553</v>
      </c>
      <c r="S151" s="4" t="s">
        <v>1262</v>
      </c>
      <c r="T151" s="6" t="s">
        <v>555</v>
      </c>
      <c r="U151" s="3" t="str">
        <f t="shared" si="0"/>
        <v>Outstanding</v>
      </c>
      <c r="V151" s="15" t="s">
        <v>28</v>
      </c>
    </row>
    <row r="152" spans="1:22" ht="60" customHeight="1" x14ac:dyDescent="0.35">
      <c r="A152" s="13" t="s">
        <v>1263</v>
      </c>
      <c r="B152" s="2" t="s">
        <v>1264</v>
      </c>
      <c r="C152" s="1" t="s">
        <v>1265</v>
      </c>
      <c r="D152" s="3" t="s">
        <v>25</v>
      </c>
      <c r="E152" s="3" t="s">
        <v>26</v>
      </c>
      <c r="F152" s="3" t="s">
        <v>27</v>
      </c>
      <c r="G152" s="3" t="s">
        <v>28</v>
      </c>
      <c r="H152" s="4" t="s">
        <v>28</v>
      </c>
      <c r="I152" s="4" t="s">
        <v>1266</v>
      </c>
      <c r="J152" s="4" t="s">
        <v>1267</v>
      </c>
      <c r="K152" s="5" t="s">
        <v>1268</v>
      </c>
      <c r="L152" s="5" t="s">
        <v>1269</v>
      </c>
      <c r="M152" s="4" t="s">
        <v>1270</v>
      </c>
      <c r="N152" s="4" t="s">
        <v>1271</v>
      </c>
      <c r="O152" s="4" t="s">
        <v>1272</v>
      </c>
      <c r="P152" s="4" t="s">
        <v>421</v>
      </c>
      <c r="Q152" s="4" t="s">
        <v>1273</v>
      </c>
      <c r="R152" s="4" t="s">
        <v>1274</v>
      </c>
      <c r="S152" s="4" t="s">
        <v>1275</v>
      </c>
      <c r="T152" s="6" t="s">
        <v>555</v>
      </c>
      <c r="U152" s="3" t="str">
        <f t="shared" si="0"/>
        <v>Outstanding</v>
      </c>
      <c r="V152" s="15" t="s">
        <v>28</v>
      </c>
    </row>
    <row r="153" spans="1:22" ht="60" customHeight="1" x14ac:dyDescent="0.35">
      <c r="A153" s="13" t="s">
        <v>1263</v>
      </c>
      <c r="B153" s="2" t="s">
        <v>1276</v>
      </c>
      <c r="C153" s="1" t="s">
        <v>1277</v>
      </c>
      <c r="D153" s="3" t="s">
        <v>25</v>
      </c>
      <c r="E153" s="3" t="s">
        <v>26</v>
      </c>
      <c r="F153" s="3" t="s">
        <v>27</v>
      </c>
      <c r="G153" s="3" t="s">
        <v>28</v>
      </c>
      <c r="H153" s="4" t="s">
        <v>28</v>
      </c>
      <c r="I153" s="4" t="s">
        <v>1278</v>
      </c>
      <c r="J153" s="4" t="s">
        <v>1279</v>
      </c>
      <c r="K153" s="5" t="s">
        <v>1268</v>
      </c>
      <c r="L153" s="5" t="s">
        <v>1280</v>
      </c>
      <c r="M153" s="4" t="s">
        <v>1281</v>
      </c>
      <c r="N153" s="4" t="s">
        <v>1282</v>
      </c>
      <c r="O153" s="4" t="s">
        <v>1283</v>
      </c>
      <c r="P153" s="4" t="s">
        <v>421</v>
      </c>
      <c r="Q153" s="4" t="s">
        <v>1273</v>
      </c>
      <c r="R153" s="4" t="s">
        <v>1274</v>
      </c>
      <c r="S153" s="4" t="s">
        <v>1284</v>
      </c>
      <c r="T153" s="6" t="s">
        <v>555</v>
      </c>
      <c r="U153" s="3" t="str">
        <f t="shared" si="0"/>
        <v>Outstanding</v>
      </c>
      <c r="V153" s="15" t="s">
        <v>28</v>
      </c>
    </row>
    <row r="154" spans="1:22" ht="60" customHeight="1" x14ac:dyDescent="0.35">
      <c r="A154" s="13" t="s">
        <v>1285</v>
      </c>
      <c r="B154" s="2" t="s">
        <v>1286</v>
      </c>
      <c r="C154" s="1" t="s">
        <v>1287</v>
      </c>
      <c r="D154" s="3" t="s">
        <v>25</v>
      </c>
      <c r="E154" s="3" t="s">
        <v>26</v>
      </c>
      <c r="F154" s="3" t="s">
        <v>27</v>
      </c>
      <c r="G154" s="3" t="s">
        <v>28</v>
      </c>
      <c r="H154" s="4" t="s">
        <v>28</v>
      </c>
      <c r="I154" s="4" t="s">
        <v>1288</v>
      </c>
      <c r="J154" s="4" t="s">
        <v>1289</v>
      </c>
      <c r="K154" s="5" t="s">
        <v>1290</v>
      </c>
      <c r="L154" s="5" t="s">
        <v>1291</v>
      </c>
      <c r="M154" s="4" t="s">
        <v>1292</v>
      </c>
      <c r="N154" s="4" t="s">
        <v>1293</v>
      </c>
      <c r="O154" s="4" t="s">
        <v>1294</v>
      </c>
      <c r="P154" s="4" t="s">
        <v>36</v>
      </c>
      <c r="Q154" s="4" t="s">
        <v>1295</v>
      </c>
      <c r="R154" s="4" t="s">
        <v>567</v>
      </c>
      <c r="S154" s="4"/>
      <c r="T154" s="6" t="s">
        <v>555</v>
      </c>
      <c r="U154" s="3" t="str">
        <f t="shared" si="0"/>
        <v>Outstanding</v>
      </c>
      <c r="V154" s="15" t="s">
        <v>28</v>
      </c>
    </row>
    <row r="155" spans="1:22" ht="60" customHeight="1" x14ac:dyDescent="0.35">
      <c r="A155" s="13" t="s">
        <v>1296</v>
      </c>
      <c r="B155" s="2" t="s">
        <v>1297</v>
      </c>
      <c r="C155" s="1" t="s">
        <v>1298</v>
      </c>
      <c r="D155" s="3" t="s">
        <v>25</v>
      </c>
      <c r="E155" s="3" t="s">
        <v>26</v>
      </c>
      <c r="F155" s="3" t="s">
        <v>27</v>
      </c>
      <c r="G155" s="3" t="s">
        <v>28</v>
      </c>
      <c r="H155" s="4" t="s">
        <v>28</v>
      </c>
      <c r="I155" s="4" t="s">
        <v>1299</v>
      </c>
      <c r="J155" s="4" t="s">
        <v>1300</v>
      </c>
      <c r="K155" s="5" t="s">
        <v>1301</v>
      </c>
      <c r="L155" s="5" t="s">
        <v>1302</v>
      </c>
      <c r="M155" s="4" t="s">
        <v>1303</v>
      </c>
      <c r="N155" s="4" t="s">
        <v>1304</v>
      </c>
      <c r="O155" s="4" t="s">
        <v>1305</v>
      </c>
      <c r="P155" s="4" t="s">
        <v>421</v>
      </c>
      <c r="Q155" s="4" t="s">
        <v>1306</v>
      </c>
      <c r="R155" s="4" t="s">
        <v>1307</v>
      </c>
      <c r="S155" s="4"/>
      <c r="T155" s="6" t="s">
        <v>555</v>
      </c>
      <c r="U155" s="3" t="str">
        <f t="shared" si="0"/>
        <v>Outstanding</v>
      </c>
      <c r="V155" s="15" t="s">
        <v>28</v>
      </c>
    </row>
    <row r="156" spans="1:22" ht="60" customHeight="1" x14ac:dyDescent="0.35">
      <c r="A156" s="13" t="s">
        <v>1308</v>
      </c>
      <c r="B156" s="2" t="s">
        <v>1309</v>
      </c>
      <c r="C156" s="1" t="s">
        <v>1298</v>
      </c>
      <c r="D156" s="3" t="s">
        <v>25</v>
      </c>
      <c r="E156" s="3" t="s">
        <v>26</v>
      </c>
      <c r="F156" s="3" t="s">
        <v>27</v>
      </c>
      <c r="G156" s="3" t="s">
        <v>28</v>
      </c>
      <c r="H156" s="4" t="s">
        <v>28</v>
      </c>
      <c r="I156" s="4" t="s">
        <v>1310</v>
      </c>
      <c r="J156" s="4" t="s">
        <v>1311</v>
      </c>
      <c r="K156" s="5" t="s">
        <v>1312</v>
      </c>
      <c r="L156" s="5" t="s">
        <v>1313</v>
      </c>
      <c r="M156" s="4" t="s">
        <v>1314</v>
      </c>
      <c r="N156" s="4" t="s">
        <v>1315</v>
      </c>
      <c r="O156" s="4" t="s">
        <v>1305</v>
      </c>
      <c r="P156" s="4" t="s">
        <v>421</v>
      </c>
      <c r="Q156" s="4" t="s">
        <v>1316</v>
      </c>
      <c r="R156" s="4" t="s">
        <v>1317</v>
      </c>
      <c r="S156" s="4"/>
      <c r="T156" s="6" t="s">
        <v>555</v>
      </c>
      <c r="U156" s="3" t="str">
        <f t="shared" si="0"/>
        <v>Outstanding</v>
      </c>
      <c r="V156" s="15" t="s">
        <v>28</v>
      </c>
    </row>
    <row r="157" spans="1:22" ht="60" customHeight="1" x14ac:dyDescent="0.35">
      <c r="A157" s="13" t="s">
        <v>1318</v>
      </c>
      <c r="B157" s="2" t="s">
        <v>1319</v>
      </c>
      <c r="C157" s="1" t="s">
        <v>1298</v>
      </c>
      <c r="D157" s="3" t="s">
        <v>25</v>
      </c>
      <c r="E157" s="3" t="s">
        <v>26</v>
      </c>
      <c r="F157" s="3" t="s">
        <v>27</v>
      </c>
      <c r="G157" s="3" t="s">
        <v>28</v>
      </c>
      <c r="H157" s="4" t="s">
        <v>28</v>
      </c>
      <c r="I157" s="4" t="s">
        <v>1320</v>
      </c>
      <c r="J157" s="4" t="s">
        <v>1321</v>
      </c>
      <c r="K157" s="5" t="s">
        <v>1322</v>
      </c>
      <c r="L157" s="5" t="s">
        <v>1323</v>
      </c>
      <c r="M157" s="4" t="s">
        <v>1324</v>
      </c>
      <c r="N157" s="4" t="s">
        <v>1325</v>
      </c>
      <c r="O157" s="4" t="s">
        <v>1305</v>
      </c>
      <c r="P157" s="4" t="s">
        <v>421</v>
      </c>
      <c r="Q157" s="4" t="s">
        <v>1326</v>
      </c>
      <c r="R157" s="4" t="s">
        <v>1327</v>
      </c>
      <c r="S157" s="4"/>
      <c r="T157" s="6" t="s">
        <v>555</v>
      </c>
      <c r="U157" s="3" t="str">
        <f t="shared" si="0"/>
        <v>Outstanding</v>
      </c>
      <c r="V157" s="15" t="s">
        <v>28</v>
      </c>
    </row>
    <row r="158" spans="1:22" ht="60" customHeight="1" x14ac:dyDescent="0.35">
      <c r="A158" s="13" t="s">
        <v>1328</v>
      </c>
      <c r="B158" s="2" t="s">
        <v>1329</v>
      </c>
      <c r="C158" s="1" t="s">
        <v>1298</v>
      </c>
      <c r="D158" s="3" t="s">
        <v>25</v>
      </c>
      <c r="E158" s="3" t="s">
        <v>26</v>
      </c>
      <c r="F158" s="3" t="s">
        <v>27</v>
      </c>
      <c r="G158" s="3" t="s">
        <v>28</v>
      </c>
      <c r="H158" s="4" t="s">
        <v>28</v>
      </c>
      <c r="I158" s="4" t="s">
        <v>1330</v>
      </c>
      <c r="J158" s="4" t="s">
        <v>1331</v>
      </c>
      <c r="K158" s="5" t="s">
        <v>1332</v>
      </c>
      <c r="L158" s="5" t="s">
        <v>1333</v>
      </c>
      <c r="M158" s="4" t="s">
        <v>1334</v>
      </c>
      <c r="N158" s="4" t="s">
        <v>1335</v>
      </c>
      <c r="O158" s="4" t="s">
        <v>1305</v>
      </c>
      <c r="P158" s="4" t="s">
        <v>421</v>
      </c>
      <c r="Q158" s="4" t="s">
        <v>1336</v>
      </c>
      <c r="R158" s="4" t="s">
        <v>1337</v>
      </c>
      <c r="S158" s="4"/>
      <c r="T158" s="6" t="s">
        <v>555</v>
      </c>
      <c r="U158" s="3" t="str">
        <f t="shared" si="0"/>
        <v>Outstanding</v>
      </c>
      <c r="V158" s="15" t="s">
        <v>28</v>
      </c>
    </row>
    <row r="159" spans="1:22" ht="60" customHeight="1" x14ac:dyDescent="0.35">
      <c r="A159" s="13" t="s">
        <v>1338</v>
      </c>
      <c r="B159" s="2" t="s">
        <v>1339</v>
      </c>
      <c r="C159" s="1" t="s">
        <v>1298</v>
      </c>
      <c r="D159" s="3" t="s">
        <v>25</v>
      </c>
      <c r="E159" s="3" t="s">
        <v>26</v>
      </c>
      <c r="F159" s="3" t="s">
        <v>27</v>
      </c>
      <c r="G159" s="3" t="s">
        <v>28</v>
      </c>
      <c r="H159" s="4" t="s">
        <v>28</v>
      </c>
      <c r="I159" s="4" t="s">
        <v>1340</v>
      </c>
      <c r="J159" s="4" t="s">
        <v>1341</v>
      </c>
      <c r="K159" s="5" t="s">
        <v>1342</v>
      </c>
      <c r="L159" s="5" t="s">
        <v>1343</v>
      </c>
      <c r="M159" s="4" t="s">
        <v>1344</v>
      </c>
      <c r="N159" s="4" t="s">
        <v>1345</v>
      </c>
      <c r="O159" s="4" t="s">
        <v>1305</v>
      </c>
      <c r="P159" s="4" t="s">
        <v>421</v>
      </c>
      <c r="Q159" s="4" t="s">
        <v>1346</v>
      </c>
      <c r="R159" s="4" t="s">
        <v>1347</v>
      </c>
      <c r="S159" s="4"/>
      <c r="T159" s="6" t="s">
        <v>555</v>
      </c>
      <c r="U159" s="3" t="str">
        <f t="shared" si="0"/>
        <v>Outstanding</v>
      </c>
      <c r="V159" s="15" t="s">
        <v>28</v>
      </c>
    </row>
    <row r="160" spans="1:22" ht="60" customHeight="1" x14ac:dyDescent="0.35">
      <c r="A160" s="13" t="s">
        <v>1348</v>
      </c>
      <c r="B160" s="2" t="s">
        <v>1349</v>
      </c>
      <c r="C160" s="1" t="s">
        <v>1298</v>
      </c>
      <c r="D160" s="3" t="s">
        <v>25</v>
      </c>
      <c r="E160" s="3" t="s">
        <v>26</v>
      </c>
      <c r="F160" s="3" t="s">
        <v>27</v>
      </c>
      <c r="G160" s="3" t="s">
        <v>28</v>
      </c>
      <c r="H160" s="4" t="s">
        <v>28</v>
      </c>
      <c r="I160" s="4" t="s">
        <v>1350</v>
      </c>
      <c r="J160" s="4" t="s">
        <v>1351</v>
      </c>
      <c r="K160" s="5" t="s">
        <v>1352</v>
      </c>
      <c r="L160" s="5" t="s">
        <v>1353</v>
      </c>
      <c r="M160" s="4" t="s">
        <v>1354</v>
      </c>
      <c r="N160" s="4" t="s">
        <v>1355</v>
      </c>
      <c r="O160" s="4" t="s">
        <v>1305</v>
      </c>
      <c r="P160" s="4" t="s">
        <v>421</v>
      </c>
      <c r="Q160" s="4" t="s">
        <v>1356</v>
      </c>
      <c r="R160" s="4" t="s">
        <v>1357</v>
      </c>
      <c r="S160" s="4"/>
      <c r="T160" s="6" t="s">
        <v>555</v>
      </c>
      <c r="U160" s="3" t="str">
        <f t="shared" si="0"/>
        <v>Outstanding</v>
      </c>
      <c r="V160" s="15" t="s">
        <v>28</v>
      </c>
    </row>
    <row r="161" spans="1:22" ht="60" customHeight="1" x14ac:dyDescent="0.35">
      <c r="A161" s="13" t="s">
        <v>1358</v>
      </c>
      <c r="B161" s="2" t="s">
        <v>1359</v>
      </c>
      <c r="C161" s="1" t="s">
        <v>1298</v>
      </c>
      <c r="D161" s="3" t="s">
        <v>25</v>
      </c>
      <c r="E161" s="3" t="s">
        <v>26</v>
      </c>
      <c r="F161" s="3" t="s">
        <v>27</v>
      </c>
      <c r="G161" s="3" t="s">
        <v>28</v>
      </c>
      <c r="H161" s="4" t="s">
        <v>28</v>
      </c>
      <c r="I161" s="4" t="s">
        <v>1360</v>
      </c>
      <c r="J161" s="4" t="s">
        <v>1361</v>
      </c>
      <c r="K161" s="5" t="s">
        <v>1362</v>
      </c>
      <c r="L161" s="5" t="s">
        <v>1363</v>
      </c>
      <c r="M161" s="4" t="s">
        <v>1364</v>
      </c>
      <c r="N161" s="4" t="s">
        <v>1365</v>
      </c>
      <c r="O161" s="4" t="s">
        <v>1305</v>
      </c>
      <c r="P161" s="4" t="s">
        <v>421</v>
      </c>
      <c r="Q161" s="4" t="s">
        <v>1366</v>
      </c>
      <c r="R161" s="4" t="s">
        <v>1367</v>
      </c>
      <c r="S161" s="4"/>
      <c r="T161" s="6" t="s">
        <v>555</v>
      </c>
      <c r="U161" s="3" t="str">
        <f t="shared" si="0"/>
        <v>Outstanding</v>
      </c>
      <c r="V161" s="15" t="s">
        <v>28</v>
      </c>
    </row>
    <row r="162" spans="1:22" ht="60" customHeight="1" x14ac:dyDescent="0.35">
      <c r="A162" s="13" t="s">
        <v>1368</v>
      </c>
      <c r="B162" s="2" t="s">
        <v>1369</v>
      </c>
      <c r="C162" s="1" t="s">
        <v>1298</v>
      </c>
      <c r="D162" s="3" t="s">
        <v>25</v>
      </c>
      <c r="E162" s="3" t="s">
        <v>26</v>
      </c>
      <c r="F162" s="3" t="s">
        <v>27</v>
      </c>
      <c r="G162" s="3" t="s">
        <v>28</v>
      </c>
      <c r="H162" s="4" t="s">
        <v>28</v>
      </c>
      <c r="I162" s="4" t="s">
        <v>1370</v>
      </c>
      <c r="J162" s="4" t="s">
        <v>1371</v>
      </c>
      <c r="K162" s="5" t="s">
        <v>1372</v>
      </c>
      <c r="L162" s="5" t="s">
        <v>1373</v>
      </c>
      <c r="M162" s="4" t="s">
        <v>1374</v>
      </c>
      <c r="N162" s="4" t="s">
        <v>1375</v>
      </c>
      <c r="O162" s="4" t="s">
        <v>1305</v>
      </c>
      <c r="P162" s="4" t="s">
        <v>421</v>
      </c>
      <c r="Q162" s="4" t="s">
        <v>1376</v>
      </c>
      <c r="R162" s="4" t="s">
        <v>1377</v>
      </c>
      <c r="S162" s="4"/>
      <c r="T162" s="6" t="s">
        <v>555</v>
      </c>
      <c r="U162" s="3" t="str">
        <f t="shared" si="0"/>
        <v>Outstanding</v>
      </c>
      <c r="V162" s="15" t="s">
        <v>28</v>
      </c>
    </row>
    <row r="163" spans="1:22" ht="60" customHeight="1" x14ac:dyDescent="0.35">
      <c r="A163" s="13" t="s">
        <v>542</v>
      </c>
      <c r="B163" s="2" t="s">
        <v>1378</v>
      </c>
      <c r="C163" s="1" t="s">
        <v>1379</v>
      </c>
      <c r="D163" s="3" t="s">
        <v>25</v>
      </c>
      <c r="E163" s="3" t="s">
        <v>26</v>
      </c>
      <c r="F163" s="3" t="s">
        <v>27</v>
      </c>
      <c r="G163" s="3" t="s">
        <v>28</v>
      </c>
      <c r="H163" s="4" t="s">
        <v>28</v>
      </c>
      <c r="I163" s="4" t="s">
        <v>1380</v>
      </c>
      <c r="J163" s="4" t="s">
        <v>1381</v>
      </c>
      <c r="K163" s="5" t="s">
        <v>547</v>
      </c>
      <c r="L163" s="5" t="s">
        <v>1382</v>
      </c>
      <c r="M163" s="4" t="s">
        <v>1383</v>
      </c>
      <c r="N163" s="4" t="s">
        <v>1384</v>
      </c>
      <c r="O163" s="4" t="s">
        <v>1385</v>
      </c>
      <c r="P163" s="4" t="s">
        <v>421</v>
      </c>
      <c r="Q163" s="4" t="s">
        <v>552</v>
      </c>
      <c r="R163" s="4" t="s">
        <v>553</v>
      </c>
      <c r="S163" s="4"/>
      <c r="T163" s="6" t="s">
        <v>555</v>
      </c>
      <c r="U163" s="3" t="str">
        <f t="shared" si="0"/>
        <v>Outstanding</v>
      </c>
      <c r="V163" s="15" t="s">
        <v>28</v>
      </c>
    </row>
    <row r="164" spans="1:22" ht="60" customHeight="1" x14ac:dyDescent="0.35">
      <c r="A164" s="13" t="s">
        <v>542</v>
      </c>
      <c r="B164" s="2" t="s">
        <v>1386</v>
      </c>
      <c r="C164" s="1" t="s">
        <v>1387</v>
      </c>
      <c r="D164" s="3" t="s">
        <v>25</v>
      </c>
      <c r="E164" s="3" t="s">
        <v>26</v>
      </c>
      <c r="F164" s="3" t="s">
        <v>27</v>
      </c>
      <c r="G164" s="3" t="s">
        <v>28</v>
      </c>
      <c r="H164" s="4" t="s">
        <v>28</v>
      </c>
      <c r="I164" s="4" t="s">
        <v>1388</v>
      </c>
      <c r="J164" s="4" t="s">
        <v>1389</v>
      </c>
      <c r="K164" s="5" t="s">
        <v>547</v>
      </c>
      <c r="L164" s="5" t="s">
        <v>1390</v>
      </c>
      <c r="M164" s="4" t="s">
        <v>1391</v>
      </c>
      <c r="N164" s="4" t="s">
        <v>1392</v>
      </c>
      <c r="O164" s="4" t="s">
        <v>1393</v>
      </c>
      <c r="P164" s="4" t="s">
        <v>421</v>
      </c>
      <c r="Q164" s="4" t="s">
        <v>552</v>
      </c>
      <c r="R164" s="4" t="s">
        <v>1394</v>
      </c>
      <c r="S164" s="4" t="s">
        <v>1395</v>
      </c>
      <c r="T164" s="6" t="s">
        <v>555</v>
      </c>
      <c r="U164" s="3" t="str">
        <f t="shared" si="0"/>
        <v>Outstanding</v>
      </c>
      <c r="V164" s="15" t="s">
        <v>28</v>
      </c>
    </row>
    <row r="165" spans="1:22" ht="60" customHeight="1" x14ac:dyDescent="0.35">
      <c r="A165" s="13" t="s">
        <v>542</v>
      </c>
      <c r="B165" s="2" t="s">
        <v>1396</v>
      </c>
      <c r="C165" s="1" t="s">
        <v>1397</v>
      </c>
      <c r="D165" s="3" t="s">
        <v>25</v>
      </c>
      <c r="E165" s="3" t="s">
        <v>26</v>
      </c>
      <c r="F165" s="3" t="s">
        <v>27</v>
      </c>
      <c r="G165" s="3" t="s">
        <v>28</v>
      </c>
      <c r="H165" s="4" t="s">
        <v>28</v>
      </c>
      <c r="I165" s="4" t="s">
        <v>1398</v>
      </c>
      <c r="J165" s="4" t="s">
        <v>1399</v>
      </c>
      <c r="K165" s="5" t="s">
        <v>547</v>
      </c>
      <c r="L165" s="5" t="s">
        <v>1400</v>
      </c>
      <c r="M165" s="4" t="s">
        <v>1401</v>
      </c>
      <c r="N165" s="4" t="s">
        <v>1402</v>
      </c>
      <c r="O165" s="4" t="s">
        <v>1403</v>
      </c>
      <c r="P165" s="4" t="s">
        <v>36</v>
      </c>
      <c r="Q165" s="4" t="s">
        <v>552</v>
      </c>
      <c r="R165" s="4" t="s">
        <v>567</v>
      </c>
      <c r="S165" s="4" t="s">
        <v>1402</v>
      </c>
      <c r="T165" s="6" t="s">
        <v>555</v>
      </c>
      <c r="U165" s="3" t="str">
        <f t="shared" si="0"/>
        <v>Outstanding</v>
      </c>
      <c r="V165" s="15" t="s">
        <v>28</v>
      </c>
    </row>
    <row r="166" spans="1:22" ht="60" customHeight="1" x14ac:dyDescent="0.35">
      <c r="A166" s="13" t="s">
        <v>542</v>
      </c>
      <c r="B166" s="2" t="s">
        <v>1404</v>
      </c>
      <c r="C166" s="1" t="s">
        <v>1405</v>
      </c>
      <c r="D166" s="3" t="s">
        <v>25</v>
      </c>
      <c r="E166" s="3" t="s">
        <v>26</v>
      </c>
      <c r="F166" s="3" t="s">
        <v>27</v>
      </c>
      <c r="G166" s="3" t="s">
        <v>28</v>
      </c>
      <c r="H166" s="4" t="s">
        <v>28</v>
      </c>
      <c r="I166" s="4" t="s">
        <v>1406</v>
      </c>
      <c r="J166" s="4" t="s">
        <v>1407</v>
      </c>
      <c r="K166" s="5" t="s">
        <v>547</v>
      </c>
      <c r="L166" s="5" t="s">
        <v>1408</v>
      </c>
      <c r="M166" s="4" t="s">
        <v>1409</v>
      </c>
      <c r="N166" s="4" t="s">
        <v>1410</v>
      </c>
      <c r="O166" s="4" t="s">
        <v>1411</v>
      </c>
      <c r="P166" s="4" t="s">
        <v>36</v>
      </c>
      <c r="Q166" s="4" t="s">
        <v>552</v>
      </c>
      <c r="R166" s="4" t="s">
        <v>567</v>
      </c>
      <c r="S166" s="4" t="s">
        <v>1410</v>
      </c>
      <c r="T166" s="6" t="s">
        <v>555</v>
      </c>
      <c r="U166" s="3" t="str">
        <f t="shared" si="0"/>
        <v>Outstanding</v>
      </c>
      <c r="V166" s="15" t="s">
        <v>28</v>
      </c>
    </row>
    <row r="167" spans="1:22" ht="60" customHeight="1" x14ac:dyDescent="0.35">
      <c r="A167" s="13" t="s">
        <v>542</v>
      </c>
      <c r="B167" s="2" t="s">
        <v>1412</v>
      </c>
      <c r="C167" s="1" t="s">
        <v>1413</v>
      </c>
      <c r="D167" s="3" t="s">
        <v>25</v>
      </c>
      <c r="E167" s="3" t="s">
        <v>26</v>
      </c>
      <c r="F167" s="3" t="s">
        <v>27</v>
      </c>
      <c r="G167" s="3" t="s">
        <v>28</v>
      </c>
      <c r="H167" s="4" t="s">
        <v>28</v>
      </c>
      <c r="I167" s="4" t="s">
        <v>1414</v>
      </c>
      <c r="J167" s="4" t="s">
        <v>1415</v>
      </c>
      <c r="K167" s="5" t="s">
        <v>547</v>
      </c>
      <c r="L167" s="5" t="s">
        <v>1416</v>
      </c>
      <c r="M167" s="4" t="s">
        <v>1417</v>
      </c>
      <c r="N167" s="4" t="s">
        <v>1418</v>
      </c>
      <c r="O167" s="4" t="s">
        <v>1419</v>
      </c>
      <c r="P167" s="4" t="s">
        <v>36</v>
      </c>
      <c r="Q167" s="4" t="s">
        <v>552</v>
      </c>
      <c r="R167" s="4" t="s">
        <v>567</v>
      </c>
      <c r="S167" s="4" t="s">
        <v>1418</v>
      </c>
      <c r="T167" s="6" t="s">
        <v>555</v>
      </c>
      <c r="U167" s="3" t="str">
        <f t="shared" si="0"/>
        <v>Outstanding</v>
      </c>
      <c r="V167" s="15" t="s">
        <v>28</v>
      </c>
    </row>
    <row r="168" spans="1:22" ht="60" customHeight="1" x14ac:dyDescent="0.35">
      <c r="A168" s="13" t="s">
        <v>542</v>
      </c>
      <c r="B168" s="2" t="s">
        <v>1420</v>
      </c>
      <c r="C168" s="1" t="s">
        <v>1421</v>
      </c>
      <c r="D168" s="3" t="s">
        <v>25</v>
      </c>
      <c r="E168" s="3" t="s">
        <v>26</v>
      </c>
      <c r="F168" s="3" t="s">
        <v>27</v>
      </c>
      <c r="G168" s="3" t="s">
        <v>28</v>
      </c>
      <c r="H168" s="4" t="s">
        <v>28</v>
      </c>
      <c r="I168" s="4" t="s">
        <v>1422</v>
      </c>
      <c r="J168" s="4" t="s">
        <v>1423</v>
      </c>
      <c r="K168" s="5" t="s">
        <v>547</v>
      </c>
      <c r="L168" s="5" t="s">
        <v>1424</v>
      </c>
      <c r="M168" s="4" t="s">
        <v>1425</v>
      </c>
      <c r="N168" s="4" t="s">
        <v>1426</v>
      </c>
      <c r="O168" s="4" t="s">
        <v>1427</v>
      </c>
      <c r="P168" s="4" t="s">
        <v>421</v>
      </c>
      <c r="Q168" s="4" t="s">
        <v>552</v>
      </c>
      <c r="R168" s="4" t="s">
        <v>1428</v>
      </c>
      <c r="S168" s="4" t="s">
        <v>1426</v>
      </c>
      <c r="T168" s="6" t="s">
        <v>555</v>
      </c>
      <c r="U168" s="3" t="str">
        <f t="shared" si="0"/>
        <v>Outstanding</v>
      </c>
      <c r="V168" s="15" t="s">
        <v>28</v>
      </c>
    </row>
    <row r="169" spans="1:22" ht="60" customHeight="1" x14ac:dyDescent="0.35">
      <c r="A169" s="13" t="s">
        <v>542</v>
      </c>
      <c r="B169" s="2" t="s">
        <v>1429</v>
      </c>
      <c r="C169" s="1" t="s">
        <v>1430</v>
      </c>
      <c r="D169" s="3" t="s">
        <v>25</v>
      </c>
      <c r="E169" s="3" t="s">
        <v>26</v>
      </c>
      <c r="F169" s="3" t="s">
        <v>27</v>
      </c>
      <c r="G169" s="3" t="s">
        <v>28</v>
      </c>
      <c r="H169" s="4" t="s">
        <v>28</v>
      </c>
      <c r="I169" s="4" t="s">
        <v>1431</v>
      </c>
      <c r="J169" s="4" t="s">
        <v>1432</v>
      </c>
      <c r="K169" s="5" t="s">
        <v>547</v>
      </c>
      <c r="L169" s="5" t="s">
        <v>1433</v>
      </c>
      <c r="M169" s="4" t="s">
        <v>1434</v>
      </c>
      <c r="N169" s="4" t="s">
        <v>1435</v>
      </c>
      <c r="O169" s="4" t="s">
        <v>1436</v>
      </c>
      <c r="P169" s="4" t="s">
        <v>421</v>
      </c>
      <c r="Q169" s="4" t="s">
        <v>552</v>
      </c>
      <c r="R169" s="4" t="s">
        <v>1437</v>
      </c>
      <c r="S169" s="4" t="s">
        <v>1438</v>
      </c>
      <c r="T169" s="6" t="s">
        <v>555</v>
      </c>
      <c r="U169" s="3" t="str">
        <f t="shared" si="0"/>
        <v>Outstanding</v>
      </c>
      <c r="V169" s="15" t="s">
        <v>28</v>
      </c>
    </row>
    <row r="170" spans="1:22" ht="60" customHeight="1" x14ac:dyDescent="0.35">
      <c r="A170" s="13" t="s">
        <v>542</v>
      </c>
      <c r="B170" s="2" t="s">
        <v>1439</v>
      </c>
      <c r="C170" s="1" t="s">
        <v>1440</v>
      </c>
      <c r="D170" s="3" t="s">
        <v>25</v>
      </c>
      <c r="E170" s="3" t="s">
        <v>26</v>
      </c>
      <c r="F170" s="3" t="s">
        <v>27</v>
      </c>
      <c r="G170" s="3" t="s">
        <v>28</v>
      </c>
      <c r="H170" s="4" t="s">
        <v>28</v>
      </c>
      <c r="I170" s="4" t="s">
        <v>1441</v>
      </c>
      <c r="J170" s="4" t="s">
        <v>1442</v>
      </c>
      <c r="K170" s="5" t="s">
        <v>547</v>
      </c>
      <c r="L170" s="5" t="s">
        <v>1443</v>
      </c>
      <c r="M170" s="4" t="s">
        <v>1444</v>
      </c>
      <c r="N170" s="4" t="s">
        <v>1445</v>
      </c>
      <c r="O170" s="4" t="s">
        <v>1446</v>
      </c>
      <c r="P170" s="4" t="s">
        <v>421</v>
      </c>
      <c r="Q170" s="4" t="s">
        <v>552</v>
      </c>
      <c r="R170" s="4" t="s">
        <v>1447</v>
      </c>
      <c r="S170" s="4" t="s">
        <v>1448</v>
      </c>
      <c r="T170" s="6" t="s">
        <v>555</v>
      </c>
      <c r="U170" s="3" t="str">
        <f t="shared" si="0"/>
        <v>Outstanding</v>
      </c>
      <c r="V170" s="15" t="s">
        <v>28</v>
      </c>
    </row>
    <row r="171" spans="1:22" ht="60" customHeight="1" x14ac:dyDescent="0.35">
      <c r="A171" s="13" t="s">
        <v>542</v>
      </c>
      <c r="B171" s="2" t="s">
        <v>1449</v>
      </c>
      <c r="C171" s="1" t="s">
        <v>1450</v>
      </c>
      <c r="D171" s="3" t="s">
        <v>25</v>
      </c>
      <c r="E171" s="3" t="s">
        <v>26</v>
      </c>
      <c r="F171" s="3" t="s">
        <v>27</v>
      </c>
      <c r="G171" s="3" t="s">
        <v>28</v>
      </c>
      <c r="H171" s="4" t="s">
        <v>28</v>
      </c>
      <c r="I171" s="4" t="s">
        <v>1451</v>
      </c>
      <c r="J171" s="4"/>
      <c r="K171" s="5" t="s">
        <v>547</v>
      </c>
      <c r="L171" s="5" t="s">
        <v>1452</v>
      </c>
      <c r="M171" s="4"/>
      <c r="N171" s="4" t="s">
        <v>1453</v>
      </c>
      <c r="O171" s="4" t="s">
        <v>1454</v>
      </c>
      <c r="P171" s="4" t="s">
        <v>229</v>
      </c>
      <c r="Q171" s="4" t="s">
        <v>552</v>
      </c>
      <c r="R171" s="4" t="s">
        <v>608</v>
      </c>
      <c r="S171" s="4" t="s">
        <v>1455</v>
      </c>
      <c r="T171" s="6" t="s">
        <v>555</v>
      </c>
      <c r="U171" s="3" t="str">
        <f t="shared" si="0"/>
        <v>Outstanding</v>
      </c>
      <c r="V171" s="15" t="s">
        <v>28</v>
      </c>
    </row>
    <row r="172" spans="1:22" ht="60" customHeight="1" x14ac:dyDescent="0.35">
      <c r="A172" s="13" t="s">
        <v>1456</v>
      </c>
      <c r="B172" s="2" t="s">
        <v>1457</v>
      </c>
      <c r="C172" s="1" t="s">
        <v>1458</v>
      </c>
      <c r="D172" s="3" t="s">
        <v>25</v>
      </c>
      <c r="E172" s="3" t="s">
        <v>26</v>
      </c>
      <c r="F172" s="3" t="s">
        <v>27</v>
      </c>
      <c r="G172" s="3" t="s">
        <v>28</v>
      </c>
      <c r="H172" s="4" t="s">
        <v>28</v>
      </c>
      <c r="I172" s="4" t="s">
        <v>1459</v>
      </c>
      <c r="J172" s="4" t="s">
        <v>1460</v>
      </c>
      <c r="K172" s="5" t="s">
        <v>1461</v>
      </c>
      <c r="L172" s="5" t="s">
        <v>1462</v>
      </c>
      <c r="M172" s="4" t="s">
        <v>1463</v>
      </c>
      <c r="N172" s="4" t="s">
        <v>1464</v>
      </c>
      <c r="O172" s="4" t="s">
        <v>1465</v>
      </c>
      <c r="P172" s="4" t="s">
        <v>36</v>
      </c>
      <c r="Q172" s="4" t="s">
        <v>1466</v>
      </c>
      <c r="R172" s="4" t="s">
        <v>1467</v>
      </c>
      <c r="S172" s="4" t="s">
        <v>1464</v>
      </c>
      <c r="T172" s="6" t="s">
        <v>1468</v>
      </c>
      <c r="U172" s="3" t="str">
        <f t="shared" si="0"/>
        <v>Outstanding</v>
      </c>
      <c r="V172" s="15" t="s">
        <v>28</v>
      </c>
    </row>
    <row r="173" spans="1:22" ht="60" customHeight="1" x14ac:dyDescent="0.35">
      <c r="A173" s="13" t="s">
        <v>1469</v>
      </c>
      <c r="B173" s="2" t="s">
        <v>1470</v>
      </c>
      <c r="C173" s="1" t="s">
        <v>1471</v>
      </c>
      <c r="D173" s="3" t="s">
        <v>25</v>
      </c>
      <c r="E173" s="3" t="s">
        <v>26</v>
      </c>
      <c r="F173" s="3" t="s">
        <v>27</v>
      </c>
      <c r="G173" s="3" t="s">
        <v>28</v>
      </c>
      <c r="H173" s="4" t="s">
        <v>28</v>
      </c>
      <c r="I173" s="4" t="s">
        <v>1472</v>
      </c>
      <c r="J173" s="4" t="s">
        <v>1473</v>
      </c>
      <c r="K173" s="5" t="s">
        <v>1474</v>
      </c>
      <c r="L173" s="5" t="s">
        <v>1475</v>
      </c>
      <c r="M173" s="4" t="s">
        <v>1476</v>
      </c>
      <c r="N173" s="4" t="s">
        <v>1477</v>
      </c>
      <c r="O173" s="4" t="s">
        <v>1478</v>
      </c>
      <c r="P173" s="4" t="s">
        <v>36</v>
      </c>
      <c r="Q173" s="4" t="s">
        <v>1479</v>
      </c>
      <c r="R173" s="4" t="s">
        <v>1480</v>
      </c>
      <c r="S173" s="4" t="s">
        <v>1477</v>
      </c>
      <c r="T173" s="6" t="s">
        <v>1468</v>
      </c>
      <c r="U173" s="3" t="str">
        <f t="shared" si="0"/>
        <v>Outstanding</v>
      </c>
      <c r="V173" s="15" t="s">
        <v>28</v>
      </c>
    </row>
    <row r="174" spans="1:22" ht="60" customHeight="1" x14ac:dyDescent="0.35">
      <c r="A174" s="13" t="s">
        <v>1481</v>
      </c>
      <c r="B174" s="2" t="s">
        <v>1482</v>
      </c>
      <c r="C174" s="1" t="s">
        <v>1483</v>
      </c>
      <c r="D174" s="3" t="s">
        <v>25</v>
      </c>
      <c r="E174" s="3" t="s">
        <v>26</v>
      </c>
      <c r="F174" s="3" t="s">
        <v>27</v>
      </c>
      <c r="G174" s="3" t="s">
        <v>28</v>
      </c>
      <c r="H174" s="4" t="s">
        <v>28</v>
      </c>
      <c r="I174" s="4" t="s">
        <v>1484</v>
      </c>
      <c r="J174" s="4"/>
      <c r="K174" s="5" t="s">
        <v>1485</v>
      </c>
      <c r="L174" s="5" t="s">
        <v>1486</v>
      </c>
      <c r="M174" s="4"/>
      <c r="N174" s="4"/>
      <c r="O174" s="4"/>
      <c r="P174" s="4"/>
      <c r="Q174" s="4"/>
      <c r="R174" s="4"/>
      <c r="S174" s="4"/>
      <c r="T174" s="6"/>
      <c r="U174" s="3" t="str">
        <f t="shared" si="0"/>
        <v>Outstanding</v>
      </c>
      <c r="V174" s="15" t="s">
        <v>28</v>
      </c>
    </row>
    <row r="175" spans="1:22" ht="60" customHeight="1" x14ac:dyDescent="0.35">
      <c r="A175" s="13" t="s">
        <v>1487</v>
      </c>
      <c r="B175" s="2" t="s">
        <v>1488</v>
      </c>
      <c r="C175" s="1" t="s">
        <v>1489</v>
      </c>
      <c r="D175" s="3" t="s">
        <v>25</v>
      </c>
      <c r="E175" s="3" t="s">
        <v>26</v>
      </c>
      <c r="F175" s="3" t="s">
        <v>27</v>
      </c>
      <c r="G175" s="3" t="s">
        <v>28</v>
      </c>
      <c r="H175" s="4" t="s">
        <v>28</v>
      </c>
      <c r="I175" s="4" t="s">
        <v>1490</v>
      </c>
      <c r="J175" s="4"/>
      <c r="K175" s="5" t="s">
        <v>1491</v>
      </c>
      <c r="L175" s="5" t="s">
        <v>1492</v>
      </c>
      <c r="M175" s="4"/>
      <c r="N175" s="4"/>
      <c r="O175" s="4"/>
      <c r="P175" s="4"/>
      <c r="Q175" s="4"/>
      <c r="R175" s="4"/>
      <c r="S175" s="4"/>
      <c r="T175" s="6"/>
      <c r="U175" s="3" t="str">
        <f t="shared" si="0"/>
        <v>Outstanding</v>
      </c>
      <c r="V175" s="15" t="s">
        <v>28</v>
      </c>
    </row>
    <row r="176" spans="1:22" ht="60" customHeight="1" x14ac:dyDescent="0.35">
      <c r="A176" s="13" t="s">
        <v>1493</v>
      </c>
      <c r="B176" s="2" t="s">
        <v>1494</v>
      </c>
      <c r="C176" s="1" t="s">
        <v>1495</v>
      </c>
      <c r="D176" s="3" t="s">
        <v>25</v>
      </c>
      <c r="E176" s="3" t="s">
        <v>26</v>
      </c>
      <c r="F176" s="3" t="s">
        <v>27</v>
      </c>
      <c r="G176" s="3" t="s">
        <v>28</v>
      </c>
      <c r="H176" s="4" t="s">
        <v>28</v>
      </c>
      <c r="I176" s="4" t="s">
        <v>1496</v>
      </c>
      <c r="J176" s="4" t="s">
        <v>1497</v>
      </c>
      <c r="K176" s="5" t="s">
        <v>1498</v>
      </c>
      <c r="L176" s="5" t="s">
        <v>1499</v>
      </c>
      <c r="M176" s="4" t="s">
        <v>1500</v>
      </c>
      <c r="N176" s="4" t="s">
        <v>1501</v>
      </c>
      <c r="O176" s="4" t="s">
        <v>1502</v>
      </c>
      <c r="P176" s="4" t="s">
        <v>36</v>
      </c>
      <c r="Q176" s="4" t="s">
        <v>1503</v>
      </c>
      <c r="R176" s="4" t="s">
        <v>1504</v>
      </c>
      <c r="S176" s="4" t="s">
        <v>1505</v>
      </c>
      <c r="T176" s="6" t="s">
        <v>1506</v>
      </c>
      <c r="U176" s="3" t="str">
        <f t="shared" si="0"/>
        <v>Outstanding</v>
      </c>
      <c r="V176" s="15" t="s">
        <v>28</v>
      </c>
    </row>
    <row r="177" spans="1:22" ht="60" customHeight="1" x14ac:dyDescent="0.35">
      <c r="A177" s="13" t="s">
        <v>1507</v>
      </c>
      <c r="B177" s="2" t="s">
        <v>1508</v>
      </c>
      <c r="C177" s="1" t="s">
        <v>1509</v>
      </c>
      <c r="D177" s="3" t="s">
        <v>25</v>
      </c>
      <c r="E177" s="3" t="s">
        <v>26</v>
      </c>
      <c r="F177" s="3" t="s">
        <v>27</v>
      </c>
      <c r="G177" s="3" t="s">
        <v>28</v>
      </c>
      <c r="H177" s="4" t="s">
        <v>28</v>
      </c>
      <c r="I177" s="4" t="s">
        <v>1510</v>
      </c>
      <c r="J177" s="4" t="s">
        <v>1511</v>
      </c>
      <c r="K177" s="5" t="s">
        <v>1512</v>
      </c>
      <c r="L177" s="5" t="s">
        <v>1513</v>
      </c>
      <c r="M177" s="4" t="s">
        <v>1514</v>
      </c>
      <c r="N177" s="4" t="s">
        <v>1515</v>
      </c>
      <c r="O177" s="4" t="s">
        <v>1516</v>
      </c>
      <c r="P177" s="4" t="s">
        <v>36</v>
      </c>
      <c r="Q177" s="4" t="s">
        <v>1517</v>
      </c>
      <c r="R177" s="4" t="s">
        <v>1504</v>
      </c>
      <c r="S177" s="4" t="s">
        <v>1518</v>
      </c>
      <c r="T177" s="6" t="s">
        <v>1506</v>
      </c>
      <c r="U177" s="3" t="str">
        <f t="shared" si="0"/>
        <v>Outstanding</v>
      </c>
      <c r="V177" s="15" t="s">
        <v>28</v>
      </c>
    </row>
    <row r="178" spans="1:22" ht="60" customHeight="1" x14ac:dyDescent="0.35">
      <c r="A178" s="13" t="s">
        <v>493</v>
      </c>
      <c r="B178" s="2" t="s">
        <v>1519</v>
      </c>
      <c r="C178" s="1" t="s">
        <v>1520</v>
      </c>
      <c r="D178" s="3" t="s">
        <v>25</v>
      </c>
      <c r="E178" s="3" t="s">
        <v>26</v>
      </c>
      <c r="F178" s="3" t="s">
        <v>27</v>
      </c>
      <c r="G178" s="3" t="s">
        <v>28</v>
      </c>
      <c r="H178" s="4" t="s">
        <v>28</v>
      </c>
      <c r="I178" s="4" t="s">
        <v>1521</v>
      </c>
      <c r="J178" s="4" t="s">
        <v>1522</v>
      </c>
      <c r="K178" s="5" t="s">
        <v>1523</v>
      </c>
      <c r="L178" s="5" t="s">
        <v>1524</v>
      </c>
      <c r="M178" s="4" t="s">
        <v>1525</v>
      </c>
      <c r="N178" s="4" t="s">
        <v>1526</v>
      </c>
      <c r="O178" s="4" t="s">
        <v>1527</v>
      </c>
      <c r="P178" s="4" t="s">
        <v>36</v>
      </c>
      <c r="Q178" s="4" t="s">
        <v>1528</v>
      </c>
      <c r="R178" s="4" t="s">
        <v>1504</v>
      </c>
      <c r="S178" s="4" t="s">
        <v>1529</v>
      </c>
      <c r="T178" s="6" t="s">
        <v>1506</v>
      </c>
      <c r="U178" s="3" t="str">
        <f t="shared" si="0"/>
        <v>Outstanding</v>
      </c>
      <c r="V178" s="15" t="s">
        <v>28</v>
      </c>
    </row>
    <row r="179" spans="1:22" ht="60" customHeight="1" x14ac:dyDescent="0.35">
      <c r="A179" s="13" t="s">
        <v>493</v>
      </c>
      <c r="B179" s="2" t="s">
        <v>1530</v>
      </c>
      <c r="C179" s="1" t="s">
        <v>1531</v>
      </c>
      <c r="D179" s="3" t="s">
        <v>25</v>
      </c>
      <c r="E179" s="3" t="s">
        <v>26</v>
      </c>
      <c r="F179" s="3" t="s">
        <v>27</v>
      </c>
      <c r="G179" s="3" t="s">
        <v>28</v>
      </c>
      <c r="H179" s="4" t="s">
        <v>28</v>
      </c>
      <c r="I179" s="4" t="s">
        <v>1532</v>
      </c>
      <c r="J179" s="4" t="s">
        <v>1533</v>
      </c>
      <c r="K179" s="5" t="s">
        <v>1523</v>
      </c>
      <c r="L179" s="5" t="s">
        <v>1534</v>
      </c>
      <c r="M179" s="4" t="s">
        <v>1535</v>
      </c>
      <c r="N179" s="4" t="s">
        <v>1536</v>
      </c>
      <c r="O179" s="4" t="s">
        <v>1537</v>
      </c>
      <c r="P179" s="4" t="s">
        <v>36</v>
      </c>
      <c r="Q179" s="4" t="s">
        <v>1528</v>
      </c>
      <c r="R179" s="4" t="s">
        <v>1504</v>
      </c>
      <c r="S179" s="4" t="s">
        <v>1538</v>
      </c>
      <c r="T179" s="6" t="s">
        <v>1506</v>
      </c>
      <c r="U179" s="3" t="str">
        <f t="shared" si="0"/>
        <v>Outstanding</v>
      </c>
      <c r="V179" s="15" t="s">
        <v>28</v>
      </c>
    </row>
    <row r="180" spans="1:22" ht="60" customHeight="1" x14ac:dyDescent="0.35">
      <c r="A180" s="13" t="s">
        <v>493</v>
      </c>
      <c r="B180" s="2" t="s">
        <v>1539</v>
      </c>
      <c r="C180" s="1" t="s">
        <v>1540</v>
      </c>
      <c r="D180" s="3" t="s">
        <v>25</v>
      </c>
      <c r="E180" s="3" t="s">
        <v>26</v>
      </c>
      <c r="F180" s="3" t="s">
        <v>27</v>
      </c>
      <c r="G180" s="3" t="s">
        <v>28</v>
      </c>
      <c r="H180" s="4" t="s">
        <v>28</v>
      </c>
      <c r="I180" s="4" t="s">
        <v>1541</v>
      </c>
      <c r="J180" s="4" t="s">
        <v>1542</v>
      </c>
      <c r="K180" s="5" t="s">
        <v>1523</v>
      </c>
      <c r="L180" s="5" t="s">
        <v>1543</v>
      </c>
      <c r="M180" s="4" t="s">
        <v>1544</v>
      </c>
      <c r="N180" s="4" t="s">
        <v>1545</v>
      </c>
      <c r="O180" s="4" t="s">
        <v>1546</v>
      </c>
      <c r="P180" s="4" t="s">
        <v>36</v>
      </c>
      <c r="Q180" s="4" t="s">
        <v>1528</v>
      </c>
      <c r="R180" s="4" t="s">
        <v>1504</v>
      </c>
      <c r="S180" s="4"/>
      <c r="T180" s="6" t="s">
        <v>1506</v>
      </c>
      <c r="U180" s="3" t="str">
        <f t="shared" si="0"/>
        <v>Outstanding</v>
      </c>
      <c r="V180" s="15" t="s">
        <v>28</v>
      </c>
    </row>
    <row r="181" spans="1:22" ht="60" customHeight="1" x14ac:dyDescent="0.35">
      <c r="A181" s="13" t="s">
        <v>1547</v>
      </c>
      <c r="B181" s="2" t="s">
        <v>1548</v>
      </c>
      <c r="C181" s="1" t="s">
        <v>1549</v>
      </c>
      <c r="D181" s="3" t="s">
        <v>25</v>
      </c>
      <c r="E181" s="3" t="s">
        <v>26</v>
      </c>
      <c r="F181" s="3" t="s">
        <v>27</v>
      </c>
      <c r="G181" s="3" t="s">
        <v>28</v>
      </c>
      <c r="H181" s="4" t="s">
        <v>28</v>
      </c>
      <c r="I181" s="4" t="s">
        <v>1550</v>
      </c>
      <c r="J181" s="4" t="s">
        <v>1551</v>
      </c>
      <c r="K181" s="5" t="s">
        <v>1552</v>
      </c>
      <c r="L181" s="5" t="s">
        <v>1553</v>
      </c>
      <c r="M181" s="4" t="s">
        <v>1554</v>
      </c>
      <c r="N181" s="4" t="s">
        <v>1555</v>
      </c>
      <c r="O181" s="4" t="s">
        <v>1556</v>
      </c>
      <c r="P181" s="4" t="s">
        <v>421</v>
      </c>
      <c r="Q181" s="4" t="s">
        <v>1557</v>
      </c>
      <c r="R181" s="4" t="s">
        <v>1558</v>
      </c>
      <c r="S181" s="4" t="s">
        <v>1559</v>
      </c>
      <c r="T181" s="6" t="s">
        <v>555</v>
      </c>
      <c r="U181" s="3" t="str">
        <f t="shared" si="0"/>
        <v>Outstanding</v>
      </c>
      <c r="V181" s="15" t="s">
        <v>28</v>
      </c>
    </row>
    <row r="182" spans="1:22" ht="60" customHeight="1" x14ac:dyDescent="0.35">
      <c r="A182" s="13" t="s">
        <v>1560</v>
      </c>
      <c r="B182" s="2" t="s">
        <v>1561</v>
      </c>
      <c r="C182" s="1" t="s">
        <v>1562</v>
      </c>
      <c r="D182" s="3" t="s">
        <v>25</v>
      </c>
      <c r="E182" s="3" t="s">
        <v>26</v>
      </c>
      <c r="F182" s="3" t="s">
        <v>27</v>
      </c>
      <c r="G182" s="3" t="s">
        <v>28</v>
      </c>
      <c r="H182" s="4" t="s">
        <v>28</v>
      </c>
      <c r="I182" s="4" t="s">
        <v>1563</v>
      </c>
      <c r="J182" s="4" t="s">
        <v>1564</v>
      </c>
      <c r="K182" s="5" t="s">
        <v>1565</v>
      </c>
      <c r="L182" s="5" t="s">
        <v>1566</v>
      </c>
      <c r="M182" s="4" t="s">
        <v>1567</v>
      </c>
      <c r="N182" s="4" t="s">
        <v>1568</v>
      </c>
      <c r="O182" s="4" t="s">
        <v>1569</v>
      </c>
      <c r="P182" s="4" t="s">
        <v>36</v>
      </c>
      <c r="Q182" s="4" t="s">
        <v>1570</v>
      </c>
      <c r="R182" s="4" t="s">
        <v>408</v>
      </c>
      <c r="S182" s="4" t="s">
        <v>1571</v>
      </c>
      <c r="T182" s="6" t="s">
        <v>1572</v>
      </c>
      <c r="U182" s="3" t="str">
        <f t="shared" si="0"/>
        <v>Outstanding</v>
      </c>
      <c r="V182" s="15" t="s">
        <v>28</v>
      </c>
    </row>
    <row r="183" spans="1:22" ht="60" customHeight="1" x14ac:dyDescent="0.35">
      <c r="A183" s="13" t="s">
        <v>1560</v>
      </c>
      <c r="B183" s="2" t="s">
        <v>1573</v>
      </c>
      <c r="C183" s="1" t="s">
        <v>1574</v>
      </c>
      <c r="D183" s="3" t="s">
        <v>25</v>
      </c>
      <c r="E183" s="3" t="s">
        <v>26</v>
      </c>
      <c r="F183" s="3" t="s">
        <v>27</v>
      </c>
      <c r="G183" s="3" t="s">
        <v>28</v>
      </c>
      <c r="H183" s="4" t="s">
        <v>28</v>
      </c>
      <c r="I183" s="4" t="s">
        <v>1575</v>
      </c>
      <c r="J183" s="4" t="s">
        <v>1576</v>
      </c>
      <c r="K183" s="5" t="s">
        <v>1565</v>
      </c>
      <c r="L183" s="5" t="s">
        <v>1577</v>
      </c>
      <c r="M183" s="4" t="s">
        <v>1578</v>
      </c>
      <c r="N183" s="4" t="s">
        <v>1579</v>
      </c>
      <c r="O183" s="4" t="s">
        <v>1580</v>
      </c>
      <c r="P183" s="4" t="s">
        <v>36</v>
      </c>
      <c r="Q183" s="4" t="s">
        <v>1570</v>
      </c>
      <c r="R183" s="4" t="s">
        <v>408</v>
      </c>
      <c r="S183" s="4" t="s">
        <v>1581</v>
      </c>
      <c r="T183" s="6" t="s">
        <v>1572</v>
      </c>
      <c r="U183" s="3" t="str">
        <f t="shared" si="0"/>
        <v>Outstanding</v>
      </c>
      <c r="V183" s="15" t="s">
        <v>28</v>
      </c>
    </row>
    <row r="184" spans="1:22" ht="60" customHeight="1" x14ac:dyDescent="0.35">
      <c r="A184" s="13" t="s">
        <v>1582</v>
      </c>
      <c r="B184" s="2" t="s">
        <v>1583</v>
      </c>
      <c r="C184" s="1" t="s">
        <v>1584</v>
      </c>
      <c r="D184" s="3" t="s">
        <v>25</v>
      </c>
      <c r="E184" s="3" t="s">
        <v>26</v>
      </c>
      <c r="F184" s="3" t="s">
        <v>27</v>
      </c>
      <c r="G184" s="3" t="s">
        <v>28</v>
      </c>
      <c r="H184" s="4" t="s">
        <v>28</v>
      </c>
      <c r="I184" s="4" t="s">
        <v>1585</v>
      </c>
      <c r="J184" s="4" t="s">
        <v>1586</v>
      </c>
      <c r="K184" s="5" t="s">
        <v>1587</v>
      </c>
      <c r="L184" s="5" t="s">
        <v>1588</v>
      </c>
      <c r="M184" s="4" t="s">
        <v>1589</v>
      </c>
      <c r="N184" s="4" t="s">
        <v>1590</v>
      </c>
      <c r="O184" s="4" t="s">
        <v>1591</v>
      </c>
      <c r="P184" s="4" t="s">
        <v>421</v>
      </c>
      <c r="Q184" s="4" t="s">
        <v>1592</v>
      </c>
      <c r="R184" s="4" t="s">
        <v>1593</v>
      </c>
      <c r="S184" s="4" t="s">
        <v>1590</v>
      </c>
      <c r="T184" s="6" t="s">
        <v>1594</v>
      </c>
      <c r="U184" s="3" t="str">
        <f t="shared" si="0"/>
        <v>Outstanding</v>
      </c>
      <c r="V184" s="15" t="s">
        <v>28</v>
      </c>
    </row>
    <row r="185" spans="1:22" ht="60" customHeight="1" x14ac:dyDescent="0.35">
      <c r="A185" s="13" t="s">
        <v>1595</v>
      </c>
      <c r="B185" s="2" t="s">
        <v>1596</v>
      </c>
      <c r="C185" s="1" t="s">
        <v>1597</v>
      </c>
      <c r="D185" s="3" t="s">
        <v>25</v>
      </c>
      <c r="E185" s="3" t="s">
        <v>26</v>
      </c>
      <c r="F185" s="3" t="s">
        <v>27</v>
      </c>
      <c r="G185" s="3" t="s">
        <v>28</v>
      </c>
      <c r="H185" s="4" t="s">
        <v>28</v>
      </c>
      <c r="I185" s="4" t="s">
        <v>1598</v>
      </c>
      <c r="J185" s="4"/>
      <c r="K185" s="5" t="s">
        <v>1599</v>
      </c>
      <c r="L185" s="5" t="s">
        <v>1600</v>
      </c>
      <c r="M185" s="4"/>
      <c r="N185" s="4"/>
      <c r="O185" s="4"/>
      <c r="P185" s="4"/>
      <c r="Q185" s="4"/>
      <c r="R185" s="4"/>
      <c r="S185" s="4"/>
      <c r="T185" s="6"/>
      <c r="U185" s="3" t="str">
        <f t="shared" si="0"/>
        <v>Outstanding</v>
      </c>
      <c r="V185" s="15" t="s">
        <v>28</v>
      </c>
    </row>
    <row r="186" spans="1:22" ht="60" customHeight="1" x14ac:dyDescent="0.35">
      <c r="A186" s="13" t="s">
        <v>1595</v>
      </c>
      <c r="B186" s="2" t="s">
        <v>1601</v>
      </c>
      <c r="C186" s="1" t="s">
        <v>1602</v>
      </c>
      <c r="D186" s="3" t="s">
        <v>25</v>
      </c>
      <c r="E186" s="3" t="s">
        <v>26</v>
      </c>
      <c r="F186" s="3" t="s">
        <v>27</v>
      </c>
      <c r="G186" s="3" t="s">
        <v>28</v>
      </c>
      <c r="H186" s="4" t="s">
        <v>28</v>
      </c>
      <c r="I186" s="4" t="s">
        <v>1603</v>
      </c>
      <c r="J186" s="4"/>
      <c r="K186" s="5" t="s">
        <v>1599</v>
      </c>
      <c r="L186" s="5" t="s">
        <v>1604</v>
      </c>
      <c r="M186" s="4"/>
      <c r="N186" s="4"/>
      <c r="O186" s="4"/>
      <c r="P186" s="4"/>
      <c r="Q186" s="4"/>
      <c r="R186" s="4"/>
      <c r="S186" s="4"/>
      <c r="T186" s="6"/>
      <c r="U186" s="3" t="str">
        <f t="shared" si="0"/>
        <v>Outstanding</v>
      </c>
      <c r="V186" s="15" t="s">
        <v>28</v>
      </c>
    </row>
    <row r="187" spans="1:22" ht="60" customHeight="1" x14ac:dyDescent="0.35">
      <c r="A187" s="13" t="s">
        <v>1595</v>
      </c>
      <c r="B187" s="2" t="s">
        <v>1605</v>
      </c>
      <c r="C187" s="1" t="s">
        <v>1606</v>
      </c>
      <c r="D187" s="3" t="s">
        <v>25</v>
      </c>
      <c r="E187" s="3" t="s">
        <v>26</v>
      </c>
      <c r="F187" s="3" t="s">
        <v>27</v>
      </c>
      <c r="G187" s="3" t="s">
        <v>28</v>
      </c>
      <c r="H187" s="4" t="s">
        <v>28</v>
      </c>
      <c r="I187" s="4" t="s">
        <v>1607</v>
      </c>
      <c r="J187" s="4" t="s">
        <v>1608</v>
      </c>
      <c r="K187" s="5" t="s">
        <v>1599</v>
      </c>
      <c r="L187" s="5" t="s">
        <v>1609</v>
      </c>
      <c r="M187" s="4" t="s">
        <v>1610</v>
      </c>
      <c r="N187" s="4" t="s">
        <v>1611</v>
      </c>
      <c r="O187" s="4" t="s">
        <v>1612</v>
      </c>
      <c r="P187" s="4" t="s">
        <v>36</v>
      </c>
      <c r="Q187" s="4" t="s">
        <v>1613</v>
      </c>
      <c r="R187" s="4" t="s">
        <v>1614</v>
      </c>
      <c r="S187" s="4" t="s">
        <v>1615</v>
      </c>
      <c r="T187" s="6" t="s">
        <v>1616</v>
      </c>
      <c r="U187" s="3" t="str">
        <f t="shared" si="0"/>
        <v>Outstanding</v>
      </c>
      <c r="V187" s="15" t="s">
        <v>28</v>
      </c>
    </row>
    <row r="188" spans="1:22" ht="60" customHeight="1" x14ac:dyDescent="0.35">
      <c r="A188" s="13" t="s">
        <v>1617</v>
      </c>
      <c r="B188" s="2" t="s">
        <v>1618</v>
      </c>
      <c r="C188" s="1" t="s">
        <v>1597</v>
      </c>
      <c r="D188" s="3" t="s">
        <v>25</v>
      </c>
      <c r="E188" s="3" t="s">
        <v>26</v>
      </c>
      <c r="F188" s="3" t="s">
        <v>27</v>
      </c>
      <c r="G188" s="3" t="s">
        <v>28</v>
      </c>
      <c r="H188" s="4" t="s">
        <v>28</v>
      </c>
      <c r="I188" s="4" t="s">
        <v>1619</v>
      </c>
      <c r="J188" s="4"/>
      <c r="K188" s="5" t="s">
        <v>1620</v>
      </c>
      <c r="L188" s="5" t="s">
        <v>1600</v>
      </c>
      <c r="M188" s="4"/>
      <c r="N188" s="4"/>
      <c r="O188" s="4"/>
      <c r="P188" s="4"/>
      <c r="Q188" s="4"/>
      <c r="R188" s="4"/>
      <c r="S188" s="4"/>
      <c r="T188" s="6"/>
      <c r="U188" s="3" t="str">
        <f t="shared" si="0"/>
        <v>Outstanding</v>
      </c>
      <c r="V188" s="15" t="s">
        <v>28</v>
      </c>
    </row>
    <row r="189" spans="1:22" ht="60" customHeight="1" x14ac:dyDescent="0.35">
      <c r="A189" s="13" t="s">
        <v>1617</v>
      </c>
      <c r="B189" s="2" t="s">
        <v>1621</v>
      </c>
      <c r="C189" s="1" t="s">
        <v>1602</v>
      </c>
      <c r="D189" s="3" t="s">
        <v>25</v>
      </c>
      <c r="E189" s="3" t="s">
        <v>26</v>
      </c>
      <c r="F189" s="3" t="s">
        <v>27</v>
      </c>
      <c r="G189" s="3" t="s">
        <v>28</v>
      </c>
      <c r="H189" s="4" t="s">
        <v>28</v>
      </c>
      <c r="I189" s="4" t="s">
        <v>1622</v>
      </c>
      <c r="J189" s="4"/>
      <c r="K189" s="5" t="s">
        <v>1620</v>
      </c>
      <c r="L189" s="5" t="s">
        <v>1623</v>
      </c>
      <c r="M189" s="4"/>
      <c r="N189" s="4"/>
      <c r="O189" s="4"/>
      <c r="P189" s="4"/>
      <c r="Q189" s="4"/>
      <c r="R189" s="4"/>
      <c r="S189" s="4"/>
      <c r="T189" s="6"/>
      <c r="U189" s="3" t="str">
        <f t="shared" si="0"/>
        <v>Outstanding</v>
      </c>
      <c r="V189" s="15" t="s">
        <v>28</v>
      </c>
    </row>
    <row r="190" spans="1:22" ht="60" customHeight="1" x14ac:dyDescent="0.35">
      <c r="A190" s="13" t="s">
        <v>1617</v>
      </c>
      <c r="B190" s="2" t="s">
        <v>1624</v>
      </c>
      <c r="C190" s="1" t="s">
        <v>1625</v>
      </c>
      <c r="D190" s="3" t="s">
        <v>25</v>
      </c>
      <c r="E190" s="3" t="s">
        <v>26</v>
      </c>
      <c r="F190" s="3" t="s">
        <v>27</v>
      </c>
      <c r="G190" s="3" t="s">
        <v>28</v>
      </c>
      <c r="H190" s="4" t="s">
        <v>28</v>
      </c>
      <c r="I190" s="4" t="s">
        <v>1626</v>
      </c>
      <c r="J190" s="4" t="s">
        <v>1627</v>
      </c>
      <c r="K190" s="5" t="s">
        <v>1620</v>
      </c>
      <c r="L190" s="5" t="s">
        <v>1628</v>
      </c>
      <c r="M190" s="4" t="s">
        <v>1629</v>
      </c>
      <c r="N190" s="4" t="s">
        <v>1630</v>
      </c>
      <c r="O190" s="4" t="s">
        <v>1631</v>
      </c>
      <c r="P190" s="4" t="s">
        <v>36</v>
      </c>
      <c r="Q190" s="4" t="s">
        <v>1632</v>
      </c>
      <c r="R190" s="4" t="s">
        <v>1633</v>
      </c>
      <c r="S190" s="4" t="s">
        <v>1630</v>
      </c>
      <c r="T190" s="6" t="s">
        <v>1616</v>
      </c>
      <c r="U190" s="3" t="str">
        <f t="shared" si="0"/>
        <v>Outstanding</v>
      </c>
      <c r="V190" s="15" t="s">
        <v>28</v>
      </c>
    </row>
    <row r="191" spans="1:22" ht="60" customHeight="1" x14ac:dyDescent="0.35">
      <c r="A191" s="13" t="s">
        <v>1634</v>
      </c>
      <c r="B191" s="2" t="s">
        <v>1635</v>
      </c>
      <c r="C191" s="1" t="s">
        <v>1636</v>
      </c>
      <c r="D191" s="3" t="s">
        <v>25</v>
      </c>
      <c r="E191" s="3" t="s">
        <v>26</v>
      </c>
      <c r="F191" s="3" t="s">
        <v>27</v>
      </c>
      <c r="G191" s="3" t="s">
        <v>28</v>
      </c>
      <c r="H191" s="4" t="s">
        <v>28</v>
      </c>
      <c r="I191" s="4" t="s">
        <v>1637</v>
      </c>
      <c r="J191" s="4" t="s">
        <v>1638</v>
      </c>
      <c r="K191" s="5" t="s">
        <v>1639</v>
      </c>
      <c r="L191" s="5" t="s">
        <v>1640</v>
      </c>
      <c r="M191" s="4" t="s">
        <v>1641</v>
      </c>
      <c r="N191" s="4" t="s">
        <v>1642</v>
      </c>
      <c r="O191" s="4"/>
      <c r="P191" s="4"/>
      <c r="Q191" s="4" t="s">
        <v>1643</v>
      </c>
      <c r="R191" s="4"/>
      <c r="S191" s="4"/>
      <c r="T191" s="6"/>
      <c r="U191" s="3" t="str">
        <f t="shared" si="0"/>
        <v>Outstanding</v>
      </c>
      <c r="V191" s="15" t="s">
        <v>28</v>
      </c>
    </row>
    <row r="192" spans="1:22" ht="60" customHeight="1" x14ac:dyDescent="0.35">
      <c r="A192" s="13" t="s">
        <v>1634</v>
      </c>
      <c r="B192" s="2" t="s">
        <v>1644</v>
      </c>
      <c r="C192" s="1" t="s">
        <v>1645</v>
      </c>
      <c r="D192" s="3" t="s">
        <v>25</v>
      </c>
      <c r="E192" s="3" t="s">
        <v>26</v>
      </c>
      <c r="F192" s="3" t="s">
        <v>27</v>
      </c>
      <c r="G192" s="3" t="s">
        <v>28</v>
      </c>
      <c r="H192" s="4" t="s">
        <v>28</v>
      </c>
      <c r="I192" s="4" t="s">
        <v>1646</v>
      </c>
      <c r="J192" s="4" t="s">
        <v>1647</v>
      </c>
      <c r="K192" s="5" t="s">
        <v>1639</v>
      </c>
      <c r="L192" s="5" t="s">
        <v>1648</v>
      </c>
      <c r="M192" s="4" t="s">
        <v>1649</v>
      </c>
      <c r="N192" s="4" t="s">
        <v>1650</v>
      </c>
      <c r="O192" s="4"/>
      <c r="P192" s="4"/>
      <c r="Q192" s="4" t="s">
        <v>1651</v>
      </c>
      <c r="R192" s="4"/>
      <c r="S192" s="4"/>
      <c r="T192" s="6"/>
      <c r="U192" s="3" t="str">
        <f t="shared" si="0"/>
        <v>Outstanding</v>
      </c>
      <c r="V192" s="15" t="s">
        <v>28</v>
      </c>
    </row>
    <row r="193" spans="1:22" ht="60" customHeight="1" x14ac:dyDescent="0.35">
      <c r="A193" s="13" t="s">
        <v>1634</v>
      </c>
      <c r="B193" s="2" t="s">
        <v>1652</v>
      </c>
      <c r="C193" s="1" t="s">
        <v>1653</v>
      </c>
      <c r="D193" s="3" t="s">
        <v>25</v>
      </c>
      <c r="E193" s="3" t="s">
        <v>26</v>
      </c>
      <c r="F193" s="3" t="s">
        <v>27</v>
      </c>
      <c r="G193" s="3" t="s">
        <v>28</v>
      </c>
      <c r="H193" s="4" t="s">
        <v>28</v>
      </c>
      <c r="I193" s="4" t="s">
        <v>1654</v>
      </c>
      <c r="J193" s="4" t="s">
        <v>1655</v>
      </c>
      <c r="K193" s="5" t="s">
        <v>1639</v>
      </c>
      <c r="L193" s="5" t="s">
        <v>1656</v>
      </c>
      <c r="M193" s="4" t="s">
        <v>1657</v>
      </c>
      <c r="N193" s="4" t="s">
        <v>1658</v>
      </c>
      <c r="O193" s="4"/>
      <c r="P193" s="4"/>
      <c r="Q193" s="4" t="s">
        <v>1651</v>
      </c>
      <c r="R193" s="4"/>
      <c r="S193" s="4"/>
      <c r="T193" s="6"/>
      <c r="U193" s="3" t="str">
        <f t="shared" si="0"/>
        <v>Outstanding</v>
      </c>
      <c r="V193" s="15" t="s">
        <v>28</v>
      </c>
    </row>
    <row r="194" spans="1:22" ht="60" customHeight="1" x14ac:dyDescent="0.35">
      <c r="A194" s="13" t="s">
        <v>1634</v>
      </c>
      <c r="B194" s="2" t="s">
        <v>1659</v>
      </c>
      <c r="C194" s="1" t="s">
        <v>1660</v>
      </c>
      <c r="D194" s="3" t="s">
        <v>25</v>
      </c>
      <c r="E194" s="3" t="s">
        <v>26</v>
      </c>
      <c r="F194" s="3" t="s">
        <v>27</v>
      </c>
      <c r="G194" s="3" t="s">
        <v>28</v>
      </c>
      <c r="H194" s="4" t="s">
        <v>28</v>
      </c>
      <c r="I194" s="4" t="s">
        <v>1661</v>
      </c>
      <c r="J194" s="4" t="s">
        <v>1662</v>
      </c>
      <c r="K194" s="5" t="s">
        <v>1639</v>
      </c>
      <c r="L194" s="5" t="s">
        <v>1663</v>
      </c>
      <c r="M194" s="4" t="s">
        <v>1664</v>
      </c>
      <c r="N194" s="4" t="s">
        <v>1665</v>
      </c>
      <c r="O194" s="4"/>
      <c r="P194" s="4"/>
      <c r="Q194" s="4" t="s">
        <v>1651</v>
      </c>
      <c r="R194" s="4"/>
      <c r="S194" s="4"/>
      <c r="T194" s="6"/>
      <c r="U194" s="3" t="str">
        <f t="shared" si="0"/>
        <v>Outstanding</v>
      </c>
      <c r="V194" s="15" t="s">
        <v>28</v>
      </c>
    </row>
    <row r="195" spans="1:22" ht="60" customHeight="1" x14ac:dyDescent="0.35">
      <c r="A195" s="13" t="s">
        <v>1634</v>
      </c>
      <c r="B195" s="2" t="s">
        <v>1666</v>
      </c>
      <c r="C195" s="1" t="s">
        <v>1667</v>
      </c>
      <c r="D195" s="3" t="s">
        <v>25</v>
      </c>
      <c r="E195" s="3" t="s">
        <v>26</v>
      </c>
      <c r="F195" s="3" t="s">
        <v>27</v>
      </c>
      <c r="G195" s="3" t="s">
        <v>28</v>
      </c>
      <c r="H195" s="4" t="s">
        <v>28</v>
      </c>
      <c r="I195" s="4" t="s">
        <v>1668</v>
      </c>
      <c r="J195" s="4" t="s">
        <v>1669</v>
      </c>
      <c r="K195" s="5" t="s">
        <v>1639</v>
      </c>
      <c r="L195" s="5" t="s">
        <v>1670</v>
      </c>
      <c r="M195" s="4" t="s">
        <v>1671</v>
      </c>
      <c r="N195" s="4" t="s">
        <v>1672</v>
      </c>
      <c r="O195" s="4"/>
      <c r="P195" s="4"/>
      <c r="Q195" s="4" t="s">
        <v>1673</v>
      </c>
      <c r="R195" s="4"/>
      <c r="S195" s="4"/>
      <c r="T195" s="6"/>
      <c r="U195" s="3" t="str">
        <f t="shared" si="0"/>
        <v>Outstanding</v>
      </c>
      <c r="V195" s="15" t="s">
        <v>28</v>
      </c>
    </row>
    <row r="196" spans="1:22" ht="60" customHeight="1" x14ac:dyDescent="0.35">
      <c r="A196" s="13" t="s">
        <v>1634</v>
      </c>
      <c r="B196" s="2" t="s">
        <v>1674</v>
      </c>
      <c r="C196" s="1" t="s">
        <v>1675</v>
      </c>
      <c r="D196" s="3" t="s">
        <v>25</v>
      </c>
      <c r="E196" s="3" t="s">
        <v>26</v>
      </c>
      <c r="F196" s="3" t="s">
        <v>27</v>
      </c>
      <c r="G196" s="3" t="s">
        <v>28</v>
      </c>
      <c r="H196" s="4" t="s">
        <v>28</v>
      </c>
      <c r="I196" s="4" t="s">
        <v>1676</v>
      </c>
      <c r="J196" s="4" t="s">
        <v>1677</v>
      </c>
      <c r="K196" s="5" t="s">
        <v>1639</v>
      </c>
      <c r="L196" s="5" t="s">
        <v>1678</v>
      </c>
      <c r="M196" s="4" t="s">
        <v>1679</v>
      </c>
      <c r="N196" s="4" t="s">
        <v>1680</v>
      </c>
      <c r="O196" s="4"/>
      <c r="P196" s="4"/>
      <c r="Q196" s="4" t="s">
        <v>1673</v>
      </c>
      <c r="R196" s="4"/>
      <c r="S196" s="4"/>
      <c r="T196" s="6"/>
      <c r="U196" s="3" t="str">
        <f t="shared" si="0"/>
        <v>Outstanding</v>
      </c>
      <c r="V196" s="15" t="s">
        <v>28</v>
      </c>
    </row>
    <row r="197" spans="1:22" ht="60" customHeight="1" x14ac:dyDescent="0.35">
      <c r="A197" s="13" t="s">
        <v>1634</v>
      </c>
      <c r="B197" s="2" t="s">
        <v>1681</v>
      </c>
      <c r="C197" s="1" t="s">
        <v>1682</v>
      </c>
      <c r="D197" s="3" t="s">
        <v>25</v>
      </c>
      <c r="E197" s="3" t="s">
        <v>26</v>
      </c>
      <c r="F197" s="3" t="s">
        <v>27</v>
      </c>
      <c r="G197" s="3" t="s">
        <v>28</v>
      </c>
      <c r="H197" s="4" t="s">
        <v>28</v>
      </c>
      <c r="I197" s="4" t="s">
        <v>1683</v>
      </c>
      <c r="J197" s="4" t="s">
        <v>1684</v>
      </c>
      <c r="K197" s="5" t="s">
        <v>1639</v>
      </c>
      <c r="L197" s="5" t="s">
        <v>1685</v>
      </c>
      <c r="M197" s="4" t="s">
        <v>1686</v>
      </c>
      <c r="N197" s="4" t="s">
        <v>1687</v>
      </c>
      <c r="O197" s="4"/>
      <c r="P197" s="4"/>
      <c r="Q197" s="4" t="s">
        <v>1688</v>
      </c>
      <c r="R197" s="4"/>
      <c r="S197" s="4"/>
      <c r="T197" s="6"/>
      <c r="U197" s="3" t="str">
        <f t="shared" si="0"/>
        <v>Outstanding</v>
      </c>
      <c r="V197" s="15" t="s">
        <v>28</v>
      </c>
    </row>
    <row r="198" spans="1:22" ht="60" customHeight="1" x14ac:dyDescent="0.35">
      <c r="A198" s="13" t="s">
        <v>1634</v>
      </c>
      <c r="B198" s="2" t="s">
        <v>1689</v>
      </c>
      <c r="C198" s="1" t="s">
        <v>1690</v>
      </c>
      <c r="D198" s="3" t="s">
        <v>25</v>
      </c>
      <c r="E198" s="3" t="s">
        <v>26</v>
      </c>
      <c r="F198" s="3" t="s">
        <v>27</v>
      </c>
      <c r="G198" s="3" t="s">
        <v>28</v>
      </c>
      <c r="H198" s="4" t="s">
        <v>28</v>
      </c>
      <c r="I198" s="4" t="s">
        <v>1691</v>
      </c>
      <c r="J198" s="4" t="s">
        <v>1692</v>
      </c>
      <c r="K198" s="5" t="s">
        <v>1639</v>
      </c>
      <c r="L198" s="5" t="s">
        <v>1693</v>
      </c>
      <c r="M198" s="4" t="s">
        <v>1694</v>
      </c>
      <c r="N198" s="4" t="s">
        <v>1695</v>
      </c>
      <c r="O198" s="4"/>
      <c r="P198" s="4"/>
      <c r="Q198" s="4" t="s">
        <v>1651</v>
      </c>
      <c r="R198" s="4"/>
      <c r="S198" s="4"/>
      <c r="T198" s="6"/>
      <c r="U198" s="3" t="str">
        <f t="shared" si="0"/>
        <v>Outstanding</v>
      </c>
      <c r="V198" s="15" t="s">
        <v>28</v>
      </c>
    </row>
    <row r="199" spans="1:22" ht="60" customHeight="1" x14ac:dyDescent="0.35">
      <c r="A199" s="13" t="s">
        <v>1634</v>
      </c>
      <c r="B199" s="2" t="s">
        <v>1696</v>
      </c>
      <c r="C199" s="1" t="s">
        <v>1697</v>
      </c>
      <c r="D199" s="3" t="s">
        <v>25</v>
      </c>
      <c r="E199" s="3" t="s">
        <v>26</v>
      </c>
      <c r="F199" s="3" t="s">
        <v>27</v>
      </c>
      <c r="G199" s="3" t="s">
        <v>28</v>
      </c>
      <c r="H199" s="4" t="s">
        <v>28</v>
      </c>
      <c r="I199" s="4" t="s">
        <v>1698</v>
      </c>
      <c r="J199" s="4" t="s">
        <v>1699</v>
      </c>
      <c r="K199" s="5" t="s">
        <v>1639</v>
      </c>
      <c r="L199" s="5" t="s">
        <v>1700</v>
      </c>
      <c r="M199" s="4" t="s">
        <v>1701</v>
      </c>
      <c r="N199" s="4" t="s">
        <v>1702</v>
      </c>
      <c r="O199" s="4"/>
      <c r="P199" s="4"/>
      <c r="Q199" s="4" t="s">
        <v>1703</v>
      </c>
      <c r="R199" s="4"/>
      <c r="S199" s="4"/>
      <c r="T199" s="6"/>
      <c r="U199" s="3" t="str">
        <f t="shared" si="0"/>
        <v>Outstanding</v>
      </c>
      <c r="V199" s="15" t="s">
        <v>28</v>
      </c>
    </row>
    <row r="200" spans="1:22" ht="60" customHeight="1" x14ac:dyDescent="0.35">
      <c r="A200" s="13" t="s">
        <v>1634</v>
      </c>
      <c r="B200" s="2" t="s">
        <v>1704</v>
      </c>
      <c r="C200" s="1" t="s">
        <v>1705</v>
      </c>
      <c r="D200" s="3" t="s">
        <v>25</v>
      </c>
      <c r="E200" s="3" t="s">
        <v>26</v>
      </c>
      <c r="F200" s="3" t="s">
        <v>27</v>
      </c>
      <c r="G200" s="3" t="s">
        <v>28</v>
      </c>
      <c r="H200" s="4" t="s">
        <v>28</v>
      </c>
      <c r="I200" s="4" t="s">
        <v>1706</v>
      </c>
      <c r="J200" s="4" t="s">
        <v>1707</v>
      </c>
      <c r="K200" s="5" t="s">
        <v>1639</v>
      </c>
      <c r="L200" s="5" t="s">
        <v>1708</v>
      </c>
      <c r="M200" s="4" t="s">
        <v>1709</v>
      </c>
      <c r="N200" s="4" t="s">
        <v>1710</v>
      </c>
      <c r="O200" s="4"/>
      <c r="P200" s="4"/>
      <c r="Q200" s="4" t="s">
        <v>1711</v>
      </c>
      <c r="R200" s="4"/>
      <c r="S200" s="4"/>
      <c r="T200" s="6"/>
      <c r="U200" s="3" t="str">
        <f t="shared" si="0"/>
        <v>Outstanding</v>
      </c>
      <c r="V200" s="15" t="s">
        <v>28</v>
      </c>
    </row>
    <row r="201" spans="1:22" ht="60" customHeight="1" x14ac:dyDescent="0.35">
      <c r="A201" s="13" t="s">
        <v>1634</v>
      </c>
      <c r="B201" s="2" t="s">
        <v>1712</v>
      </c>
      <c r="C201" s="1" t="s">
        <v>1713</v>
      </c>
      <c r="D201" s="3" t="s">
        <v>25</v>
      </c>
      <c r="E201" s="3" t="s">
        <v>26</v>
      </c>
      <c r="F201" s="3" t="s">
        <v>27</v>
      </c>
      <c r="G201" s="3" t="s">
        <v>28</v>
      </c>
      <c r="H201" s="4" t="s">
        <v>28</v>
      </c>
      <c r="I201" s="4" t="s">
        <v>1714</v>
      </c>
      <c r="J201" s="4" t="s">
        <v>1715</v>
      </c>
      <c r="K201" s="5" t="s">
        <v>1639</v>
      </c>
      <c r="L201" s="5" t="s">
        <v>1716</v>
      </c>
      <c r="M201" s="4" t="s">
        <v>1717</v>
      </c>
      <c r="N201" s="4" t="s">
        <v>1718</v>
      </c>
      <c r="O201" s="4"/>
      <c r="P201" s="4"/>
      <c r="Q201" s="4" t="s">
        <v>1651</v>
      </c>
      <c r="R201" s="4"/>
      <c r="S201" s="4"/>
      <c r="T201" s="6"/>
      <c r="U201" s="3" t="str">
        <f t="shared" si="0"/>
        <v>Outstanding</v>
      </c>
      <c r="V201" s="15" t="s">
        <v>28</v>
      </c>
    </row>
    <row r="202" spans="1:22" ht="60" customHeight="1" x14ac:dyDescent="0.35">
      <c r="A202" s="13" t="s">
        <v>1634</v>
      </c>
      <c r="B202" s="2" t="s">
        <v>1719</v>
      </c>
      <c r="C202" s="1" t="s">
        <v>1720</v>
      </c>
      <c r="D202" s="3" t="s">
        <v>25</v>
      </c>
      <c r="E202" s="3" t="s">
        <v>26</v>
      </c>
      <c r="F202" s="3" t="s">
        <v>27</v>
      </c>
      <c r="G202" s="3" t="s">
        <v>28</v>
      </c>
      <c r="H202" s="4" t="s">
        <v>28</v>
      </c>
      <c r="I202" s="4" t="s">
        <v>1721</v>
      </c>
      <c r="J202" s="4" t="s">
        <v>1722</v>
      </c>
      <c r="K202" s="5" t="s">
        <v>1639</v>
      </c>
      <c r="L202" s="5" t="s">
        <v>1723</v>
      </c>
      <c r="M202" s="4" t="s">
        <v>1724</v>
      </c>
      <c r="N202" s="4" t="s">
        <v>1725</v>
      </c>
      <c r="O202" s="4"/>
      <c r="P202" s="4"/>
      <c r="Q202" s="4" t="s">
        <v>1703</v>
      </c>
      <c r="R202" s="4"/>
      <c r="S202" s="4"/>
      <c r="T202" s="6"/>
      <c r="U202" s="3" t="str">
        <f t="shared" si="0"/>
        <v>Outstanding</v>
      </c>
      <c r="V202" s="15" t="s">
        <v>28</v>
      </c>
    </row>
    <row r="203" spans="1:22" ht="60" customHeight="1" x14ac:dyDescent="0.35">
      <c r="A203" s="13" t="s">
        <v>1634</v>
      </c>
      <c r="B203" s="2" t="s">
        <v>1726</v>
      </c>
      <c r="C203" s="1" t="s">
        <v>1727</v>
      </c>
      <c r="D203" s="3" t="s">
        <v>25</v>
      </c>
      <c r="E203" s="3" t="s">
        <v>26</v>
      </c>
      <c r="F203" s="3" t="s">
        <v>27</v>
      </c>
      <c r="G203" s="3" t="s">
        <v>28</v>
      </c>
      <c r="H203" s="4" t="s">
        <v>28</v>
      </c>
      <c r="I203" s="4" t="s">
        <v>1728</v>
      </c>
      <c r="J203" s="4" t="s">
        <v>1729</v>
      </c>
      <c r="K203" s="5" t="s">
        <v>1639</v>
      </c>
      <c r="L203" s="5" t="s">
        <v>1730</v>
      </c>
      <c r="M203" s="4" t="s">
        <v>1731</v>
      </c>
      <c r="N203" s="4" t="s">
        <v>1732</v>
      </c>
      <c r="O203" s="4"/>
      <c r="P203" s="4"/>
      <c r="Q203" s="4" t="s">
        <v>1733</v>
      </c>
      <c r="R203" s="4"/>
      <c r="S203" s="4"/>
      <c r="T203" s="6"/>
      <c r="U203" s="3" t="str">
        <f t="shared" si="0"/>
        <v>Outstanding</v>
      </c>
      <c r="V203" s="15" t="s">
        <v>28</v>
      </c>
    </row>
    <row r="204" spans="1:22" ht="60" customHeight="1" x14ac:dyDescent="0.35">
      <c r="A204" s="13" t="s">
        <v>1634</v>
      </c>
      <c r="B204" s="2" t="s">
        <v>1734</v>
      </c>
      <c r="C204" s="1" t="s">
        <v>1735</v>
      </c>
      <c r="D204" s="3" t="s">
        <v>25</v>
      </c>
      <c r="E204" s="3" t="s">
        <v>26</v>
      </c>
      <c r="F204" s="3" t="s">
        <v>27</v>
      </c>
      <c r="G204" s="3" t="s">
        <v>28</v>
      </c>
      <c r="H204" s="4" t="s">
        <v>28</v>
      </c>
      <c r="I204" s="4" t="s">
        <v>1736</v>
      </c>
      <c r="J204" s="4" t="s">
        <v>1737</v>
      </c>
      <c r="K204" s="5" t="s">
        <v>1639</v>
      </c>
      <c r="L204" s="5" t="s">
        <v>1738</v>
      </c>
      <c r="M204" s="4" t="s">
        <v>1739</v>
      </c>
      <c r="N204" s="4" t="s">
        <v>1740</v>
      </c>
      <c r="O204" s="4"/>
      <c r="P204" s="4"/>
      <c r="Q204" s="4" t="s">
        <v>1733</v>
      </c>
      <c r="R204" s="4"/>
      <c r="S204" s="4"/>
      <c r="T204" s="6"/>
      <c r="U204" s="3" t="str">
        <f t="shared" si="0"/>
        <v>Outstanding</v>
      </c>
      <c r="V204" s="15" t="s">
        <v>28</v>
      </c>
    </row>
    <row r="205" spans="1:22" ht="60" customHeight="1" x14ac:dyDescent="0.35">
      <c r="A205" s="13" t="s">
        <v>1634</v>
      </c>
      <c r="B205" s="2" t="s">
        <v>1741</v>
      </c>
      <c r="C205" s="1" t="s">
        <v>1742</v>
      </c>
      <c r="D205" s="3" t="s">
        <v>25</v>
      </c>
      <c r="E205" s="3" t="s">
        <v>26</v>
      </c>
      <c r="F205" s="3" t="s">
        <v>27</v>
      </c>
      <c r="G205" s="3" t="s">
        <v>28</v>
      </c>
      <c r="H205" s="4" t="s">
        <v>28</v>
      </c>
      <c r="I205" s="4" t="s">
        <v>1743</v>
      </c>
      <c r="J205" s="4" t="s">
        <v>1744</v>
      </c>
      <c r="K205" s="5" t="s">
        <v>1639</v>
      </c>
      <c r="L205" s="5" t="s">
        <v>1745</v>
      </c>
      <c r="M205" s="4" t="s">
        <v>1746</v>
      </c>
      <c r="N205" s="4" t="s">
        <v>1747</v>
      </c>
      <c r="O205" s="4"/>
      <c r="P205" s="4"/>
      <c r="Q205" s="4" t="s">
        <v>1688</v>
      </c>
      <c r="R205" s="4"/>
      <c r="S205" s="4"/>
      <c r="T205" s="6"/>
      <c r="U205" s="3" t="str">
        <f t="shared" si="0"/>
        <v>Outstanding</v>
      </c>
      <c r="V205" s="15" t="s">
        <v>28</v>
      </c>
    </row>
    <row r="206" spans="1:22" ht="60" customHeight="1" x14ac:dyDescent="0.35">
      <c r="A206" s="13" t="s">
        <v>1634</v>
      </c>
      <c r="B206" s="2" t="s">
        <v>1748</v>
      </c>
      <c r="C206" s="1" t="s">
        <v>1749</v>
      </c>
      <c r="D206" s="3" t="s">
        <v>25</v>
      </c>
      <c r="E206" s="3" t="s">
        <v>26</v>
      </c>
      <c r="F206" s="3" t="s">
        <v>27</v>
      </c>
      <c r="G206" s="3" t="s">
        <v>28</v>
      </c>
      <c r="H206" s="4" t="s">
        <v>28</v>
      </c>
      <c r="I206" s="4" t="s">
        <v>1750</v>
      </c>
      <c r="J206" s="4" t="s">
        <v>1751</v>
      </c>
      <c r="K206" s="5" t="s">
        <v>1639</v>
      </c>
      <c r="L206" s="5" t="s">
        <v>1752</v>
      </c>
      <c r="M206" s="4" t="s">
        <v>1753</v>
      </c>
      <c r="N206" s="4" t="s">
        <v>1754</v>
      </c>
      <c r="O206" s="4"/>
      <c r="P206" s="4"/>
      <c r="Q206" s="4" t="s">
        <v>1688</v>
      </c>
      <c r="R206" s="4"/>
      <c r="S206" s="4"/>
      <c r="T206" s="6"/>
      <c r="U206" s="3" t="str">
        <f t="shared" si="0"/>
        <v>Outstanding</v>
      </c>
      <c r="V206" s="15" t="s">
        <v>28</v>
      </c>
    </row>
    <row r="207" spans="1:22" ht="60" customHeight="1" x14ac:dyDescent="0.35">
      <c r="A207" s="13" t="s">
        <v>1634</v>
      </c>
      <c r="B207" s="2" t="s">
        <v>1755</v>
      </c>
      <c r="C207" s="1" t="s">
        <v>1756</v>
      </c>
      <c r="D207" s="3" t="s">
        <v>25</v>
      </c>
      <c r="E207" s="3" t="s">
        <v>26</v>
      </c>
      <c r="F207" s="3" t="s">
        <v>27</v>
      </c>
      <c r="G207" s="3" t="s">
        <v>28</v>
      </c>
      <c r="H207" s="4" t="s">
        <v>28</v>
      </c>
      <c r="I207" s="4" t="s">
        <v>1757</v>
      </c>
      <c r="J207" s="4" t="s">
        <v>1758</v>
      </c>
      <c r="K207" s="5" t="s">
        <v>1639</v>
      </c>
      <c r="L207" s="5" t="s">
        <v>1759</v>
      </c>
      <c r="M207" s="4" t="s">
        <v>1760</v>
      </c>
      <c r="N207" s="4" t="s">
        <v>1761</v>
      </c>
      <c r="O207" s="4"/>
      <c r="P207" s="4"/>
      <c r="Q207" s="4" t="s">
        <v>1688</v>
      </c>
      <c r="R207" s="4"/>
      <c r="S207" s="4"/>
      <c r="T207" s="6"/>
      <c r="U207" s="3" t="str">
        <f t="shared" si="0"/>
        <v>Outstanding</v>
      </c>
      <c r="V207" s="15" t="s">
        <v>28</v>
      </c>
    </row>
    <row r="208" spans="1:22" ht="60" customHeight="1" x14ac:dyDescent="0.35">
      <c r="A208" s="13" t="s">
        <v>1634</v>
      </c>
      <c r="B208" s="2" t="s">
        <v>1762</v>
      </c>
      <c r="C208" s="1" t="s">
        <v>1763</v>
      </c>
      <c r="D208" s="3" t="s">
        <v>25</v>
      </c>
      <c r="E208" s="3" t="s">
        <v>26</v>
      </c>
      <c r="F208" s="3" t="s">
        <v>27</v>
      </c>
      <c r="G208" s="3" t="s">
        <v>28</v>
      </c>
      <c r="H208" s="4" t="s">
        <v>28</v>
      </c>
      <c r="I208" s="4" t="s">
        <v>1764</v>
      </c>
      <c r="J208" s="4" t="s">
        <v>1765</v>
      </c>
      <c r="K208" s="5" t="s">
        <v>1639</v>
      </c>
      <c r="L208" s="5" t="s">
        <v>1766</v>
      </c>
      <c r="M208" s="4" t="s">
        <v>1767</v>
      </c>
      <c r="N208" s="4" t="s">
        <v>1768</v>
      </c>
      <c r="O208" s="4"/>
      <c r="P208" s="4"/>
      <c r="Q208" s="4" t="s">
        <v>1673</v>
      </c>
      <c r="R208" s="4"/>
      <c r="S208" s="4"/>
      <c r="T208" s="6"/>
      <c r="U208" s="3" t="str">
        <f t="shared" si="0"/>
        <v>Outstanding</v>
      </c>
      <c r="V208" s="15" t="s">
        <v>28</v>
      </c>
    </row>
    <row r="209" spans="1:22" ht="60" customHeight="1" x14ac:dyDescent="0.35">
      <c r="A209" s="13" t="s">
        <v>1634</v>
      </c>
      <c r="B209" s="2" t="s">
        <v>1769</v>
      </c>
      <c r="C209" s="1" t="s">
        <v>1770</v>
      </c>
      <c r="D209" s="3" t="s">
        <v>25</v>
      </c>
      <c r="E209" s="3" t="s">
        <v>26</v>
      </c>
      <c r="F209" s="3" t="s">
        <v>27</v>
      </c>
      <c r="G209" s="3" t="s">
        <v>28</v>
      </c>
      <c r="H209" s="4" t="s">
        <v>28</v>
      </c>
      <c r="I209" s="4" t="s">
        <v>1771</v>
      </c>
      <c r="J209" s="4" t="s">
        <v>1772</v>
      </c>
      <c r="K209" s="5" t="s">
        <v>1639</v>
      </c>
      <c r="L209" s="5" t="s">
        <v>1773</v>
      </c>
      <c r="M209" s="4" t="s">
        <v>1774</v>
      </c>
      <c r="N209" s="4" t="s">
        <v>1775</v>
      </c>
      <c r="O209" s="4"/>
      <c r="P209" s="4"/>
      <c r="Q209" s="4" t="s">
        <v>1673</v>
      </c>
      <c r="R209" s="4"/>
      <c r="S209" s="4"/>
      <c r="T209" s="6"/>
      <c r="U209" s="3" t="str">
        <f t="shared" si="0"/>
        <v>Outstanding</v>
      </c>
      <c r="V209" s="15" t="s">
        <v>28</v>
      </c>
    </row>
    <row r="210" spans="1:22" ht="60" customHeight="1" x14ac:dyDescent="0.35">
      <c r="A210" s="13" t="s">
        <v>1634</v>
      </c>
      <c r="B210" s="2" t="s">
        <v>1776</v>
      </c>
      <c r="C210" s="1" t="s">
        <v>1777</v>
      </c>
      <c r="D210" s="3" t="s">
        <v>25</v>
      </c>
      <c r="E210" s="3" t="s">
        <v>26</v>
      </c>
      <c r="F210" s="3" t="s">
        <v>27</v>
      </c>
      <c r="G210" s="3" t="s">
        <v>28</v>
      </c>
      <c r="H210" s="4" t="s">
        <v>28</v>
      </c>
      <c r="I210" s="4" t="s">
        <v>1778</v>
      </c>
      <c r="J210" s="4" t="s">
        <v>1779</v>
      </c>
      <c r="K210" s="5" t="s">
        <v>1639</v>
      </c>
      <c r="L210" s="5" t="s">
        <v>1780</v>
      </c>
      <c r="M210" s="4" t="s">
        <v>1781</v>
      </c>
      <c r="N210" s="4" t="s">
        <v>1782</v>
      </c>
      <c r="O210" s="4"/>
      <c r="P210" s="4"/>
      <c r="Q210" s="4" t="s">
        <v>1783</v>
      </c>
      <c r="R210" s="4"/>
      <c r="S210" s="4"/>
      <c r="T210" s="6"/>
      <c r="U210" s="3" t="str">
        <f t="shared" si="0"/>
        <v>Outstanding</v>
      </c>
      <c r="V210" s="15" t="s">
        <v>28</v>
      </c>
    </row>
    <row r="211" spans="1:22" ht="60" customHeight="1" x14ac:dyDescent="0.35">
      <c r="A211" s="13" t="s">
        <v>1634</v>
      </c>
      <c r="B211" s="2" t="s">
        <v>1784</v>
      </c>
      <c r="C211" s="1" t="s">
        <v>1785</v>
      </c>
      <c r="D211" s="3" t="s">
        <v>25</v>
      </c>
      <c r="E211" s="3" t="s">
        <v>26</v>
      </c>
      <c r="F211" s="3" t="s">
        <v>27</v>
      </c>
      <c r="G211" s="3" t="s">
        <v>28</v>
      </c>
      <c r="H211" s="4" t="s">
        <v>28</v>
      </c>
      <c r="I211" s="4" t="s">
        <v>1786</v>
      </c>
      <c r="J211" s="4" t="s">
        <v>1787</v>
      </c>
      <c r="K211" s="5" t="s">
        <v>1639</v>
      </c>
      <c r="L211" s="5" t="s">
        <v>1788</v>
      </c>
      <c r="M211" s="4" t="s">
        <v>1789</v>
      </c>
      <c r="N211" s="4" t="s">
        <v>1790</v>
      </c>
      <c r="O211" s="4"/>
      <c r="P211" s="4"/>
      <c r="Q211" s="4" t="s">
        <v>1711</v>
      </c>
      <c r="R211" s="4"/>
      <c r="S211" s="4"/>
      <c r="T211" s="6"/>
      <c r="U211" s="3" t="str">
        <f t="shared" si="0"/>
        <v>Outstanding</v>
      </c>
      <c r="V211" s="15" t="s">
        <v>28</v>
      </c>
    </row>
    <row r="212" spans="1:22" ht="60" customHeight="1" x14ac:dyDescent="0.35">
      <c r="A212" s="13" t="s">
        <v>1634</v>
      </c>
      <c r="B212" s="2" t="s">
        <v>1791</v>
      </c>
      <c r="C212" s="1" t="s">
        <v>1792</v>
      </c>
      <c r="D212" s="3" t="s">
        <v>25</v>
      </c>
      <c r="E212" s="3" t="s">
        <v>26</v>
      </c>
      <c r="F212" s="3" t="s">
        <v>27</v>
      </c>
      <c r="G212" s="3" t="s">
        <v>28</v>
      </c>
      <c r="H212" s="4" t="s">
        <v>28</v>
      </c>
      <c r="I212" s="4" t="s">
        <v>1793</v>
      </c>
      <c r="J212" s="4" t="s">
        <v>1794</v>
      </c>
      <c r="K212" s="5" t="s">
        <v>1639</v>
      </c>
      <c r="L212" s="5" t="s">
        <v>1795</v>
      </c>
      <c r="M212" s="4" t="s">
        <v>1796</v>
      </c>
      <c r="N212" s="4" t="s">
        <v>1797</v>
      </c>
      <c r="O212" s="4"/>
      <c r="P212" s="4"/>
      <c r="Q212" s="4" t="s">
        <v>1711</v>
      </c>
      <c r="R212" s="4"/>
      <c r="S212" s="4"/>
      <c r="T212" s="6"/>
      <c r="U212" s="3" t="str">
        <f t="shared" si="0"/>
        <v>Outstanding</v>
      </c>
      <c r="V212" s="15" t="s">
        <v>28</v>
      </c>
    </row>
    <row r="213" spans="1:22" ht="60" customHeight="1" x14ac:dyDescent="0.35">
      <c r="A213" s="13" t="s">
        <v>1634</v>
      </c>
      <c r="B213" s="2" t="s">
        <v>1798</v>
      </c>
      <c r="C213" s="1" t="s">
        <v>1799</v>
      </c>
      <c r="D213" s="3" t="s">
        <v>25</v>
      </c>
      <c r="E213" s="3" t="s">
        <v>26</v>
      </c>
      <c r="F213" s="3" t="s">
        <v>27</v>
      </c>
      <c r="G213" s="3" t="s">
        <v>28</v>
      </c>
      <c r="H213" s="4" t="s">
        <v>28</v>
      </c>
      <c r="I213" s="4" t="s">
        <v>1800</v>
      </c>
      <c r="J213" s="4" t="s">
        <v>1801</v>
      </c>
      <c r="K213" s="5" t="s">
        <v>1639</v>
      </c>
      <c r="L213" s="5" t="s">
        <v>1802</v>
      </c>
      <c r="M213" s="4" t="s">
        <v>1803</v>
      </c>
      <c r="N213" s="4" t="s">
        <v>1804</v>
      </c>
      <c r="O213" s="4"/>
      <c r="P213" s="4"/>
      <c r="Q213" s="4" t="s">
        <v>1711</v>
      </c>
      <c r="R213" s="4"/>
      <c r="S213" s="4"/>
      <c r="T213" s="6"/>
      <c r="U213" s="3" t="str">
        <f t="shared" si="0"/>
        <v>Outstanding</v>
      </c>
      <c r="V213" s="15" t="s">
        <v>28</v>
      </c>
    </row>
    <row r="214" spans="1:22" ht="60" customHeight="1" x14ac:dyDescent="0.35">
      <c r="A214" s="13" t="s">
        <v>1805</v>
      </c>
      <c r="B214" s="2" t="s">
        <v>1806</v>
      </c>
      <c r="C214" s="1" t="s">
        <v>1807</v>
      </c>
      <c r="D214" s="3" t="s">
        <v>25</v>
      </c>
      <c r="E214" s="3" t="s">
        <v>26</v>
      </c>
      <c r="F214" s="3" t="s">
        <v>27</v>
      </c>
      <c r="G214" s="3" t="s">
        <v>28</v>
      </c>
      <c r="H214" s="4" t="s">
        <v>28</v>
      </c>
      <c r="I214" s="4" t="s">
        <v>1808</v>
      </c>
      <c r="J214" s="4" t="s">
        <v>1809</v>
      </c>
      <c r="K214" s="5" t="s">
        <v>1810</v>
      </c>
      <c r="L214" s="5" t="s">
        <v>1811</v>
      </c>
      <c r="M214" s="4" t="s">
        <v>1812</v>
      </c>
      <c r="N214" s="4" t="s">
        <v>1813</v>
      </c>
      <c r="O214" s="4" t="s">
        <v>1814</v>
      </c>
      <c r="P214" s="4" t="s">
        <v>421</v>
      </c>
      <c r="Q214" s="4" t="s">
        <v>1815</v>
      </c>
      <c r="R214" s="4" t="s">
        <v>1816</v>
      </c>
      <c r="S214" s="4" t="s">
        <v>1455</v>
      </c>
      <c r="T214" s="6" t="s">
        <v>1817</v>
      </c>
      <c r="U214" s="3" t="str">
        <f t="shared" si="0"/>
        <v>Outstanding</v>
      </c>
      <c r="V214" s="15" t="s">
        <v>28</v>
      </c>
    </row>
    <row r="215" spans="1:22" ht="60" customHeight="1" x14ac:dyDescent="0.35">
      <c r="A215" s="13" t="s">
        <v>1805</v>
      </c>
      <c r="B215" s="2" t="s">
        <v>1818</v>
      </c>
      <c r="C215" s="1" t="s">
        <v>1819</v>
      </c>
      <c r="D215" s="3" t="s">
        <v>25</v>
      </c>
      <c r="E215" s="3" t="s">
        <v>26</v>
      </c>
      <c r="F215" s="3" t="s">
        <v>27</v>
      </c>
      <c r="G215" s="3" t="s">
        <v>28</v>
      </c>
      <c r="H215" s="4" t="s">
        <v>28</v>
      </c>
      <c r="I215" s="4" t="s">
        <v>1820</v>
      </c>
      <c r="J215" s="4" t="s">
        <v>1821</v>
      </c>
      <c r="K215" s="5" t="s">
        <v>1810</v>
      </c>
      <c r="L215" s="5" t="s">
        <v>1822</v>
      </c>
      <c r="M215" s="4" t="s">
        <v>1823</v>
      </c>
      <c r="N215" s="4" t="s">
        <v>1824</v>
      </c>
      <c r="O215" s="4" t="s">
        <v>522</v>
      </c>
      <c r="P215" s="4" t="s">
        <v>421</v>
      </c>
      <c r="Q215" s="4" t="s">
        <v>1815</v>
      </c>
      <c r="R215" s="4" t="s">
        <v>1825</v>
      </c>
      <c r="S215" s="4" t="s">
        <v>1826</v>
      </c>
      <c r="T215" s="6" t="s">
        <v>1817</v>
      </c>
      <c r="U215" s="3" t="str">
        <f t="shared" si="0"/>
        <v>Outstanding</v>
      </c>
      <c r="V215" s="15" t="s">
        <v>28</v>
      </c>
    </row>
    <row r="216" spans="1:22" ht="60" customHeight="1" x14ac:dyDescent="0.35">
      <c r="A216" s="13" t="s">
        <v>1805</v>
      </c>
      <c r="B216" s="2" t="s">
        <v>1827</v>
      </c>
      <c r="C216" s="1" t="s">
        <v>1828</v>
      </c>
      <c r="D216" s="3" t="s">
        <v>25</v>
      </c>
      <c r="E216" s="3" t="s">
        <v>26</v>
      </c>
      <c r="F216" s="3" t="s">
        <v>27</v>
      </c>
      <c r="G216" s="3" t="s">
        <v>28</v>
      </c>
      <c r="H216" s="4" t="s">
        <v>28</v>
      </c>
      <c r="I216" s="4" t="s">
        <v>1829</v>
      </c>
      <c r="J216" s="4" t="s">
        <v>1830</v>
      </c>
      <c r="K216" s="5" t="s">
        <v>1810</v>
      </c>
      <c r="L216" s="5" t="s">
        <v>1831</v>
      </c>
      <c r="M216" s="4" t="s">
        <v>1832</v>
      </c>
      <c r="N216" s="4" t="s">
        <v>1833</v>
      </c>
      <c r="O216" s="4" t="s">
        <v>1834</v>
      </c>
      <c r="P216" s="4" t="s">
        <v>421</v>
      </c>
      <c r="Q216" s="4" t="s">
        <v>1815</v>
      </c>
      <c r="R216" s="4" t="s">
        <v>1835</v>
      </c>
      <c r="S216" s="4" t="s">
        <v>1833</v>
      </c>
      <c r="T216" s="6" t="s">
        <v>1817</v>
      </c>
      <c r="U216" s="3" t="str">
        <f t="shared" si="0"/>
        <v>Outstanding</v>
      </c>
      <c r="V216" s="15" t="s">
        <v>28</v>
      </c>
    </row>
    <row r="217" spans="1:22" ht="60" customHeight="1" x14ac:dyDescent="0.35">
      <c r="A217" s="13" t="s">
        <v>1805</v>
      </c>
      <c r="B217" s="2" t="s">
        <v>1836</v>
      </c>
      <c r="C217" s="1" t="s">
        <v>1837</v>
      </c>
      <c r="D217" s="3" t="s">
        <v>25</v>
      </c>
      <c r="E217" s="3" t="s">
        <v>26</v>
      </c>
      <c r="F217" s="3" t="s">
        <v>27</v>
      </c>
      <c r="G217" s="3" t="s">
        <v>28</v>
      </c>
      <c r="H217" s="4" t="s">
        <v>28</v>
      </c>
      <c r="I217" s="4" t="s">
        <v>1838</v>
      </c>
      <c r="J217" s="4" t="s">
        <v>1839</v>
      </c>
      <c r="K217" s="5" t="s">
        <v>1810</v>
      </c>
      <c r="L217" s="5" t="s">
        <v>1840</v>
      </c>
      <c r="M217" s="4" t="s">
        <v>1841</v>
      </c>
      <c r="N217" s="4" t="s">
        <v>1842</v>
      </c>
      <c r="O217" s="4" t="s">
        <v>1843</v>
      </c>
      <c r="P217" s="4" t="s">
        <v>421</v>
      </c>
      <c r="Q217" s="4" t="s">
        <v>1815</v>
      </c>
      <c r="R217" s="4" t="s">
        <v>1825</v>
      </c>
      <c r="S217" s="4" t="s">
        <v>554</v>
      </c>
      <c r="T217" s="6" t="s">
        <v>1817</v>
      </c>
      <c r="U217" s="3" t="str">
        <f t="shared" si="0"/>
        <v>Outstanding</v>
      </c>
      <c r="V217" s="15" t="s">
        <v>28</v>
      </c>
    </row>
    <row r="218" spans="1:22" ht="60" customHeight="1" x14ac:dyDescent="0.35">
      <c r="A218" s="13" t="s">
        <v>1805</v>
      </c>
      <c r="B218" s="2" t="s">
        <v>1844</v>
      </c>
      <c r="C218" s="1" t="s">
        <v>1845</v>
      </c>
      <c r="D218" s="3" t="s">
        <v>25</v>
      </c>
      <c r="E218" s="3" t="s">
        <v>26</v>
      </c>
      <c r="F218" s="3" t="s">
        <v>27</v>
      </c>
      <c r="G218" s="3" t="s">
        <v>28</v>
      </c>
      <c r="H218" s="4" t="s">
        <v>28</v>
      </c>
      <c r="I218" s="4" t="s">
        <v>1846</v>
      </c>
      <c r="J218" s="4" t="s">
        <v>1847</v>
      </c>
      <c r="K218" s="5" t="s">
        <v>1810</v>
      </c>
      <c r="L218" s="5" t="s">
        <v>1848</v>
      </c>
      <c r="M218" s="4" t="s">
        <v>1849</v>
      </c>
      <c r="N218" s="4" t="s">
        <v>1850</v>
      </c>
      <c r="O218" s="4" t="s">
        <v>1851</v>
      </c>
      <c r="P218" s="4" t="s">
        <v>421</v>
      </c>
      <c r="Q218" s="4" t="s">
        <v>1815</v>
      </c>
      <c r="R218" s="4" t="s">
        <v>1825</v>
      </c>
      <c r="S218" s="4" t="s">
        <v>1262</v>
      </c>
      <c r="T218" s="6" t="s">
        <v>1817</v>
      </c>
      <c r="U218" s="3" t="str">
        <f t="shared" si="0"/>
        <v>Outstanding</v>
      </c>
      <c r="V218" s="15" t="s">
        <v>28</v>
      </c>
    </row>
    <row r="219" spans="1:22" ht="60" customHeight="1" x14ac:dyDescent="0.35">
      <c r="A219" s="13" t="s">
        <v>1852</v>
      </c>
      <c r="B219" s="2" t="s">
        <v>1853</v>
      </c>
      <c r="C219" s="1" t="s">
        <v>1854</v>
      </c>
      <c r="D219" s="3" t="s">
        <v>25</v>
      </c>
      <c r="E219" s="3" t="s">
        <v>26</v>
      </c>
      <c r="F219" s="3" t="s">
        <v>27</v>
      </c>
      <c r="G219" s="3" t="s">
        <v>28</v>
      </c>
      <c r="H219" s="4" t="s">
        <v>28</v>
      </c>
      <c r="I219" s="4" t="s">
        <v>1855</v>
      </c>
      <c r="J219" s="4" t="s">
        <v>1856</v>
      </c>
      <c r="K219" s="5" t="s">
        <v>1857</v>
      </c>
      <c r="L219" s="5" t="s">
        <v>1858</v>
      </c>
      <c r="M219" s="4" t="s">
        <v>1859</v>
      </c>
      <c r="N219" s="4"/>
      <c r="O219" s="4"/>
      <c r="P219" s="4"/>
      <c r="Q219" s="4"/>
      <c r="R219" s="4"/>
      <c r="S219" s="4"/>
      <c r="T219" s="6"/>
      <c r="U219" s="3" t="str">
        <f t="shared" si="0"/>
        <v>Outstanding</v>
      </c>
      <c r="V219" s="15" t="s">
        <v>28</v>
      </c>
    </row>
    <row r="220" spans="1:22" ht="60" customHeight="1" x14ac:dyDescent="0.35">
      <c r="A220" s="13" t="s">
        <v>1860</v>
      </c>
      <c r="B220" s="2" t="s">
        <v>1861</v>
      </c>
      <c r="C220" s="1" t="s">
        <v>1862</v>
      </c>
      <c r="D220" s="3" t="s">
        <v>25</v>
      </c>
      <c r="E220" s="3" t="s">
        <v>26</v>
      </c>
      <c r="F220" s="3" t="s">
        <v>27</v>
      </c>
      <c r="G220" s="3" t="s">
        <v>28</v>
      </c>
      <c r="H220" s="4" t="s">
        <v>28</v>
      </c>
      <c r="I220" s="4" t="s">
        <v>1863</v>
      </c>
      <c r="J220" s="4" t="s">
        <v>1864</v>
      </c>
      <c r="K220" s="5" t="s">
        <v>1865</v>
      </c>
      <c r="L220" s="5" t="s">
        <v>1866</v>
      </c>
      <c r="M220" s="4" t="s">
        <v>1867</v>
      </c>
      <c r="N220" s="4" t="s">
        <v>1868</v>
      </c>
      <c r="O220" s="4" t="s">
        <v>1869</v>
      </c>
      <c r="P220" s="4" t="s">
        <v>36</v>
      </c>
      <c r="Q220" s="4" t="s">
        <v>1870</v>
      </c>
      <c r="R220" s="4" t="s">
        <v>1871</v>
      </c>
      <c r="S220" s="4" t="s">
        <v>1872</v>
      </c>
      <c r="T220" s="6" t="s">
        <v>1468</v>
      </c>
      <c r="U220" s="3" t="str">
        <f t="shared" si="0"/>
        <v>Outstanding</v>
      </c>
      <c r="V220" s="15" t="s">
        <v>28</v>
      </c>
    </row>
    <row r="221" spans="1:22" ht="60" customHeight="1" x14ac:dyDescent="0.35">
      <c r="A221" s="13" t="s">
        <v>1860</v>
      </c>
      <c r="B221" s="2" t="s">
        <v>1873</v>
      </c>
      <c r="C221" s="1" t="s">
        <v>1874</v>
      </c>
      <c r="D221" s="3" t="s">
        <v>25</v>
      </c>
      <c r="E221" s="3" t="s">
        <v>26</v>
      </c>
      <c r="F221" s="3" t="s">
        <v>27</v>
      </c>
      <c r="G221" s="3" t="s">
        <v>28</v>
      </c>
      <c r="H221" s="4" t="s">
        <v>28</v>
      </c>
      <c r="I221" s="4" t="s">
        <v>1875</v>
      </c>
      <c r="J221" s="4" t="s">
        <v>1876</v>
      </c>
      <c r="K221" s="5" t="s">
        <v>1865</v>
      </c>
      <c r="L221" s="5" t="s">
        <v>1877</v>
      </c>
      <c r="M221" s="4" t="s">
        <v>1878</v>
      </c>
      <c r="N221" s="4" t="s">
        <v>1879</v>
      </c>
      <c r="O221" s="4" t="s">
        <v>1880</v>
      </c>
      <c r="P221" s="4" t="s">
        <v>36</v>
      </c>
      <c r="Q221" s="4" t="s">
        <v>1881</v>
      </c>
      <c r="R221" s="4" t="s">
        <v>1882</v>
      </c>
      <c r="S221" s="4" t="s">
        <v>1883</v>
      </c>
      <c r="T221" s="6" t="s">
        <v>1468</v>
      </c>
      <c r="U221" s="3" t="str">
        <f t="shared" si="0"/>
        <v>Outstanding</v>
      </c>
      <c r="V221" s="15" t="s">
        <v>28</v>
      </c>
    </row>
    <row r="222" spans="1:22" ht="60" customHeight="1" x14ac:dyDescent="0.35">
      <c r="A222" s="13" t="s">
        <v>1860</v>
      </c>
      <c r="B222" s="2" t="s">
        <v>1884</v>
      </c>
      <c r="C222" s="1" t="s">
        <v>1885</v>
      </c>
      <c r="D222" s="3" t="s">
        <v>25</v>
      </c>
      <c r="E222" s="3" t="s">
        <v>26</v>
      </c>
      <c r="F222" s="3" t="s">
        <v>27</v>
      </c>
      <c r="G222" s="3" t="s">
        <v>28</v>
      </c>
      <c r="H222" s="4" t="s">
        <v>28</v>
      </c>
      <c r="I222" s="4" t="s">
        <v>1886</v>
      </c>
      <c r="J222" s="4" t="s">
        <v>1887</v>
      </c>
      <c r="K222" s="5" t="s">
        <v>1865</v>
      </c>
      <c r="L222" s="5" t="s">
        <v>1888</v>
      </c>
      <c r="M222" s="4" t="s">
        <v>1889</v>
      </c>
      <c r="N222" s="4" t="s">
        <v>1890</v>
      </c>
      <c r="O222" s="4" t="s">
        <v>1891</v>
      </c>
      <c r="P222" s="4" t="s">
        <v>36</v>
      </c>
      <c r="Q222" s="4" t="s">
        <v>1479</v>
      </c>
      <c r="R222" s="4" t="s">
        <v>1480</v>
      </c>
      <c r="S222" s="4"/>
      <c r="T222" s="6" t="s">
        <v>1468</v>
      </c>
      <c r="U222" s="3" t="str">
        <f t="shared" si="0"/>
        <v>Outstanding</v>
      </c>
      <c r="V222" s="15" t="s">
        <v>28</v>
      </c>
    </row>
    <row r="223" spans="1:22" ht="60" customHeight="1" x14ac:dyDescent="0.35">
      <c r="A223" s="13" t="s">
        <v>1860</v>
      </c>
      <c r="B223" s="2" t="s">
        <v>1892</v>
      </c>
      <c r="C223" s="1" t="s">
        <v>1893</v>
      </c>
      <c r="D223" s="3" t="s">
        <v>25</v>
      </c>
      <c r="E223" s="3" t="s">
        <v>26</v>
      </c>
      <c r="F223" s="3" t="s">
        <v>27</v>
      </c>
      <c r="G223" s="3" t="s">
        <v>28</v>
      </c>
      <c r="H223" s="4" t="s">
        <v>28</v>
      </c>
      <c r="I223" s="4" t="s">
        <v>1894</v>
      </c>
      <c r="J223" s="4" t="s">
        <v>1895</v>
      </c>
      <c r="K223" s="5" t="s">
        <v>1865</v>
      </c>
      <c r="L223" s="5" t="s">
        <v>1896</v>
      </c>
      <c r="M223" s="4" t="s">
        <v>1897</v>
      </c>
      <c r="N223" s="4" t="s">
        <v>1898</v>
      </c>
      <c r="O223" s="4" t="s">
        <v>1899</v>
      </c>
      <c r="P223" s="4" t="s">
        <v>36</v>
      </c>
      <c r="Q223" s="4" t="s">
        <v>1870</v>
      </c>
      <c r="R223" s="4" t="s">
        <v>1871</v>
      </c>
      <c r="S223" s="4" t="s">
        <v>1900</v>
      </c>
      <c r="T223" s="6" t="s">
        <v>1468</v>
      </c>
      <c r="U223" s="3" t="str">
        <f t="shared" si="0"/>
        <v>Outstanding</v>
      </c>
      <c r="V223" s="15" t="s">
        <v>28</v>
      </c>
    </row>
    <row r="224" spans="1:22" ht="60" customHeight="1" x14ac:dyDescent="0.35">
      <c r="A224" s="13" t="s">
        <v>1860</v>
      </c>
      <c r="B224" s="2" t="s">
        <v>1901</v>
      </c>
      <c r="C224" s="1" t="s">
        <v>1902</v>
      </c>
      <c r="D224" s="3" t="s">
        <v>25</v>
      </c>
      <c r="E224" s="3" t="s">
        <v>26</v>
      </c>
      <c r="F224" s="3" t="s">
        <v>27</v>
      </c>
      <c r="G224" s="3" t="s">
        <v>28</v>
      </c>
      <c r="H224" s="4" t="s">
        <v>28</v>
      </c>
      <c r="I224" s="4" t="s">
        <v>1903</v>
      </c>
      <c r="J224" s="4" t="s">
        <v>1904</v>
      </c>
      <c r="K224" s="5" t="s">
        <v>1865</v>
      </c>
      <c r="L224" s="5" t="s">
        <v>1905</v>
      </c>
      <c r="M224" s="4" t="s">
        <v>1906</v>
      </c>
      <c r="N224" s="4" t="s">
        <v>1907</v>
      </c>
      <c r="O224" s="4" t="s">
        <v>1908</v>
      </c>
      <c r="P224" s="4" t="s">
        <v>36</v>
      </c>
      <c r="Q224" s="4" t="s">
        <v>1881</v>
      </c>
      <c r="R224" s="4" t="s">
        <v>1882</v>
      </c>
      <c r="S224" s="4" t="s">
        <v>1909</v>
      </c>
      <c r="T224" s="6" t="s">
        <v>1468</v>
      </c>
      <c r="U224" s="3" t="str">
        <f t="shared" si="0"/>
        <v>Outstanding</v>
      </c>
      <c r="V224" s="15" t="s">
        <v>28</v>
      </c>
    </row>
    <row r="225" spans="1:22" ht="60" customHeight="1" x14ac:dyDescent="0.35">
      <c r="A225" s="13" t="s">
        <v>1860</v>
      </c>
      <c r="B225" s="2" t="s">
        <v>1910</v>
      </c>
      <c r="C225" s="1" t="s">
        <v>1911</v>
      </c>
      <c r="D225" s="3" t="s">
        <v>25</v>
      </c>
      <c r="E225" s="3" t="s">
        <v>26</v>
      </c>
      <c r="F225" s="3" t="s">
        <v>27</v>
      </c>
      <c r="G225" s="3" t="s">
        <v>28</v>
      </c>
      <c r="H225" s="4" t="s">
        <v>28</v>
      </c>
      <c r="I225" s="4" t="s">
        <v>1912</v>
      </c>
      <c r="J225" s="4" t="s">
        <v>1913</v>
      </c>
      <c r="K225" s="5" t="s">
        <v>1865</v>
      </c>
      <c r="L225" s="5" t="s">
        <v>1914</v>
      </c>
      <c r="M225" s="4" t="s">
        <v>1915</v>
      </c>
      <c r="N225" s="4" t="s">
        <v>1916</v>
      </c>
      <c r="O225" s="4" t="s">
        <v>1917</v>
      </c>
      <c r="P225" s="4" t="s">
        <v>36</v>
      </c>
      <c r="Q225" s="4" t="s">
        <v>1881</v>
      </c>
      <c r="R225" s="4" t="s">
        <v>1882</v>
      </c>
      <c r="S225" s="4" t="s">
        <v>1916</v>
      </c>
      <c r="T225" s="6" t="s">
        <v>1468</v>
      </c>
      <c r="U225" s="3" t="str">
        <f t="shared" si="0"/>
        <v>Outstanding</v>
      </c>
      <c r="V225" s="15" t="s">
        <v>28</v>
      </c>
    </row>
    <row r="226" spans="1:22" ht="60" customHeight="1" x14ac:dyDescent="0.35">
      <c r="A226" s="13" t="s">
        <v>1860</v>
      </c>
      <c r="B226" s="2" t="s">
        <v>1918</v>
      </c>
      <c r="C226" s="1" t="s">
        <v>1919</v>
      </c>
      <c r="D226" s="3" t="s">
        <v>25</v>
      </c>
      <c r="E226" s="3" t="s">
        <v>26</v>
      </c>
      <c r="F226" s="3" t="s">
        <v>27</v>
      </c>
      <c r="G226" s="3" t="s">
        <v>28</v>
      </c>
      <c r="H226" s="4" t="s">
        <v>28</v>
      </c>
      <c r="I226" s="4" t="s">
        <v>1920</v>
      </c>
      <c r="J226" s="4" t="s">
        <v>1921</v>
      </c>
      <c r="K226" s="5" t="s">
        <v>1865</v>
      </c>
      <c r="L226" s="5" t="s">
        <v>1922</v>
      </c>
      <c r="M226" s="4" t="s">
        <v>1923</v>
      </c>
      <c r="N226" s="4" t="s">
        <v>1924</v>
      </c>
      <c r="O226" s="4" t="s">
        <v>1925</v>
      </c>
      <c r="P226" s="4" t="s">
        <v>36</v>
      </c>
      <c r="Q226" s="4" t="s">
        <v>1881</v>
      </c>
      <c r="R226" s="4" t="s">
        <v>1882</v>
      </c>
      <c r="S226" s="4" t="s">
        <v>1926</v>
      </c>
      <c r="T226" s="6" t="s">
        <v>1468</v>
      </c>
      <c r="U226" s="3" t="str">
        <f t="shared" si="0"/>
        <v>Outstanding</v>
      </c>
      <c r="V226" s="15" t="s">
        <v>28</v>
      </c>
    </row>
    <row r="227" spans="1:22" ht="60" customHeight="1" x14ac:dyDescent="0.35">
      <c r="A227" s="13" t="s">
        <v>1860</v>
      </c>
      <c r="B227" s="2" t="s">
        <v>1927</v>
      </c>
      <c r="C227" s="1" t="s">
        <v>1928</v>
      </c>
      <c r="D227" s="3" t="s">
        <v>25</v>
      </c>
      <c r="E227" s="3" t="s">
        <v>26</v>
      </c>
      <c r="F227" s="3" t="s">
        <v>27</v>
      </c>
      <c r="G227" s="3" t="s">
        <v>28</v>
      </c>
      <c r="H227" s="4" t="s">
        <v>28</v>
      </c>
      <c r="I227" s="4" t="s">
        <v>1929</v>
      </c>
      <c r="J227" s="4"/>
      <c r="K227" s="5" t="s">
        <v>1865</v>
      </c>
      <c r="L227" s="5" t="s">
        <v>1930</v>
      </c>
      <c r="M227" s="4"/>
      <c r="N227" s="4"/>
      <c r="O227" s="4"/>
      <c r="P227" s="4"/>
      <c r="Q227" s="4"/>
      <c r="R227" s="4"/>
      <c r="S227" s="4"/>
      <c r="T227" s="6"/>
      <c r="U227" s="3" t="str">
        <f t="shared" si="0"/>
        <v>Outstanding</v>
      </c>
      <c r="V227" s="15" t="s">
        <v>28</v>
      </c>
    </row>
    <row r="228" spans="1:22" ht="60" customHeight="1" x14ac:dyDescent="0.35">
      <c r="A228" s="13" t="s">
        <v>1860</v>
      </c>
      <c r="B228" s="2" t="s">
        <v>1931</v>
      </c>
      <c r="C228" s="1" t="s">
        <v>1932</v>
      </c>
      <c r="D228" s="3" t="s">
        <v>25</v>
      </c>
      <c r="E228" s="3" t="s">
        <v>26</v>
      </c>
      <c r="F228" s="3" t="s">
        <v>27</v>
      </c>
      <c r="G228" s="3" t="s">
        <v>28</v>
      </c>
      <c r="H228" s="4" t="s">
        <v>28</v>
      </c>
      <c r="I228" s="4" t="s">
        <v>1933</v>
      </c>
      <c r="J228" s="4"/>
      <c r="K228" s="5" t="s">
        <v>1865</v>
      </c>
      <c r="L228" s="5" t="s">
        <v>1930</v>
      </c>
      <c r="M228" s="4"/>
      <c r="N228" s="4"/>
      <c r="O228" s="4"/>
      <c r="P228" s="4"/>
      <c r="Q228" s="4"/>
      <c r="R228" s="4"/>
      <c r="S228" s="4"/>
      <c r="T228" s="6"/>
      <c r="U228" s="3" t="str">
        <f t="shared" si="0"/>
        <v>Outstanding</v>
      </c>
      <c r="V228" s="15" t="s">
        <v>28</v>
      </c>
    </row>
    <row r="229" spans="1:22" ht="60" customHeight="1" x14ac:dyDescent="0.35">
      <c r="A229" s="13" t="s">
        <v>1860</v>
      </c>
      <c r="B229" s="2" t="s">
        <v>1934</v>
      </c>
      <c r="C229" s="1" t="s">
        <v>1935</v>
      </c>
      <c r="D229" s="3" t="s">
        <v>25</v>
      </c>
      <c r="E229" s="3" t="s">
        <v>26</v>
      </c>
      <c r="F229" s="3" t="s">
        <v>27</v>
      </c>
      <c r="G229" s="3" t="s">
        <v>28</v>
      </c>
      <c r="H229" s="4" t="s">
        <v>28</v>
      </c>
      <c r="I229" s="4" t="s">
        <v>1936</v>
      </c>
      <c r="J229" s="4"/>
      <c r="K229" s="5" t="s">
        <v>1865</v>
      </c>
      <c r="L229" s="5" t="s">
        <v>1930</v>
      </c>
      <c r="M229" s="4"/>
      <c r="N229" s="4"/>
      <c r="O229" s="4"/>
      <c r="P229" s="4"/>
      <c r="Q229" s="4"/>
      <c r="R229" s="4"/>
      <c r="S229" s="4"/>
      <c r="T229" s="6"/>
      <c r="U229" s="3" t="str">
        <f t="shared" si="0"/>
        <v>Outstanding</v>
      </c>
      <c r="V229" s="15" t="s">
        <v>28</v>
      </c>
    </row>
    <row r="230" spans="1:22" ht="60" customHeight="1" x14ac:dyDescent="0.35">
      <c r="A230" s="13" t="s">
        <v>1860</v>
      </c>
      <c r="B230" s="2" t="s">
        <v>1937</v>
      </c>
      <c r="C230" s="1" t="s">
        <v>1938</v>
      </c>
      <c r="D230" s="3" t="s">
        <v>25</v>
      </c>
      <c r="E230" s="3" t="s">
        <v>26</v>
      </c>
      <c r="F230" s="3" t="s">
        <v>27</v>
      </c>
      <c r="G230" s="3" t="s">
        <v>28</v>
      </c>
      <c r="H230" s="4" t="s">
        <v>28</v>
      </c>
      <c r="I230" s="4" t="s">
        <v>1939</v>
      </c>
      <c r="J230" s="4"/>
      <c r="K230" s="5" t="s">
        <v>1865</v>
      </c>
      <c r="L230" s="5" t="s">
        <v>1930</v>
      </c>
      <c r="M230" s="4"/>
      <c r="N230" s="4"/>
      <c r="O230" s="4"/>
      <c r="P230" s="4"/>
      <c r="Q230" s="4"/>
      <c r="R230" s="4"/>
      <c r="S230" s="4"/>
      <c r="T230" s="6"/>
      <c r="U230" s="3" t="str">
        <f t="shared" si="0"/>
        <v>Outstanding</v>
      </c>
      <c r="V230" s="15" t="s">
        <v>28</v>
      </c>
    </row>
    <row r="231" spans="1:22" ht="60" customHeight="1" x14ac:dyDescent="0.35">
      <c r="A231" s="13" t="s">
        <v>1860</v>
      </c>
      <c r="B231" s="2" t="s">
        <v>1940</v>
      </c>
      <c r="C231" s="1" t="s">
        <v>1941</v>
      </c>
      <c r="D231" s="3" t="s">
        <v>25</v>
      </c>
      <c r="E231" s="3" t="s">
        <v>26</v>
      </c>
      <c r="F231" s="3" t="s">
        <v>27</v>
      </c>
      <c r="G231" s="3" t="s">
        <v>28</v>
      </c>
      <c r="H231" s="4" t="s">
        <v>28</v>
      </c>
      <c r="I231" s="4" t="s">
        <v>1942</v>
      </c>
      <c r="J231" s="4"/>
      <c r="K231" s="5" t="s">
        <v>1865</v>
      </c>
      <c r="L231" s="5" t="s">
        <v>1930</v>
      </c>
      <c r="M231" s="4"/>
      <c r="N231" s="4"/>
      <c r="O231" s="4"/>
      <c r="P231" s="4"/>
      <c r="Q231" s="4"/>
      <c r="R231" s="4"/>
      <c r="S231" s="4"/>
      <c r="T231" s="6"/>
      <c r="U231" s="3" t="str">
        <f t="shared" si="0"/>
        <v>Outstanding</v>
      </c>
      <c r="V231" s="15" t="s">
        <v>28</v>
      </c>
    </row>
    <row r="232" spans="1:22" ht="60" customHeight="1" x14ac:dyDescent="0.35">
      <c r="A232" s="13" t="s">
        <v>1860</v>
      </c>
      <c r="B232" s="2" t="s">
        <v>1943</v>
      </c>
      <c r="C232" s="1" t="s">
        <v>1944</v>
      </c>
      <c r="D232" s="3" t="s">
        <v>25</v>
      </c>
      <c r="E232" s="3" t="s">
        <v>26</v>
      </c>
      <c r="F232" s="3" t="s">
        <v>27</v>
      </c>
      <c r="G232" s="3" t="s">
        <v>28</v>
      </c>
      <c r="H232" s="4" t="s">
        <v>28</v>
      </c>
      <c r="I232" s="4" t="s">
        <v>1945</v>
      </c>
      <c r="J232" s="4"/>
      <c r="K232" s="5" t="s">
        <v>1865</v>
      </c>
      <c r="L232" s="5" t="s">
        <v>1930</v>
      </c>
      <c r="M232" s="4"/>
      <c r="N232" s="4"/>
      <c r="O232" s="4"/>
      <c r="P232" s="4"/>
      <c r="Q232" s="4"/>
      <c r="R232" s="4"/>
      <c r="S232" s="4"/>
      <c r="T232" s="6"/>
      <c r="U232" s="3" t="str">
        <f t="shared" si="0"/>
        <v>Outstanding</v>
      </c>
      <c r="V232" s="15" t="s">
        <v>28</v>
      </c>
    </row>
    <row r="233" spans="1:22" ht="60" customHeight="1" x14ac:dyDescent="0.35">
      <c r="A233" s="13" t="s">
        <v>1860</v>
      </c>
      <c r="B233" s="2" t="s">
        <v>1946</v>
      </c>
      <c r="C233" s="1" t="s">
        <v>1947</v>
      </c>
      <c r="D233" s="3" t="s">
        <v>25</v>
      </c>
      <c r="E233" s="3" t="s">
        <v>26</v>
      </c>
      <c r="F233" s="3" t="s">
        <v>27</v>
      </c>
      <c r="G233" s="3" t="s">
        <v>28</v>
      </c>
      <c r="H233" s="4" t="s">
        <v>28</v>
      </c>
      <c r="I233" s="4" t="s">
        <v>1948</v>
      </c>
      <c r="J233" s="4"/>
      <c r="K233" s="5" t="s">
        <v>1865</v>
      </c>
      <c r="L233" s="5" t="s">
        <v>1930</v>
      </c>
      <c r="M233" s="4"/>
      <c r="N233" s="4"/>
      <c r="O233" s="4"/>
      <c r="P233" s="4"/>
      <c r="Q233" s="4"/>
      <c r="R233" s="4"/>
      <c r="S233" s="4"/>
      <c r="T233" s="6"/>
      <c r="U233" s="3" t="str">
        <f t="shared" si="0"/>
        <v>Outstanding</v>
      </c>
      <c r="V233" s="15" t="s">
        <v>28</v>
      </c>
    </row>
    <row r="234" spans="1:22" ht="60" customHeight="1" x14ac:dyDescent="0.35">
      <c r="A234" s="13" t="s">
        <v>1860</v>
      </c>
      <c r="B234" s="2" t="s">
        <v>1949</v>
      </c>
      <c r="C234" s="1" t="s">
        <v>1950</v>
      </c>
      <c r="D234" s="3" t="s">
        <v>25</v>
      </c>
      <c r="E234" s="3" t="s">
        <v>26</v>
      </c>
      <c r="F234" s="3" t="s">
        <v>27</v>
      </c>
      <c r="G234" s="3" t="s">
        <v>28</v>
      </c>
      <c r="H234" s="4" t="s">
        <v>28</v>
      </c>
      <c r="I234" s="4" t="s">
        <v>1951</v>
      </c>
      <c r="J234" s="4"/>
      <c r="K234" s="5" t="s">
        <v>1865</v>
      </c>
      <c r="L234" s="5" t="s">
        <v>1930</v>
      </c>
      <c r="M234" s="4"/>
      <c r="N234" s="4"/>
      <c r="O234" s="4"/>
      <c r="P234" s="4"/>
      <c r="Q234" s="4"/>
      <c r="R234" s="4"/>
      <c r="S234" s="4"/>
      <c r="T234" s="6"/>
      <c r="U234" s="3" t="str">
        <f t="shared" si="0"/>
        <v>Outstanding</v>
      </c>
      <c r="V234" s="15" t="s">
        <v>28</v>
      </c>
    </row>
    <row r="235" spans="1:22" ht="60" customHeight="1" x14ac:dyDescent="0.35">
      <c r="A235" s="13" t="s">
        <v>1860</v>
      </c>
      <c r="B235" s="2" t="s">
        <v>1952</v>
      </c>
      <c r="C235" s="1" t="s">
        <v>1953</v>
      </c>
      <c r="D235" s="3" t="s">
        <v>25</v>
      </c>
      <c r="E235" s="3" t="s">
        <v>26</v>
      </c>
      <c r="F235" s="3" t="s">
        <v>27</v>
      </c>
      <c r="G235" s="3" t="s">
        <v>28</v>
      </c>
      <c r="H235" s="4" t="s">
        <v>28</v>
      </c>
      <c r="I235" s="4" t="s">
        <v>1954</v>
      </c>
      <c r="J235" s="4"/>
      <c r="K235" s="5" t="s">
        <v>1865</v>
      </c>
      <c r="L235" s="5" t="s">
        <v>1930</v>
      </c>
      <c r="M235" s="4"/>
      <c r="N235" s="4"/>
      <c r="O235" s="4"/>
      <c r="P235" s="4"/>
      <c r="Q235" s="4"/>
      <c r="R235" s="4"/>
      <c r="S235" s="4"/>
      <c r="T235" s="6"/>
      <c r="U235" s="3" t="str">
        <f t="shared" si="0"/>
        <v>Outstanding</v>
      </c>
      <c r="V235" s="15" t="s">
        <v>28</v>
      </c>
    </row>
    <row r="236" spans="1:22" ht="60" customHeight="1" x14ac:dyDescent="0.35">
      <c r="A236" s="13" t="s">
        <v>1860</v>
      </c>
      <c r="B236" s="2" t="s">
        <v>1955</v>
      </c>
      <c r="C236" s="1" t="s">
        <v>1956</v>
      </c>
      <c r="D236" s="3" t="s">
        <v>25</v>
      </c>
      <c r="E236" s="3" t="s">
        <v>26</v>
      </c>
      <c r="F236" s="3" t="s">
        <v>27</v>
      </c>
      <c r="G236" s="3" t="s">
        <v>28</v>
      </c>
      <c r="H236" s="4" t="s">
        <v>28</v>
      </c>
      <c r="I236" s="4" t="s">
        <v>1957</v>
      </c>
      <c r="J236" s="4"/>
      <c r="K236" s="5" t="s">
        <v>1865</v>
      </c>
      <c r="L236" s="5" t="s">
        <v>1930</v>
      </c>
      <c r="M236" s="4"/>
      <c r="N236" s="4"/>
      <c r="O236" s="4"/>
      <c r="P236" s="4"/>
      <c r="Q236" s="4"/>
      <c r="R236" s="4"/>
      <c r="S236" s="4"/>
      <c r="T236" s="6"/>
      <c r="U236" s="3" t="str">
        <f t="shared" si="0"/>
        <v>Outstanding</v>
      </c>
      <c r="V236" s="15" t="s">
        <v>28</v>
      </c>
    </row>
    <row r="237" spans="1:22" ht="60" customHeight="1" x14ac:dyDescent="0.35">
      <c r="A237" s="13" t="s">
        <v>1860</v>
      </c>
      <c r="B237" s="2" t="s">
        <v>1958</v>
      </c>
      <c r="C237" s="1" t="s">
        <v>1959</v>
      </c>
      <c r="D237" s="3" t="s">
        <v>25</v>
      </c>
      <c r="E237" s="3" t="s">
        <v>26</v>
      </c>
      <c r="F237" s="3" t="s">
        <v>27</v>
      </c>
      <c r="G237" s="3" t="s">
        <v>28</v>
      </c>
      <c r="H237" s="4" t="s">
        <v>28</v>
      </c>
      <c r="I237" s="4" t="s">
        <v>1960</v>
      </c>
      <c r="J237" s="4"/>
      <c r="K237" s="5" t="s">
        <v>1865</v>
      </c>
      <c r="L237" s="5" t="s">
        <v>1930</v>
      </c>
      <c r="M237" s="4"/>
      <c r="N237" s="4"/>
      <c r="O237" s="4"/>
      <c r="P237" s="4"/>
      <c r="Q237" s="4"/>
      <c r="R237" s="4"/>
      <c r="S237" s="4"/>
      <c r="T237" s="6"/>
      <c r="U237" s="3" t="str">
        <f t="shared" si="0"/>
        <v>Outstanding</v>
      </c>
      <c r="V237" s="15" t="s">
        <v>28</v>
      </c>
    </row>
    <row r="238" spans="1:22" ht="60" customHeight="1" x14ac:dyDescent="0.35">
      <c r="A238" s="13" t="s">
        <v>1860</v>
      </c>
      <c r="B238" s="2" t="s">
        <v>1961</v>
      </c>
      <c r="C238" s="1" t="s">
        <v>1962</v>
      </c>
      <c r="D238" s="3" t="s">
        <v>25</v>
      </c>
      <c r="E238" s="3" t="s">
        <v>26</v>
      </c>
      <c r="F238" s="3" t="s">
        <v>27</v>
      </c>
      <c r="G238" s="3" t="s">
        <v>28</v>
      </c>
      <c r="H238" s="4" t="s">
        <v>28</v>
      </c>
      <c r="I238" s="4" t="s">
        <v>1963</v>
      </c>
      <c r="J238" s="4"/>
      <c r="K238" s="5" t="s">
        <v>1865</v>
      </c>
      <c r="L238" s="5" t="s">
        <v>1930</v>
      </c>
      <c r="M238" s="4"/>
      <c r="N238" s="4"/>
      <c r="O238" s="4"/>
      <c r="P238" s="4"/>
      <c r="Q238" s="4"/>
      <c r="R238" s="4"/>
      <c r="S238" s="4"/>
      <c r="T238" s="6"/>
      <c r="U238" s="3" t="str">
        <f t="shared" si="0"/>
        <v>Outstanding</v>
      </c>
      <c r="V238" s="15" t="s">
        <v>28</v>
      </c>
    </row>
    <row r="239" spans="1:22" ht="60" customHeight="1" x14ac:dyDescent="0.35">
      <c r="A239" s="13" t="s">
        <v>1860</v>
      </c>
      <c r="B239" s="2" t="s">
        <v>1964</v>
      </c>
      <c r="C239" s="1" t="s">
        <v>1965</v>
      </c>
      <c r="D239" s="3" t="s">
        <v>25</v>
      </c>
      <c r="E239" s="3" t="s">
        <v>26</v>
      </c>
      <c r="F239" s="3" t="s">
        <v>27</v>
      </c>
      <c r="G239" s="3" t="s">
        <v>28</v>
      </c>
      <c r="H239" s="4" t="s">
        <v>28</v>
      </c>
      <c r="I239" s="4" t="s">
        <v>1966</v>
      </c>
      <c r="J239" s="4" t="s">
        <v>1967</v>
      </c>
      <c r="K239" s="5" t="s">
        <v>1865</v>
      </c>
      <c r="L239" s="5" t="s">
        <v>1968</v>
      </c>
      <c r="M239" s="4" t="s">
        <v>1969</v>
      </c>
      <c r="N239" s="4" t="s">
        <v>1970</v>
      </c>
      <c r="O239" s="4" t="s">
        <v>1971</v>
      </c>
      <c r="P239" s="4" t="s">
        <v>36</v>
      </c>
      <c r="Q239" s="4" t="s">
        <v>1972</v>
      </c>
      <c r="R239" s="4" t="s">
        <v>1973</v>
      </c>
      <c r="S239" s="4"/>
      <c r="T239" s="6" t="s">
        <v>1468</v>
      </c>
      <c r="U239" s="3" t="str">
        <f t="shared" si="0"/>
        <v>Outstanding</v>
      </c>
      <c r="V239" s="15" t="s">
        <v>28</v>
      </c>
    </row>
    <row r="240" spans="1:22" ht="60" customHeight="1" x14ac:dyDescent="0.35">
      <c r="A240" s="13" t="s">
        <v>1860</v>
      </c>
      <c r="B240" s="2" t="s">
        <v>1974</v>
      </c>
      <c r="C240" s="1" t="s">
        <v>1975</v>
      </c>
      <c r="D240" s="3" t="s">
        <v>25</v>
      </c>
      <c r="E240" s="3" t="s">
        <v>26</v>
      </c>
      <c r="F240" s="3" t="s">
        <v>27</v>
      </c>
      <c r="G240" s="3" t="s">
        <v>28</v>
      </c>
      <c r="H240" s="4" t="s">
        <v>28</v>
      </c>
      <c r="I240" s="4" t="s">
        <v>1976</v>
      </c>
      <c r="J240" s="4" t="s">
        <v>1977</v>
      </c>
      <c r="K240" s="5" t="s">
        <v>1865</v>
      </c>
      <c r="L240" s="5" t="s">
        <v>1978</v>
      </c>
      <c r="M240" s="4" t="s">
        <v>1979</v>
      </c>
      <c r="N240" s="4" t="s">
        <v>1980</v>
      </c>
      <c r="O240" s="4" t="s">
        <v>1981</v>
      </c>
      <c r="P240" s="4" t="s">
        <v>36</v>
      </c>
      <c r="Q240" s="4" t="s">
        <v>1972</v>
      </c>
      <c r="R240" s="4" t="s">
        <v>1973</v>
      </c>
      <c r="S240" s="4"/>
      <c r="T240" s="6" t="s">
        <v>1468</v>
      </c>
      <c r="U240" s="3" t="str">
        <f t="shared" si="0"/>
        <v>Outstanding</v>
      </c>
      <c r="V240" s="15" t="s">
        <v>28</v>
      </c>
    </row>
    <row r="241" spans="1:22" ht="60" customHeight="1" x14ac:dyDescent="0.35">
      <c r="A241" s="13" t="s">
        <v>1860</v>
      </c>
      <c r="B241" s="2" t="s">
        <v>1982</v>
      </c>
      <c r="C241" s="1" t="s">
        <v>1983</v>
      </c>
      <c r="D241" s="3" t="s">
        <v>25</v>
      </c>
      <c r="E241" s="3" t="s">
        <v>26</v>
      </c>
      <c r="F241" s="3" t="s">
        <v>27</v>
      </c>
      <c r="G241" s="3" t="s">
        <v>28</v>
      </c>
      <c r="H241" s="4" t="s">
        <v>28</v>
      </c>
      <c r="I241" s="4" t="s">
        <v>1984</v>
      </c>
      <c r="J241" s="4" t="s">
        <v>1985</v>
      </c>
      <c r="K241" s="5" t="s">
        <v>1865</v>
      </c>
      <c r="L241" s="5" t="s">
        <v>1986</v>
      </c>
      <c r="M241" s="4" t="s">
        <v>1987</v>
      </c>
      <c r="N241" s="4"/>
      <c r="O241" s="4"/>
      <c r="P241" s="4"/>
      <c r="Q241" s="4"/>
      <c r="R241" s="4"/>
      <c r="S241" s="4"/>
      <c r="T241" s="6"/>
      <c r="U241" s="3" t="str">
        <f t="shared" si="0"/>
        <v>Outstanding</v>
      </c>
      <c r="V241" s="15" t="s">
        <v>28</v>
      </c>
    </row>
    <row r="242" spans="1:22" ht="60" customHeight="1" x14ac:dyDescent="0.35">
      <c r="A242" s="13" t="s">
        <v>1860</v>
      </c>
      <c r="B242" s="2" t="s">
        <v>1988</v>
      </c>
      <c r="C242" s="1" t="s">
        <v>1989</v>
      </c>
      <c r="D242" s="3" t="s">
        <v>25</v>
      </c>
      <c r="E242" s="3" t="s">
        <v>26</v>
      </c>
      <c r="F242" s="3" t="s">
        <v>27</v>
      </c>
      <c r="G242" s="3" t="s">
        <v>28</v>
      </c>
      <c r="H242" s="4" t="s">
        <v>28</v>
      </c>
      <c r="I242" s="4" t="s">
        <v>1990</v>
      </c>
      <c r="J242" s="4" t="s">
        <v>1991</v>
      </c>
      <c r="K242" s="5" t="s">
        <v>1865</v>
      </c>
      <c r="L242" s="5" t="s">
        <v>1992</v>
      </c>
      <c r="M242" s="4" t="s">
        <v>1993</v>
      </c>
      <c r="N242" s="4"/>
      <c r="O242" s="4"/>
      <c r="P242" s="4"/>
      <c r="Q242" s="4"/>
      <c r="R242" s="4"/>
      <c r="S242" s="4"/>
      <c r="T242" s="6"/>
      <c r="U242" s="3" t="str">
        <f t="shared" si="0"/>
        <v>Outstanding</v>
      </c>
      <c r="V242" s="15" t="s">
        <v>28</v>
      </c>
    </row>
    <row r="243" spans="1:22" ht="60" customHeight="1" x14ac:dyDescent="0.35">
      <c r="A243" s="13" t="s">
        <v>1860</v>
      </c>
      <c r="B243" s="2" t="s">
        <v>1994</v>
      </c>
      <c r="C243" s="1" t="s">
        <v>1995</v>
      </c>
      <c r="D243" s="3" t="s">
        <v>25</v>
      </c>
      <c r="E243" s="3" t="s">
        <v>26</v>
      </c>
      <c r="F243" s="3" t="s">
        <v>27</v>
      </c>
      <c r="G243" s="3" t="s">
        <v>28</v>
      </c>
      <c r="H243" s="4" t="s">
        <v>28</v>
      </c>
      <c r="I243" s="4" t="s">
        <v>1996</v>
      </c>
      <c r="J243" s="4" t="s">
        <v>1997</v>
      </c>
      <c r="K243" s="5" t="s">
        <v>1865</v>
      </c>
      <c r="L243" s="5" t="s">
        <v>1998</v>
      </c>
      <c r="M243" s="4" t="s">
        <v>1999</v>
      </c>
      <c r="N243" s="4" t="s">
        <v>2000</v>
      </c>
      <c r="O243" s="4" t="s">
        <v>2001</v>
      </c>
      <c r="P243" s="4" t="s">
        <v>36</v>
      </c>
      <c r="Q243" s="4" t="s">
        <v>2002</v>
      </c>
      <c r="R243" s="4" t="s">
        <v>2003</v>
      </c>
      <c r="S243" s="4"/>
      <c r="T243" s="6" t="s">
        <v>1468</v>
      </c>
      <c r="U243" s="3" t="str">
        <f t="shared" si="0"/>
        <v>Outstanding</v>
      </c>
      <c r="V243" s="15" t="s">
        <v>28</v>
      </c>
    </row>
    <row r="244" spans="1:22" ht="60" customHeight="1" x14ac:dyDescent="0.35">
      <c r="A244" s="13" t="s">
        <v>1860</v>
      </c>
      <c r="B244" s="2" t="s">
        <v>2004</v>
      </c>
      <c r="C244" s="1" t="s">
        <v>2005</v>
      </c>
      <c r="D244" s="3" t="s">
        <v>25</v>
      </c>
      <c r="E244" s="3" t="s">
        <v>26</v>
      </c>
      <c r="F244" s="3" t="s">
        <v>27</v>
      </c>
      <c r="G244" s="3" t="s">
        <v>28</v>
      </c>
      <c r="H244" s="4" t="s">
        <v>28</v>
      </c>
      <c r="I244" s="4" t="s">
        <v>2006</v>
      </c>
      <c r="J244" s="4" t="s">
        <v>2007</v>
      </c>
      <c r="K244" s="5" t="s">
        <v>1865</v>
      </c>
      <c r="L244" s="5" t="s">
        <v>2008</v>
      </c>
      <c r="M244" s="4" t="s">
        <v>2009</v>
      </c>
      <c r="N244" s="4"/>
      <c r="O244" s="4"/>
      <c r="P244" s="4"/>
      <c r="Q244" s="4"/>
      <c r="R244" s="4"/>
      <c r="S244" s="4"/>
      <c r="T244" s="6"/>
      <c r="U244" s="3" t="str">
        <f t="shared" si="0"/>
        <v>Outstanding</v>
      </c>
      <c r="V244" s="15" t="s">
        <v>28</v>
      </c>
    </row>
    <row r="245" spans="1:22" ht="60" customHeight="1" x14ac:dyDescent="0.35">
      <c r="A245" s="13" t="s">
        <v>1860</v>
      </c>
      <c r="B245" s="2" t="s">
        <v>2010</v>
      </c>
      <c r="C245" s="1" t="s">
        <v>2011</v>
      </c>
      <c r="D245" s="3" t="s">
        <v>25</v>
      </c>
      <c r="E245" s="3" t="s">
        <v>26</v>
      </c>
      <c r="F245" s="3" t="s">
        <v>27</v>
      </c>
      <c r="G245" s="3" t="s">
        <v>28</v>
      </c>
      <c r="H245" s="4" t="s">
        <v>28</v>
      </c>
      <c r="I245" s="4" t="s">
        <v>2012</v>
      </c>
      <c r="J245" s="4" t="s">
        <v>2013</v>
      </c>
      <c r="K245" s="5" t="s">
        <v>1865</v>
      </c>
      <c r="L245" s="5" t="s">
        <v>2014</v>
      </c>
      <c r="M245" s="4" t="s">
        <v>2015</v>
      </c>
      <c r="N245" s="4" t="s">
        <v>2016</v>
      </c>
      <c r="O245" s="4" t="s">
        <v>2017</v>
      </c>
      <c r="P245" s="4" t="s">
        <v>36</v>
      </c>
      <c r="Q245" s="4" t="s">
        <v>1466</v>
      </c>
      <c r="R245" s="4" t="s">
        <v>1467</v>
      </c>
      <c r="S245" s="4"/>
      <c r="T245" s="6" t="s">
        <v>1468</v>
      </c>
      <c r="U245" s="3" t="str">
        <f t="shared" si="0"/>
        <v>Outstanding</v>
      </c>
      <c r="V245" s="15" t="s">
        <v>28</v>
      </c>
    </row>
    <row r="246" spans="1:22" ht="60" customHeight="1" x14ac:dyDescent="0.35">
      <c r="A246" s="13" t="s">
        <v>1860</v>
      </c>
      <c r="B246" s="2" t="s">
        <v>2018</v>
      </c>
      <c r="C246" s="1" t="s">
        <v>2019</v>
      </c>
      <c r="D246" s="3" t="s">
        <v>25</v>
      </c>
      <c r="E246" s="3" t="s">
        <v>26</v>
      </c>
      <c r="F246" s="3" t="s">
        <v>27</v>
      </c>
      <c r="G246" s="3" t="s">
        <v>28</v>
      </c>
      <c r="H246" s="4" t="s">
        <v>28</v>
      </c>
      <c r="I246" s="4" t="s">
        <v>2020</v>
      </c>
      <c r="J246" s="4"/>
      <c r="K246" s="5" t="s">
        <v>1865</v>
      </c>
      <c r="L246" s="4" t="s">
        <v>2021</v>
      </c>
      <c r="M246" s="4"/>
      <c r="N246" s="4"/>
      <c r="O246" s="4"/>
      <c r="P246" s="4"/>
      <c r="Q246" s="4"/>
      <c r="R246" s="4"/>
      <c r="S246" s="4"/>
      <c r="T246" s="6"/>
      <c r="U246" s="3" t="str">
        <f t="shared" si="0"/>
        <v>Outstanding</v>
      </c>
      <c r="V246" s="15" t="s">
        <v>28</v>
      </c>
    </row>
    <row r="247" spans="1:22" ht="60" customHeight="1" x14ac:dyDescent="0.35">
      <c r="A247" s="13" t="s">
        <v>1860</v>
      </c>
      <c r="B247" s="2" t="s">
        <v>2022</v>
      </c>
      <c r="C247" s="1" t="s">
        <v>2023</v>
      </c>
      <c r="D247" s="3" t="s">
        <v>25</v>
      </c>
      <c r="E247" s="3" t="s">
        <v>26</v>
      </c>
      <c r="F247" s="3" t="s">
        <v>27</v>
      </c>
      <c r="G247" s="3" t="s">
        <v>28</v>
      </c>
      <c r="H247" s="4" t="s">
        <v>28</v>
      </c>
      <c r="I247" s="4" t="s">
        <v>2024</v>
      </c>
      <c r="J247" s="4" t="s">
        <v>2025</v>
      </c>
      <c r="K247" s="5" t="s">
        <v>1865</v>
      </c>
      <c r="L247" s="5" t="s">
        <v>2026</v>
      </c>
      <c r="M247" s="4" t="s">
        <v>2027</v>
      </c>
      <c r="N247" s="4" t="s">
        <v>2028</v>
      </c>
      <c r="O247" s="4" t="s">
        <v>2029</v>
      </c>
      <c r="P247" s="4" t="s">
        <v>36</v>
      </c>
      <c r="Q247" s="4" t="s">
        <v>1479</v>
      </c>
      <c r="R247" s="4" t="s">
        <v>1480</v>
      </c>
      <c r="S247" s="4"/>
      <c r="T247" s="6" t="s">
        <v>1468</v>
      </c>
      <c r="U247" s="3" t="str">
        <f t="shared" si="0"/>
        <v>Outstanding</v>
      </c>
      <c r="V247" s="15" t="s">
        <v>28</v>
      </c>
    </row>
    <row r="248" spans="1:22" ht="60" customHeight="1" x14ac:dyDescent="0.35">
      <c r="A248" s="13" t="s">
        <v>1860</v>
      </c>
      <c r="B248" s="2" t="s">
        <v>2030</v>
      </c>
      <c r="C248" s="1" t="s">
        <v>2031</v>
      </c>
      <c r="D248" s="3" t="s">
        <v>25</v>
      </c>
      <c r="E248" s="3" t="s">
        <v>26</v>
      </c>
      <c r="F248" s="3" t="s">
        <v>27</v>
      </c>
      <c r="G248" s="3" t="s">
        <v>28</v>
      </c>
      <c r="H248" s="4" t="s">
        <v>28</v>
      </c>
      <c r="I248" s="4" t="s">
        <v>2032</v>
      </c>
      <c r="J248" s="4" t="s">
        <v>2033</v>
      </c>
      <c r="K248" s="5" t="s">
        <v>1865</v>
      </c>
      <c r="L248" s="5" t="s">
        <v>2034</v>
      </c>
      <c r="M248" s="4" t="s">
        <v>2035</v>
      </c>
      <c r="N248" s="4"/>
      <c r="O248" s="4"/>
      <c r="P248" s="4"/>
      <c r="Q248" s="4"/>
      <c r="R248" s="4"/>
      <c r="S248" s="4"/>
      <c r="T248" s="6"/>
      <c r="U248" s="3" t="str">
        <f t="shared" si="0"/>
        <v>Outstanding</v>
      </c>
      <c r="V248" s="15" t="s">
        <v>28</v>
      </c>
    </row>
    <row r="249" spans="1:22" ht="60" customHeight="1" x14ac:dyDescent="0.35">
      <c r="A249" s="13" t="s">
        <v>1860</v>
      </c>
      <c r="B249" s="2" t="s">
        <v>2036</v>
      </c>
      <c r="C249" s="1" t="s">
        <v>2037</v>
      </c>
      <c r="D249" s="3" t="s">
        <v>25</v>
      </c>
      <c r="E249" s="3" t="s">
        <v>26</v>
      </c>
      <c r="F249" s="3" t="s">
        <v>27</v>
      </c>
      <c r="G249" s="3" t="s">
        <v>28</v>
      </c>
      <c r="H249" s="4" t="s">
        <v>28</v>
      </c>
      <c r="I249" s="4" t="s">
        <v>2038</v>
      </c>
      <c r="J249" s="4" t="s">
        <v>2039</v>
      </c>
      <c r="K249" s="5" t="s">
        <v>1865</v>
      </c>
      <c r="L249" s="5" t="s">
        <v>2040</v>
      </c>
      <c r="M249" s="4" t="s">
        <v>2041</v>
      </c>
      <c r="N249" s="4"/>
      <c r="O249" s="4"/>
      <c r="P249" s="4"/>
      <c r="Q249" s="4"/>
      <c r="R249" s="4"/>
      <c r="S249" s="4"/>
      <c r="T249" s="6"/>
      <c r="U249" s="3" t="str">
        <f t="shared" si="0"/>
        <v>Outstanding</v>
      </c>
      <c r="V249" s="15" t="s">
        <v>28</v>
      </c>
    </row>
    <row r="250" spans="1:22" ht="60" customHeight="1" x14ac:dyDescent="0.35">
      <c r="A250" s="13" t="s">
        <v>1860</v>
      </c>
      <c r="B250" s="2" t="s">
        <v>2042</v>
      </c>
      <c r="C250" s="1" t="s">
        <v>2043</v>
      </c>
      <c r="D250" s="3" t="s">
        <v>25</v>
      </c>
      <c r="E250" s="3" t="s">
        <v>26</v>
      </c>
      <c r="F250" s="3" t="s">
        <v>27</v>
      </c>
      <c r="G250" s="3" t="s">
        <v>28</v>
      </c>
      <c r="H250" s="4" t="s">
        <v>28</v>
      </c>
      <c r="I250" s="4" t="s">
        <v>2044</v>
      </c>
      <c r="J250" s="4" t="s">
        <v>2045</v>
      </c>
      <c r="K250" s="5" t="s">
        <v>1865</v>
      </c>
      <c r="L250" s="5" t="s">
        <v>2046</v>
      </c>
      <c r="M250" s="4" t="s">
        <v>2047</v>
      </c>
      <c r="N250" s="4"/>
      <c r="O250" s="4"/>
      <c r="P250" s="4"/>
      <c r="Q250" s="4"/>
      <c r="R250" s="4"/>
      <c r="S250" s="4"/>
      <c r="T250" s="6"/>
      <c r="U250" s="3" t="str">
        <f t="shared" si="0"/>
        <v>Outstanding</v>
      </c>
      <c r="V250" s="15" t="s">
        <v>28</v>
      </c>
    </row>
    <row r="251" spans="1:22" ht="60" customHeight="1" x14ac:dyDescent="0.35">
      <c r="A251" s="13" t="s">
        <v>1860</v>
      </c>
      <c r="B251" s="2" t="s">
        <v>2048</v>
      </c>
      <c r="C251" s="1" t="s">
        <v>2049</v>
      </c>
      <c r="D251" s="3" t="s">
        <v>25</v>
      </c>
      <c r="E251" s="3" t="s">
        <v>26</v>
      </c>
      <c r="F251" s="3" t="s">
        <v>27</v>
      </c>
      <c r="G251" s="3" t="s">
        <v>28</v>
      </c>
      <c r="H251" s="4" t="s">
        <v>28</v>
      </c>
      <c r="I251" s="4" t="s">
        <v>2050</v>
      </c>
      <c r="J251" s="4" t="s">
        <v>2051</v>
      </c>
      <c r="K251" s="5" t="s">
        <v>1865</v>
      </c>
      <c r="L251" s="5" t="s">
        <v>2052</v>
      </c>
      <c r="M251" s="4" t="s">
        <v>2053</v>
      </c>
      <c r="N251" s="4"/>
      <c r="O251" s="4"/>
      <c r="P251" s="4"/>
      <c r="Q251" s="4"/>
      <c r="R251" s="4"/>
      <c r="S251" s="4"/>
      <c r="T251" s="6"/>
      <c r="U251" s="3" t="str">
        <f t="shared" si="0"/>
        <v>Outstanding</v>
      </c>
      <c r="V251" s="15" t="s">
        <v>28</v>
      </c>
    </row>
    <row r="252" spans="1:22" ht="60" customHeight="1" x14ac:dyDescent="0.35">
      <c r="A252" s="13" t="s">
        <v>2054</v>
      </c>
      <c r="B252" s="2" t="s">
        <v>2055</v>
      </c>
      <c r="C252" s="1" t="s">
        <v>2056</v>
      </c>
      <c r="D252" s="3" t="s">
        <v>25</v>
      </c>
      <c r="E252" s="3" t="s">
        <v>26</v>
      </c>
      <c r="F252" s="3" t="s">
        <v>27</v>
      </c>
      <c r="G252" s="3" t="s">
        <v>28</v>
      </c>
      <c r="H252" s="4" t="s">
        <v>28</v>
      </c>
      <c r="I252" s="4" t="s">
        <v>2057</v>
      </c>
      <c r="J252" s="4" t="s">
        <v>2058</v>
      </c>
      <c r="K252" s="5" t="s">
        <v>2059</v>
      </c>
      <c r="L252" s="5" t="s">
        <v>2060</v>
      </c>
      <c r="M252" s="4" t="s">
        <v>2061</v>
      </c>
      <c r="N252" s="4" t="s">
        <v>2062</v>
      </c>
      <c r="O252" s="4" t="s">
        <v>2063</v>
      </c>
      <c r="P252" s="4" t="s">
        <v>36</v>
      </c>
      <c r="Q252" s="4" t="s">
        <v>2064</v>
      </c>
      <c r="R252" s="4" t="s">
        <v>2065</v>
      </c>
      <c r="S252" s="4"/>
      <c r="T252" s="6" t="s">
        <v>2066</v>
      </c>
      <c r="U252" s="3" t="str">
        <f t="shared" si="0"/>
        <v>Outstanding</v>
      </c>
      <c r="V252" s="15" t="s">
        <v>28</v>
      </c>
    </row>
    <row r="253" spans="1:22" ht="60" customHeight="1" x14ac:dyDescent="0.35">
      <c r="A253" s="13" t="s">
        <v>2054</v>
      </c>
      <c r="B253" s="2" t="s">
        <v>2067</v>
      </c>
      <c r="C253" s="1" t="s">
        <v>2068</v>
      </c>
      <c r="D253" s="3" t="s">
        <v>25</v>
      </c>
      <c r="E253" s="3" t="s">
        <v>26</v>
      </c>
      <c r="F253" s="3" t="s">
        <v>27</v>
      </c>
      <c r="G253" s="3" t="s">
        <v>28</v>
      </c>
      <c r="H253" s="4" t="s">
        <v>28</v>
      </c>
      <c r="I253" s="4" t="s">
        <v>2069</v>
      </c>
      <c r="J253" s="4" t="s">
        <v>2070</v>
      </c>
      <c r="K253" s="5" t="s">
        <v>2059</v>
      </c>
      <c r="L253" s="5" t="s">
        <v>2071</v>
      </c>
      <c r="M253" s="4" t="s">
        <v>2072</v>
      </c>
      <c r="N253" s="4" t="s">
        <v>2062</v>
      </c>
      <c r="O253" s="4" t="s">
        <v>2063</v>
      </c>
      <c r="P253" s="4" t="s">
        <v>36</v>
      </c>
      <c r="Q253" s="4" t="s">
        <v>2064</v>
      </c>
      <c r="R253" s="4" t="s">
        <v>2065</v>
      </c>
      <c r="S253" s="4"/>
      <c r="T253" s="6" t="s">
        <v>2066</v>
      </c>
      <c r="U253" s="3" t="str">
        <f t="shared" si="0"/>
        <v>Outstanding</v>
      </c>
      <c r="V253" s="15" t="s">
        <v>28</v>
      </c>
    </row>
    <row r="254" spans="1:22" ht="60" customHeight="1" x14ac:dyDescent="0.35">
      <c r="A254" s="13" t="s">
        <v>2054</v>
      </c>
      <c r="B254" s="2" t="s">
        <v>2073</v>
      </c>
      <c r="C254" s="1" t="s">
        <v>2074</v>
      </c>
      <c r="D254" s="3" t="s">
        <v>25</v>
      </c>
      <c r="E254" s="3" t="s">
        <v>26</v>
      </c>
      <c r="F254" s="3" t="s">
        <v>27</v>
      </c>
      <c r="G254" s="3" t="s">
        <v>28</v>
      </c>
      <c r="H254" s="4" t="s">
        <v>28</v>
      </c>
      <c r="I254" s="4" t="s">
        <v>2075</v>
      </c>
      <c r="J254" s="4" t="s">
        <v>2076</v>
      </c>
      <c r="K254" s="5" t="s">
        <v>2059</v>
      </c>
      <c r="L254" s="5" t="s">
        <v>2077</v>
      </c>
      <c r="M254" s="4" t="s">
        <v>2078</v>
      </c>
      <c r="N254" s="4" t="s">
        <v>2062</v>
      </c>
      <c r="O254" s="4" t="s">
        <v>2063</v>
      </c>
      <c r="P254" s="4" t="s">
        <v>36</v>
      </c>
      <c r="Q254" s="4" t="s">
        <v>2064</v>
      </c>
      <c r="R254" s="4" t="s">
        <v>2065</v>
      </c>
      <c r="S254" s="4" t="s">
        <v>2079</v>
      </c>
      <c r="T254" s="6" t="s">
        <v>2066</v>
      </c>
      <c r="U254" s="3" t="str">
        <f t="shared" si="0"/>
        <v>Outstanding</v>
      </c>
      <c r="V254" s="15" t="s">
        <v>28</v>
      </c>
    </row>
    <row r="255" spans="1:22" ht="60" customHeight="1" x14ac:dyDescent="0.35">
      <c r="A255" s="13" t="s">
        <v>2054</v>
      </c>
      <c r="B255" s="2" t="s">
        <v>2080</v>
      </c>
      <c r="C255" s="1" t="s">
        <v>2081</v>
      </c>
      <c r="D255" s="3" t="s">
        <v>25</v>
      </c>
      <c r="E255" s="3" t="s">
        <v>26</v>
      </c>
      <c r="F255" s="3" t="s">
        <v>27</v>
      </c>
      <c r="G255" s="3" t="s">
        <v>28</v>
      </c>
      <c r="H255" s="4" t="s">
        <v>28</v>
      </c>
      <c r="I255" s="4" t="s">
        <v>2082</v>
      </c>
      <c r="J255" s="4" t="s">
        <v>2083</v>
      </c>
      <c r="K255" s="5" t="s">
        <v>2059</v>
      </c>
      <c r="L255" s="5" t="s">
        <v>2084</v>
      </c>
      <c r="M255" s="4" t="s">
        <v>2085</v>
      </c>
      <c r="N255" s="4" t="s">
        <v>2062</v>
      </c>
      <c r="O255" s="4" t="s">
        <v>2063</v>
      </c>
      <c r="P255" s="4" t="s">
        <v>36</v>
      </c>
      <c r="Q255" s="4" t="s">
        <v>2064</v>
      </c>
      <c r="R255" s="4" t="s">
        <v>2065</v>
      </c>
      <c r="S255" s="4"/>
      <c r="T255" s="6" t="s">
        <v>2066</v>
      </c>
      <c r="U255" s="3" t="str">
        <f t="shared" si="0"/>
        <v>Outstanding</v>
      </c>
      <c r="V255" s="15" t="s">
        <v>28</v>
      </c>
    </row>
    <row r="256" spans="1:22" ht="60" customHeight="1" x14ac:dyDescent="0.35">
      <c r="A256" s="13" t="s">
        <v>2054</v>
      </c>
      <c r="B256" s="2" t="s">
        <v>2086</v>
      </c>
      <c r="C256" s="1" t="s">
        <v>2087</v>
      </c>
      <c r="D256" s="3" t="s">
        <v>25</v>
      </c>
      <c r="E256" s="3" t="s">
        <v>26</v>
      </c>
      <c r="F256" s="3" t="s">
        <v>27</v>
      </c>
      <c r="G256" s="3" t="s">
        <v>28</v>
      </c>
      <c r="H256" s="4" t="s">
        <v>28</v>
      </c>
      <c r="I256" s="4" t="s">
        <v>2088</v>
      </c>
      <c r="J256" s="4" t="s">
        <v>2089</v>
      </c>
      <c r="K256" s="5" t="s">
        <v>2059</v>
      </c>
      <c r="L256" s="5" t="s">
        <v>2090</v>
      </c>
      <c r="M256" s="4" t="s">
        <v>2091</v>
      </c>
      <c r="N256" s="4" t="s">
        <v>2062</v>
      </c>
      <c r="O256" s="4" t="s">
        <v>2063</v>
      </c>
      <c r="P256" s="4" t="s">
        <v>36</v>
      </c>
      <c r="Q256" s="4" t="s">
        <v>2064</v>
      </c>
      <c r="R256" s="4" t="s">
        <v>2065</v>
      </c>
      <c r="S256" s="4"/>
      <c r="T256" s="6" t="s">
        <v>2066</v>
      </c>
      <c r="U256" s="3" t="str">
        <f t="shared" si="0"/>
        <v>Outstanding</v>
      </c>
      <c r="V256" s="15" t="s">
        <v>28</v>
      </c>
    </row>
    <row r="257" spans="1:22" ht="60" customHeight="1" x14ac:dyDescent="0.35">
      <c r="A257" s="13" t="s">
        <v>2092</v>
      </c>
      <c r="B257" s="2" t="s">
        <v>2093</v>
      </c>
      <c r="C257" s="1" t="s">
        <v>2094</v>
      </c>
      <c r="D257" s="3" t="s">
        <v>25</v>
      </c>
      <c r="E257" s="3" t="s">
        <v>26</v>
      </c>
      <c r="F257" s="3" t="s">
        <v>27</v>
      </c>
      <c r="G257" s="3" t="s">
        <v>28</v>
      </c>
      <c r="H257" s="4" t="s">
        <v>28</v>
      </c>
      <c r="I257" s="4" t="s">
        <v>2095</v>
      </c>
      <c r="J257" s="4" t="s">
        <v>2096</v>
      </c>
      <c r="K257" s="5" t="s">
        <v>2097</v>
      </c>
      <c r="L257" s="5" t="s">
        <v>2098</v>
      </c>
      <c r="M257" s="4" t="s">
        <v>2099</v>
      </c>
      <c r="N257" s="4"/>
      <c r="O257" s="4"/>
      <c r="P257" s="4"/>
      <c r="Q257" s="4"/>
      <c r="R257" s="4"/>
      <c r="S257" s="4"/>
      <c r="T257" s="6"/>
      <c r="U257" s="3" t="str">
        <f t="shared" ref="U257:U365" si="1">IF(OR(G257="Implemented",G257="Compensated"),"Resolved",IF(OR(G257="Risk Accepted",G257="N/A"),"Excluded",IF(G257="Testing","Testing","Outstanding")))</f>
        <v>Outstanding</v>
      </c>
      <c r="V257" s="15" t="s">
        <v>28</v>
      </c>
    </row>
    <row r="258" spans="1:22" ht="60" customHeight="1" x14ac:dyDescent="0.35">
      <c r="A258" s="13" t="s">
        <v>2092</v>
      </c>
      <c r="B258" s="2" t="s">
        <v>2100</v>
      </c>
      <c r="C258" s="1" t="s">
        <v>2101</v>
      </c>
      <c r="D258" s="3" t="s">
        <v>25</v>
      </c>
      <c r="E258" s="3" t="s">
        <v>26</v>
      </c>
      <c r="F258" s="3" t="s">
        <v>27</v>
      </c>
      <c r="G258" s="3" t="s">
        <v>28</v>
      </c>
      <c r="H258" s="4" t="s">
        <v>28</v>
      </c>
      <c r="I258" s="4" t="s">
        <v>2102</v>
      </c>
      <c r="J258" s="4" t="s">
        <v>2103</v>
      </c>
      <c r="K258" s="5" t="s">
        <v>2097</v>
      </c>
      <c r="L258" s="5" t="s">
        <v>2104</v>
      </c>
      <c r="M258" s="4" t="s">
        <v>2105</v>
      </c>
      <c r="N258" s="4"/>
      <c r="O258" s="4"/>
      <c r="P258" s="4"/>
      <c r="Q258" s="4"/>
      <c r="R258" s="4"/>
      <c r="S258" s="4"/>
      <c r="T258" s="6"/>
      <c r="U258" s="3" t="str">
        <f t="shared" si="1"/>
        <v>Outstanding</v>
      </c>
      <c r="V258" s="15" t="s">
        <v>28</v>
      </c>
    </row>
    <row r="259" spans="1:22" ht="60" customHeight="1" x14ac:dyDescent="0.35">
      <c r="A259" s="13" t="s">
        <v>2106</v>
      </c>
      <c r="B259" s="2" t="s">
        <v>2107</v>
      </c>
      <c r="C259" s="1" t="s">
        <v>2108</v>
      </c>
      <c r="D259" s="3" t="s">
        <v>25</v>
      </c>
      <c r="E259" s="3" t="s">
        <v>26</v>
      </c>
      <c r="F259" s="3" t="s">
        <v>27</v>
      </c>
      <c r="G259" s="3" t="s">
        <v>28</v>
      </c>
      <c r="H259" s="4" t="s">
        <v>28</v>
      </c>
      <c r="I259" s="4" t="s">
        <v>2109</v>
      </c>
      <c r="J259" s="4" t="s">
        <v>2110</v>
      </c>
      <c r="K259" s="5" t="s">
        <v>2111</v>
      </c>
      <c r="L259" s="5" t="s">
        <v>2112</v>
      </c>
      <c r="M259" s="4" t="s">
        <v>2113</v>
      </c>
      <c r="N259" s="4" t="s">
        <v>2114</v>
      </c>
      <c r="O259" s="4" t="s">
        <v>2115</v>
      </c>
      <c r="P259" s="4" t="s">
        <v>36</v>
      </c>
      <c r="Q259" s="4" t="s">
        <v>2116</v>
      </c>
      <c r="R259" s="4" t="s">
        <v>2117</v>
      </c>
      <c r="S259" s="4"/>
      <c r="T259" s="6" t="s">
        <v>2118</v>
      </c>
      <c r="U259" s="3" t="str">
        <f t="shared" si="1"/>
        <v>Outstanding</v>
      </c>
      <c r="V259" s="15" t="s">
        <v>28</v>
      </c>
    </row>
    <row r="260" spans="1:22" ht="60" customHeight="1" x14ac:dyDescent="0.35">
      <c r="A260" s="13" t="s">
        <v>2119</v>
      </c>
      <c r="B260" s="2" t="s">
        <v>2120</v>
      </c>
      <c r="C260" s="1" t="s">
        <v>2121</v>
      </c>
      <c r="D260" s="3" t="s">
        <v>25</v>
      </c>
      <c r="E260" s="3" t="s">
        <v>26</v>
      </c>
      <c r="F260" s="3" t="s">
        <v>27</v>
      </c>
      <c r="G260" s="3" t="s">
        <v>28</v>
      </c>
      <c r="H260" s="4" t="s">
        <v>28</v>
      </c>
      <c r="I260" s="4" t="s">
        <v>2122</v>
      </c>
      <c r="J260" s="4" t="s">
        <v>2123</v>
      </c>
      <c r="K260" s="5" t="s">
        <v>2124</v>
      </c>
      <c r="L260" s="5" t="s">
        <v>2125</v>
      </c>
      <c r="M260" s="4" t="s">
        <v>2126</v>
      </c>
      <c r="N260" s="4" t="s">
        <v>2127</v>
      </c>
      <c r="O260" s="4" t="s">
        <v>2128</v>
      </c>
      <c r="P260" s="4" t="s">
        <v>36</v>
      </c>
      <c r="Q260" s="4" t="s">
        <v>2129</v>
      </c>
      <c r="R260" s="4" t="s">
        <v>2130</v>
      </c>
      <c r="S260" s="4" t="s">
        <v>2127</v>
      </c>
      <c r="T260" s="6" t="s">
        <v>2131</v>
      </c>
      <c r="U260" s="3" t="str">
        <f t="shared" si="1"/>
        <v>Outstanding</v>
      </c>
      <c r="V260" s="15" t="s">
        <v>28</v>
      </c>
    </row>
    <row r="261" spans="1:22" ht="60" customHeight="1" x14ac:dyDescent="0.35">
      <c r="A261" s="13" t="s">
        <v>2119</v>
      </c>
      <c r="B261" s="2" t="s">
        <v>2132</v>
      </c>
      <c r="C261" s="1" t="s">
        <v>2133</v>
      </c>
      <c r="D261" s="3" t="s">
        <v>25</v>
      </c>
      <c r="E261" s="3" t="s">
        <v>26</v>
      </c>
      <c r="F261" s="3" t="s">
        <v>27</v>
      </c>
      <c r="G261" s="3" t="s">
        <v>28</v>
      </c>
      <c r="H261" s="4" t="s">
        <v>28</v>
      </c>
      <c r="I261" s="4" t="s">
        <v>2134</v>
      </c>
      <c r="J261" s="4"/>
      <c r="K261" s="5" t="s">
        <v>2124</v>
      </c>
      <c r="L261" s="5" t="s">
        <v>2135</v>
      </c>
      <c r="M261" s="4"/>
      <c r="N261" s="4" t="s">
        <v>2136</v>
      </c>
      <c r="O261" s="4" t="s">
        <v>2137</v>
      </c>
      <c r="P261" s="4" t="s">
        <v>229</v>
      </c>
      <c r="Q261" s="4" t="s">
        <v>2129</v>
      </c>
      <c r="R261" s="4" t="s">
        <v>2130</v>
      </c>
      <c r="S261" s="4" t="s">
        <v>2136</v>
      </c>
      <c r="T261" s="6" t="s">
        <v>2131</v>
      </c>
      <c r="U261" s="3" t="str">
        <f t="shared" si="1"/>
        <v>Outstanding</v>
      </c>
      <c r="V261" s="15" t="s">
        <v>28</v>
      </c>
    </row>
    <row r="262" spans="1:22" ht="60" customHeight="1" x14ac:dyDescent="0.35">
      <c r="A262" s="13" t="s">
        <v>2138</v>
      </c>
      <c r="B262" s="2" t="s">
        <v>2139</v>
      </c>
      <c r="C262" s="1" t="s">
        <v>2140</v>
      </c>
      <c r="D262" s="3" t="s">
        <v>25</v>
      </c>
      <c r="E262" s="3" t="s">
        <v>26</v>
      </c>
      <c r="F262" s="3" t="s">
        <v>27</v>
      </c>
      <c r="G262" s="3" t="s">
        <v>28</v>
      </c>
      <c r="H262" s="4" t="s">
        <v>28</v>
      </c>
      <c r="I262" s="4" t="s">
        <v>2141</v>
      </c>
      <c r="J262" s="4"/>
      <c r="K262" s="5" t="s">
        <v>2142</v>
      </c>
      <c r="L262" s="5" t="s">
        <v>2143</v>
      </c>
      <c r="M262" s="4"/>
      <c r="N262" s="4"/>
      <c r="O262" s="4"/>
      <c r="P262" s="4"/>
      <c r="Q262" s="4"/>
      <c r="R262" s="4"/>
      <c r="S262" s="4"/>
      <c r="T262" s="6"/>
      <c r="U262" s="3" t="str">
        <f t="shared" si="1"/>
        <v>Outstanding</v>
      </c>
      <c r="V262" s="15" t="s">
        <v>28</v>
      </c>
    </row>
    <row r="263" spans="1:22" ht="60" customHeight="1" x14ac:dyDescent="0.35">
      <c r="A263" s="13" t="s">
        <v>2138</v>
      </c>
      <c r="B263" s="2" t="s">
        <v>2144</v>
      </c>
      <c r="C263" s="1" t="s">
        <v>2145</v>
      </c>
      <c r="D263" s="3" t="s">
        <v>25</v>
      </c>
      <c r="E263" s="3" t="s">
        <v>26</v>
      </c>
      <c r="F263" s="3" t="s">
        <v>27</v>
      </c>
      <c r="G263" s="3" t="s">
        <v>28</v>
      </c>
      <c r="H263" s="4" t="s">
        <v>28</v>
      </c>
      <c r="I263" s="4" t="s">
        <v>2146</v>
      </c>
      <c r="J263" s="4"/>
      <c r="K263" s="5" t="s">
        <v>2142</v>
      </c>
      <c r="L263" s="5" t="s">
        <v>2147</v>
      </c>
      <c r="M263" s="4"/>
      <c r="N263" s="4"/>
      <c r="O263" s="4"/>
      <c r="P263" s="4"/>
      <c r="Q263" s="4"/>
      <c r="R263" s="4"/>
      <c r="S263" s="4"/>
      <c r="T263" s="6"/>
      <c r="U263" s="3" t="str">
        <f t="shared" si="1"/>
        <v>Outstanding</v>
      </c>
      <c r="V263" s="15" t="s">
        <v>28</v>
      </c>
    </row>
    <row r="264" spans="1:22" ht="60" customHeight="1" x14ac:dyDescent="0.35">
      <c r="A264" s="13" t="s">
        <v>2138</v>
      </c>
      <c r="B264" s="2" t="s">
        <v>2148</v>
      </c>
      <c r="C264" s="1" t="s">
        <v>2149</v>
      </c>
      <c r="D264" s="3" t="s">
        <v>25</v>
      </c>
      <c r="E264" s="3" t="s">
        <v>26</v>
      </c>
      <c r="F264" s="3" t="s">
        <v>27</v>
      </c>
      <c r="G264" s="3" t="s">
        <v>28</v>
      </c>
      <c r="H264" s="4" t="s">
        <v>28</v>
      </c>
      <c r="I264" s="4" t="s">
        <v>2150</v>
      </c>
      <c r="J264" s="4"/>
      <c r="K264" s="5" t="s">
        <v>2142</v>
      </c>
      <c r="L264" s="5" t="s">
        <v>2151</v>
      </c>
      <c r="M264" s="4"/>
      <c r="N264" s="4"/>
      <c r="O264" s="4"/>
      <c r="P264" s="4"/>
      <c r="Q264" s="4"/>
      <c r="R264" s="4"/>
      <c r="S264" s="4"/>
      <c r="T264" s="6"/>
      <c r="U264" s="3" t="str">
        <f t="shared" si="1"/>
        <v>Outstanding</v>
      </c>
      <c r="V264" s="15" t="s">
        <v>28</v>
      </c>
    </row>
    <row r="265" spans="1:22" ht="60" customHeight="1" x14ac:dyDescent="0.35">
      <c r="A265" s="13" t="s">
        <v>2138</v>
      </c>
      <c r="B265" s="2" t="s">
        <v>2152</v>
      </c>
      <c r="C265" s="1" t="s">
        <v>2153</v>
      </c>
      <c r="D265" s="3" t="s">
        <v>25</v>
      </c>
      <c r="E265" s="3" t="s">
        <v>26</v>
      </c>
      <c r="F265" s="3" t="s">
        <v>27</v>
      </c>
      <c r="G265" s="3" t="s">
        <v>28</v>
      </c>
      <c r="H265" s="4" t="s">
        <v>28</v>
      </c>
      <c r="I265" s="4" t="s">
        <v>2154</v>
      </c>
      <c r="J265" s="4"/>
      <c r="K265" s="5" t="s">
        <v>2142</v>
      </c>
      <c r="L265" s="5" t="s">
        <v>2155</v>
      </c>
      <c r="M265" s="4"/>
      <c r="N265" s="4"/>
      <c r="O265" s="4"/>
      <c r="P265" s="4"/>
      <c r="Q265" s="4"/>
      <c r="R265" s="4"/>
      <c r="S265" s="4"/>
      <c r="T265" s="6"/>
      <c r="U265" s="3" t="str">
        <f t="shared" si="1"/>
        <v>Outstanding</v>
      </c>
      <c r="V265" s="15" t="s">
        <v>28</v>
      </c>
    </row>
    <row r="266" spans="1:22" ht="60" customHeight="1" x14ac:dyDescent="0.35">
      <c r="A266" s="13" t="s">
        <v>2138</v>
      </c>
      <c r="B266" s="2" t="s">
        <v>2156</v>
      </c>
      <c r="C266" s="1" t="s">
        <v>2157</v>
      </c>
      <c r="D266" s="3" t="s">
        <v>25</v>
      </c>
      <c r="E266" s="3" t="s">
        <v>26</v>
      </c>
      <c r="F266" s="3" t="s">
        <v>27</v>
      </c>
      <c r="G266" s="3" t="s">
        <v>28</v>
      </c>
      <c r="H266" s="4" t="s">
        <v>28</v>
      </c>
      <c r="I266" s="4" t="s">
        <v>2158</v>
      </c>
      <c r="J266" s="4"/>
      <c r="K266" s="5" t="s">
        <v>2142</v>
      </c>
      <c r="L266" s="5" t="s">
        <v>2159</v>
      </c>
      <c r="M266" s="4"/>
      <c r="N266" s="4"/>
      <c r="O266" s="4"/>
      <c r="P266" s="4"/>
      <c r="Q266" s="4"/>
      <c r="R266" s="4"/>
      <c r="S266" s="4"/>
      <c r="T266" s="6"/>
      <c r="U266" s="3" t="str">
        <f t="shared" si="1"/>
        <v>Outstanding</v>
      </c>
      <c r="V266" s="15" t="s">
        <v>28</v>
      </c>
    </row>
    <row r="267" spans="1:22" ht="60" customHeight="1" x14ac:dyDescent="0.35">
      <c r="A267" s="13" t="s">
        <v>2138</v>
      </c>
      <c r="B267" s="2" t="s">
        <v>2160</v>
      </c>
      <c r="C267" s="1" t="s">
        <v>2161</v>
      </c>
      <c r="D267" s="3" t="s">
        <v>25</v>
      </c>
      <c r="E267" s="3" t="s">
        <v>26</v>
      </c>
      <c r="F267" s="3" t="s">
        <v>27</v>
      </c>
      <c r="G267" s="3" t="s">
        <v>28</v>
      </c>
      <c r="H267" s="4" t="s">
        <v>28</v>
      </c>
      <c r="I267" s="4" t="s">
        <v>2162</v>
      </c>
      <c r="J267" s="4"/>
      <c r="K267" s="5" t="s">
        <v>2142</v>
      </c>
      <c r="L267" s="5" t="s">
        <v>2163</v>
      </c>
      <c r="M267" s="4"/>
      <c r="N267" s="4"/>
      <c r="O267" s="4"/>
      <c r="P267" s="4"/>
      <c r="Q267" s="4"/>
      <c r="R267" s="4"/>
      <c r="S267" s="4"/>
      <c r="T267" s="6"/>
      <c r="U267" s="3" t="str">
        <f t="shared" si="1"/>
        <v>Outstanding</v>
      </c>
      <c r="V267" s="15" t="s">
        <v>28</v>
      </c>
    </row>
    <row r="268" spans="1:22" ht="60" customHeight="1" x14ac:dyDescent="0.35">
      <c r="A268" s="13" t="s">
        <v>2138</v>
      </c>
      <c r="B268" s="2" t="s">
        <v>2164</v>
      </c>
      <c r="C268" s="1" t="s">
        <v>2165</v>
      </c>
      <c r="D268" s="3" t="s">
        <v>25</v>
      </c>
      <c r="E268" s="3" t="s">
        <v>26</v>
      </c>
      <c r="F268" s="3" t="s">
        <v>27</v>
      </c>
      <c r="G268" s="3" t="s">
        <v>28</v>
      </c>
      <c r="H268" s="4" t="s">
        <v>28</v>
      </c>
      <c r="I268" s="4" t="s">
        <v>2166</v>
      </c>
      <c r="J268" s="4"/>
      <c r="K268" s="5" t="s">
        <v>2142</v>
      </c>
      <c r="L268" s="5" t="s">
        <v>2167</v>
      </c>
      <c r="M268" s="4"/>
      <c r="N268" s="4"/>
      <c r="O268" s="4"/>
      <c r="P268" s="4"/>
      <c r="Q268" s="4"/>
      <c r="R268" s="4"/>
      <c r="S268" s="4"/>
      <c r="T268" s="6"/>
      <c r="U268" s="3" t="str">
        <f t="shared" si="1"/>
        <v>Outstanding</v>
      </c>
      <c r="V268" s="15" t="s">
        <v>28</v>
      </c>
    </row>
    <row r="269" spans="1:22" ht="60" customHeight="1" x14ac:dyDescent="0.35">
      <c r="A269" s="13" t="s">
        <v>2138</v>
      </c>
      <c r="B269" s="2" t="s">
        <v>2168</v>
      </c>
      <c r="C269" s="1" t="s">
        <v>2169</v>
      </c>
      <c r="D269" s="3" t="s">
        <v>25</v>
      </c>
      <c r="E269" s="3" t="s">
        <v>26</v>
      </c>
      <c r="F269" s="3" t="s">
        <v>27</v>
      </c>
      <c r="G269" s="3" t="s">
        <v>28</v>
      </c>
      <c r="H269" s="4" t="s">
        <v>28</v>
      </c>
      <c r="I269" s="4" t="s">
        <v>2170</v>
      </c>
      <c r="J269" s="4"/>
      <c r="K269" s="5" t="s">
        <v>2142</v>
      </c>
      <c r="L269" s="5" t="s">
        <v>2171</v>
      </c>
      <c r="M269" s="4"/>
      <c r="N269" s="4"/>
      <c r="O269" s="4"/>
      <c r="P269" s="4"/>
      <c r="Q269" s="4"/>
      <c r="R269" s="4"/>
      <c r="S269" s="4"/>
      <c r="T269" s="6"/>
      <c r="U269" s="3" t="str">
        <f t="shared" si="1"/>
        <v>Outstanding</v>
      </c>
      <c r="V269" s="15" t="s">
        <v>28</v>
      </c>
    </row>
    <row r="270" spans="1:22" ht="60" customHeight="1" x14ac:dyDescent="0.35">
      <c r="A270" s="13" t="s">
        <v>2138</v>
      </c>
      <c r="B270" s="2" t="s">
        <v>2172</v>
      </c>
      <c r="C270" s="1" t="s">
        <v>2173</v>
      </c>
      <c r="D270" s="3" t="s">
        <v>25</v>
      </c>
      <c r="E270" s="3" t="s">
        <v>26</v>
      </c>
      <c r="F270" s="3" t="s">
        <v>27</v>
      </c>
      <c r="G270" s="3" t="s">
        <v>28</v>
      </c>
      <c r="H270" s="4" t="s">
        <v>28</v>
      </c>
      <c r="I270" s="4" t="s">
        <v>2174</v>
      </c>
      <c r="J270" s="4"/>
      <c r="K270" s="5" t="s">
        <v>2142</v>
      </c>
      <c r="L270" s="5" t="s">
        <v>2175</v>
      </c>
      <c r="M270" s="4"/>
      <c r="N270" s="4"/>
      <c r="O270" s="4"/>
      <c r="P270" s="4"/>
      <c r="Q270" s="4"/>
      <c r="R270" s="4"/>
      <c r="S270" s="4"/>
      <c r="T270" s="6"/>
      <c r="U270" s="3" t="str">
        <f t="shared" si="1"/>
        <v>Outstanding</v>
      </c>
      <c r="V270" s="15" t="s">
        <v>28</v>
      </c>
    </row>
    <row r="271" spans="1:22" ht="60" customHeight="1" x14ac:dyDescent="0.35">
      <c r="A271" s="13" t="s">
        <v>2138</v>
      </c>
      <c r="B271" s="2" t="s">
        <v>2176</v>
      </c>
      <c r="C271" s="1" t="s">
        <v>2177</v>
      </c>
      <c r="D271" s="3" t="s">
        <v>25</v>
      </c>
      <c r="E271" s="3" t="s">
        <v>26</v>
      </c>
      <c r="F271" s="3" t="s">
        <v>27</v>
      </c>
      <c r="G271" s="3" t="s">
        <v>28</v>
      </c>
      <c r="H271" s="4" t="s">
        <v>28</v>
      </c>
      <c r="I271" s="4" t="s">
        <v>2178</v>
      </c>
      <c r="J271" s="4"/>
      <c r="K271" s="5" t="s">
        <v>2142</v>
      </c>
      <c r="L271" s="5" t="s">
        <v>2179</v>
      </c>
      <c r="M271" s="4"/>
      <c r="N271" s="4"/>
      <c r="O271" s="4"/>
      <c r="P271" s="4"/>
      <c r="Q271" s="4"/>
      <c r="R271" s="4"/>
      <c r="S271" s="4"/>
      <c r="T271" s="6"/>
      <c r="U271" s="3" t="str">
        <f t="shared" si="1"/>
        <v>Outstanding</v>
      </c>
      <c r="V271" s="15" t="s">
        <v>28</v>
      </c>
    </row>
    <row r="272" spans="1:22" ht="60" customHeight="1" x14ac:dyDescent="0.35">
      <c r="A272" s="13" t="s">
        <v>2138</v>
      </c>
      <c r="B272" s="2" t="s">
        <v>2180</v>
      </c>
      <c r="C272" s="1" t="s">
        <v>2181</v>
      </c>
      <c r="D272" s="3" t="s">
        <v>25</v>
      </c>
      <c r="E272" s="3" t="s">
        <v>26</v>
      </c>
      <c r="F272" s="3" t="s">
        <v>27</v>
      </c>
      <c r="G272" s="3" t="s">
        <v>28</v>
      </c>
      <c r="H272" s="4" t="s">
        <v>28</v>
      </c>
      <c r="I272" s="4" t="s">
        <v>2182</v>
      </c>
      <c r="J272" s="4"/>
      <c r="K272" s="5" t="s">
        <v>2142</v>
      </c>
      <c r="L272" s="5" t="s">
        <v>2183</v>
      </c>
      <c r="M272" s="4"/>
      <c r="N272" s="4"/>
      <c r="O272" s="4"/>
      <c r="P272" s="4"/>
      <c r="Q272" s="4"/>
      <c r="R272" s="4"/>
      <c r="S272" s="4"/>
      <c r="T272" s="6"/>
      <c r="U272" s="3" t="str">
        <f t="shared" si="1"/>
        <v>Outstanding</v>
      </c>
      <c r="V272" s="15" t="s">
        <v>28</v>
      </c>
    </row>
    <row r="273" spans="1:22" ht="60" customHeight="1" x14ac:dyDescent="0.35">
      <c r="A273" s="13" t="s">
        <v>2138</v>
      </c>
      <c r="B273" s="2" t="s">
        <v>2184</v>
      </c>
      <c r="C273" s="1" t="s">
        <v>2185</v>
      </c>
      <c r="D273" s="3" t="s">
        <v>25</v>
      </c>
      <c r="E273" s="3" t="s">
        <v>26</v>
      </c>
      <c r="F273" s="3" t="s">
        <v>27</v>
      </c>
      <c r="G273" s="3" t="s">
        <v>28</v>
      </c>
      <c r="H273" s="4" t="s">
        <v>28</v>
      </c>
      <c r="I273" s="4" t="s">
        <v>2186</v>
      </c>
      <c r="J273" s="4"/>
      <c r="K273" s="5" t="s">
        <v>2142</v>
      </c>
      <c r="L273" s="5" t="s">
        <v>2187</v>
      </c>
      <c r="M273" s="4"/>
      <c r="N273" s="4"/>
      <c r="O273" s="4"/>
      <c r="P273" s="4"/>
      <c r="Q273" s="4"/>
      <c r="R273" s="4"/>
      <c r="S273" s="4"/>
      <c r="T273" s="6"/>
      <c r="U273" s="3" t="str">
        <f t="shared" si="1"/>
        <v>Outstanding</v>
      </c>
      <c r="V273" s="15" t="s">
        <v>28</v>
      </c>
    </row>
    <row r="274" spans="1:22" ht="60" customHeight="1" x14ac:dyDescent="0.35">
      <c r="A274" s="13" t="s">
        <v>2138</v>
      </c>
      <c r="B274" s="2" t="s">
        <v>2188</v>
      </c>
      <c r="C274" s="1" t="s">
        <v>2189</v>
      </c>
      <c r="D274" s="3" t="s">
        <v>25</v>
      </c>
      <c r="E274" s="3" t="s">
        <v>26</v>
      </c>
      <c r="F274" s="3" t="s">
        <v>27</v>
      </c>
      <c r="G274" s="3" t="s">
        <v>28</v>
      </c>
      <c r="H274" s="4" t="s">
        <v>28</v>
      </c>
      <c r="I274" s="4" t="s">
        <v>2190</v>
      </c>
      <c r="J274" s="4"/>
      <c r="K274" s="5" t="s">
        <v>2142</v>
      </c>
      <c r="L274" s="5" t="s">
        <v>2191</v>
      </c>
      <c r="M274" s="4"/>
      <c r="N274" s="4"/>
      <c r="O274" s="4"/>
      <c r="P274" s="4"/>
      <c r="Q274" s="4"/>
      <c r="R274" s="4"/>
      <c r="S274" s="4"/>
      <c r="T274" s="6"/>
      <c r="U274" s="3" t="str">
        <f t="shared" si="1"/>
        <v>Outstanding</v>
      </c>
      <c r="V274" s="15" t="s">
        <v>28</v>
      </c>
    </row>
    <row r="275" spans="1:22" ht="60" customHeight="1" x14ac:dyDescent="0.35">
      <c r="A275" s="13" t="s">
        <v>2138</v>
      </c>
      <c r="B275" s="2" t="s">
        <v>2192</v>
      </c>
      <c r="C275" s="1" t="s">
        <v>2193</v>
      </c>
      <c r="D275" s="3" t="s">
        <v>25</v>
      </c>
      <c r="E275" s="3" t="s">
        <v>26</v>
      </c>
      <c r="F275" s="3" t="s">
        <v>27</v>
      </c>
      <c r="G275" s="3" t="s">
        <v>28</v>
      </c>
      <c r="H275" s="4" t="s">
        <v>28</v>
      </c>
      <c r="I275" s="4" t="s">
        <v>2194</v>
      </c>
      <c r="J275" s="4"/>
      <c r="K275" s="5" t="s">
        <v>2142</v>
      </c>
      <c r="L275" s="5" t="s">
        <v>2195</v>
      </c>
      <c r="M275" s="4"/>
      <c r="N275" s="4"/>
      <c r="O275" s="4"/>
      <c r="P275" s="4"/>
      <c r="Q275" s="4"/>
      <c r="R275" s="4"/>
      <c r="S275" s="4"/>
      <c r="T275" s="6"/>
      <c r="U275" s="3" t="str">
        <f t="shared" si="1"/>
        <v>Outstanding</v>
      </c>
      <c r="V275" s="15" t="s">
        <v>28</v>
      </c>
    </row>
    <row r="276" spans="1:22" ht="60" customHeight="1" x14ac:dyDescent="0.35">
      <c r="A276" s="13" t="s">
        <v>2138</v>
      </c>
      <c r="B276" s="2" t="s">
        <v>2196</v>
      </c>
      <c r="C276" s="1" t="s">
        <v>2197</v>
      </c>
      <c r="D276" s="3" t="s">
        <v>25</v>
      </c>
      <c r="E276" s="3" t="s">
        <v>26</v>
      </c>
      <c r="F276" s="3" t="s">
        <v>27</v>
      </c>
      <c r="G276" s="3" t="s">
        <v>28</v>
      </c>
      <c r="H276" s="4" t="s">
        <v>28</v>
      </c>
      <c r="I276" s="4" t="s">
        <v>2198</v>
      </c>
      <c r="J276" s="4"/>
      <c r="K276" s="5" t="s">
        <v>2142</v>
      </c>
      <c r="L276" s="5" t="s">
        <v>2199</v>
      </c>
      <c r="M276" s="4"/>
      <c r="N276" s="4"/>
      <c r="O276" s="4"/>
      <c r="P276" s="4"/>
      <c r="Q276" s="4"/>
      <c r="R276" s="4"/>
      <c r="S276" s="4"/>
      <c r="T276" s="6"/>
      <c r="U276" s="3" t="str">
        <f t="shared" si="1"/>
        <v>Outstanding</v>
      </c>
      <c r="V276" s="15" t="s">
        <v>28</v>
      </c>
    </row>
    <row r="277" spans="1:22" ht="60" customHeight="1" x14ac:dyDescent="0.35">
      <c r="A277" s="13" t="s">
        <v>2138</v>
      </c>
      <c r="B277" s="2" t="s">
        <v>2200</v>
      </c>
      <c r="C277" s="1" t="s">
        <v>2201</v>
      </c>
      <c r="D277" s="3" t="s">
        <v>25</v>
      </c>
      <c r="E277" s="3" t="s">
        <v>26</v>
      </c>
      <c r="F277" s="3" t="s">
        <v>27</v>
      </c>
      <c r="G277" s="3" t="s">
        <v>28</v>
      </c>
      <c r="H277" s="4" t="s">
        <v>28</v>
      </c>
      <c r="I277" s="4" t="s">
        <v>2202</v>
      </c>
      <c r="J277" s="4"/>
      <c r="K277" s="5" t="s">
        <v>2142</v>
      </c>
      <c r="L277" s="5" t="s">
        <v>2203</v>
      </c>
      <c r="M277" s="4"/>
      <c r="N277" s="4"/>
      <c r="O277" s="4"/>
      <c r="P277" s="4"/>
      <c r="Q277" s="4"/>
      <c r="R277" s="4"/>
      <c r="S277" s="4"/>
      <c r="T277" s="6"/>
      <c r="U277" s="3" t="str">
        <f t="shared" si="1"/>
        <v>Outstanding</v>
      </c>
      <c r="V277" s="15" t="s">
        <v>28</v>
      </c>
    </row>
    <row r="278" spans="1:22" ht="60" customHeight="1" x14ac:dyDescent="0.35">
      <c r="A278" s="13" t="s">
        <v>2138</v>
      </c>
      <c r="B278" s="2" t="s">
        <v>2204</v>
      </c>
      <c r="C278" s="1" t="s">
        <v>2205</v>
      </c>
      <c r="D278" s="3" t="s">
        <v>25</v>
      </c>
      <c r="E278" s="3" t="s">
        <v>26</v>
      </c>
      <c r="F278" s="3" t="s">
        <v>27</v>
      </c>
      <c r="G278" s="3" t="s">
        <v>28</v>
      </c>
      <c r="H278" s="4" t="s">
        <v>28</v>
      </c>
      <c r="I278" s="4" t="s">
        <v>2206</v>
      </c>
      <c r="J278" s="4"/>
      <c r="K278" s="5" t="s">
        <v>2142</v>
      </c>
      <c r="L278" s="5" t="s">
        <v>2207</v>
      </c>
      <c r="M278" s="4"/>
      <c r="N278" s="4"/>
      <c r="O278" s="4"/>
      <c r="P278" s="4"/>
      <c r="Q278" s="4"/>
      <c r="R278" s="4"/>
      <c r="S278" s="4"/>
      <c r="T278" s="6"/>
      <c r="U278" s="3" t="str">
        <f t="shared" si="1"/>
        <v>Outstanding</v>
      </c>
      <c r="V278" s="15" t="s">
        <v>28</v>
      </c>
    </row>
    <row r="279" spans="1:22" ht="60" customHeight="1" x14ac:dyDescent="0.35">
      <c r="A279" s="13" t="s">
        <v>2138</v>
      </c>
      <c r="B279" s="2" t="s">
        <v>2208</v>
      </c>
      <c r="C279" s="1" t="s">
        <v>2209</v>
      </c>
      <c r="D279" s="3" t="s">
        <v>25</v>
      </c>
      <c r="E279" s="3" t="s">
        <v>26</v>
      </c>
      <c r="F279" s="3" t="s">
        <v>27</v>
      </c>
      <c r="G279" s="3" t="s">
        <v>28</v>
      </c>
      <c r="H279" s="4" t="s">
        <v>28</v>
      </c>
      <c r="I279" s="4" t="s">
        <v>2210</v>
      </c>
      <c r="J279" s="4"/>
      <c r="K279" s="5" t="s">
        <v>2142</v>
      </c>
      <c r="L279" s="5" t="s">
        <v>2211</v>
      </c>
      <c r="M279" s="4"/>
      <c r="N279" s="4"/>
      <c r="O279" s="4"/>
      <c r="P279" s="4"/>
      <c r="Q279" s="4"/>
      <c r="R279" s="4"/>
      <c r="S279" s="4"/>
      <c r="T279" s="6"/>
      <c r="U279" s="3" t="str">
        <f t="shared" si="1"/>
        <v>Outstanding</v>
      </c>
      <c r="V279" s="15" t="s">
        <v>28</v>
      </c>
    </row>
    <row r="280" spans="1:22" ht="60" customHeight="1" x14ac:dyDescent="0.35">
      <c r="A280" s="13" t="s">
        <v>2138</v>
      </c>
      <c r="B280" s="2" t="s">
        <v>2212</v>
      </c>
      <c r="C280" s="1" t="s">
        <v>2213</v>
      </c>
      <c r="D280" s="3" t="s">
        <v>25</v>
      </c>
      <c r="E280" s="3" t="s">
        <v>26</v>
      </c>
      <c r="F280" s="3" t="s">
        <v>27</v>
      </c>
      <c r="G280" s="3" t="s">
        <v>28</v>
      </c>
      <c r="H280" s="4" t="s">
        <v>28</v>
      </c>
      <c r="I280" s="4" t="s">
        <v>2214</v>
      </c>
      <c r="J280" s="4"/>
      <c r="K280" s="5" t="s">
        <v>2142</v>
      </c>
      <c r="L280" s="5" t="s">
        <v>2215</v>
      </c>
      <c r="M280" s="4"/>
      <c r="N280" s="4"/>
      <c r="O280" s="4"/>
      <c r="P280" s="4"/>
      <c r="Q280" s="4"/>
      <c r="R280" s="4"/>
      <c r="S280" s="4"/>
      <c r="T280" s="6"/>
      <c r="U280" s="3" t="str">
        <f t="shared" si="1"/>
        <v>Outstanding</v>
      </c>
      <c r="V280" s="15" t="s">
        <v>28</v>
      </c>
    </row>
    <row r="281" spans="1:22" ht="60" customHeight="1" x14ac:dyDescent="0.35">
      <c r="A281" s="13" t="s">
        <v>2138</v>
      </c>
      <c r="B281" s="2" t="s">
        <v>2216</v>
      </c>
      <c r="C281" s="1" t="s">
        <v>2217</v>
      </c>
      <c r="D281" s="3" t="s">
        <v>25</v>
      </c>
      <c r="E281" s="3" t="s">
        <v>26</v>
      </c>
      <c r="F281" s="3" t="s">
        <v>27</v>
      </c>
      <c r="G281" s="3" t="s">
        <v>28</v>
      </c>
      <c r="H281" s="4" t="s">
        <v>28</v>
      </c>
      <c r="I281" s="4" t="s">
        <v>2218</v>
      </c>
      <c r="J281" s="4"/>
      <c r="K281" s="5" t="s">
        <v>2142</v>
      </c>
      <c r="L281" s="5" t="s">
        <v>2219</v>
      </c>
      <c r="M281" s="4"/>
      <c r="N281" s="4"/>
      <c r="O281" s="4"/>
      <c r="P281" s="4"/>
      <c r="Q281" s="4"/>
      <c r="R281" s="4"/>
      <c r="S281" s="4"/>
      <c r="T281" s="6"/>
      <c r="U281" s="3" t="str">
        <f t="shared" si="1"/>
        <v>Outstanding</v>
      </c>
      <c r="V281" s="15" t="s">
        <v>28</v>
      </c>
    </row>
    <row r="282" spans="1:22" ht="60" customHeight="1" x14ac:dyDescent="0.35">
      <c r="A282" s="13" t="s">
        <v>2220</v>
      </c>
      <c r="B282" s="2" t="s">
        <v>2221</v>
      </c>
      <c r="C282" s="1" t="s">
        <v>2222</v>
      </c>
      <c r="D282" s="3" t="s">
        <v>25</v>
      </c>
      <c r="E282" s="3" t="s">
        <v>26</v>
      </c>
      <c r="F282" s="3" t="s">
        <v>27</v>
      </c>
      <c r="G282" s="3" t="s">
        <v>28</v>
      </c>
      <c r="H282" s="4" t="s">
        <v>28</v>
      </c>
      <c r="I282" s="4" t="s">
        <v>2223</v>
      </c>
      <c r="J282" s="4" t="s">
        <v>2224</v>
      </c>
      <c r="K282" s="5" t="s">
        <v>2225</v>
      </c>
      <c r="L282" s="5" t="s">
        <v>2226</v>
      </c>
      <c r="M282" s="4" t="s">
        <v>2227</v>
      </c>
      <c r="N282" s="4" t="s">
        <v>2228</v>
      </c>
      <c r="O282" s="4" t="s">
        <v>2229</v>
      </c>
      <c r="P282" s="4" t="s">
        <v>36</v>
      </c>
      <c r="Q282" s="4" t="s">
        <v>2230</v>
      </c>
      <c r="R282" s="4" t="s">
        <v>2231</v>
      </c>
      <c r="S282" s="4" t="s">
        <v>2232</v>
      </c>
      <c r="T282" s="6" t="s">
        <v>2233</v>
      </c>
      <c r="U282" s="3" t="str">
        <f t="shared" si="1"/>
        <v>Outstanding</v>
      </c>
      <c r="V282" s="15" t="s">
        <v>28</v>
      </c>
    </row>
    <row r="283" spans="1:22" ht="60" customHeight="1" x14ac:dyDescent="0.35">
      <c r="A283" s="13" t="s">
        <v>2220</v>
      </c>
      <c r="B283" s="2" t="s">
        <v>2234</v>
      </c>
      <c r="C283" s="1" t="s">
        <v>2235</v>
      </c>
      <c r="D283" s="3" t="s">
        <v>25</v>
      </c>
      <c r="E283" s="3" t="s">
        <v>26</v>
      </c>
      <c r="F283" s="3" t="s">
        <v>27</v>
      </c>
      <c r="G283" s="3" t="s">
        <v>28</v>
      </c>
      <c r="H283" s="4" t="s">
        <v>28</v>
      </c>
      <c r="I283" s="4" t="s">
        <v>2236</v>
      </c>
      <c r="J283" s="4" t="s">
        <v>2237</v>
      </c>
      <c r="K283" s="5" t="s">
        <v>2225</v>
      </c>
      <c r="L283" s="5" t="s">
        <v>2238</v>
      </c>
      <c r="M283" s="4" t="s">
        <v>2239</v>
      </c>
      <c r="N283" s="4" t="s">
        <v>2240</v>
      </c>
      <c r="O283" s="4" t="s">
        <v>2241</v>
      </c>
      <c r="P283" s="4" t="s">
        <v>36</v>
      </c>
      <c r="Q283" s="4" t="s">
        <v>2230</v>
      </c>
      <c r="R283" s="4" t="s">
        <v>2231</v>
      </c>
      <c r="S283" s="4" t="s">
        <v>2242</v>
      </c>
      <c r="T283" s="6" t="s">
        <v>2233</v>
      </c>
      <c r="U283" s="3" t="str">
        <f t="shared" si="1"/>
        <v>Outstanding</v>
      </c>
      <c r="V283" s="15" t="s">
        <v>28</v>
      </c>
    </row>
    <row r="284" spans="1:22" ht="60" customHeight="1" x14ac:dyDescent="0.35">
      <c r="A284" s="13" t="s">
        <v>2220</v>
      </c>
      <c r="B284" s="2" t="s">
        <v>2243</v>
      </c>
      <c r="C284" s="1" t="s">
        <v>2244</v>
      </c>
      <c r="D284" s="3" t="s">
        <v>25</v>
      </c>
      <c r="E284" s="3" t="s">
        <v>26</v>
      </c>
      <c r="F284" s="3" t="s">
        <v>27</v>
      </c>
      <c r="G284" s="3" t="s">
        <v>28</v>
      </c>
      <c r="H284" s="4" t="s">
        <v>28</v>
      </c>
      <c r="I284" s="4" t="s">
        <v>2245</v>
      </c>
      <c r="J284" s="4" t="s">
        <v>2246</v>
      </c>
      <c r="K284" s="5" t="s">
        <v>2225</v>
      </c>
      <c r="L284" s="5" t="s">
        <v>2247</v>
      </c>
      <c r="M284" s="4" t="s">
        <v>2248</v>
      </c>
      <c r="N284" s="4" t="s">
        <v>2249</v>
      </c>
      <c r="O284" s="4" t="s">
        <v>2250</v>
      </c>
      <c r="P284" s="4" t="s">
        <v>36</v>
      </c>
      <c r="Q284" s="4" t="s">
        <v>2230</v>
      </c>
      <c r="R284" s="4" t="s">
        <v>2231</v>
      </c>
      <c r="S284" s="4" t="s">
        <v>2251</v>
      </c>
      <c r="T284" s="6" t="s">
        <v>2233</v>
      </c>
      <c r="U284" s="3" t="str">
        <f t="shared" si="1"/>
        <v>Outstanding</v>
      </c>
      <c r="V284" s="15" t="s">
        <v>28</v>
      </c>
    </row>
    <row r="285" spans="1:22" ht="60" customHeight="1" x14ac:dyDescent="0.35">
      <c r="A285" s="13" t="s">
        <v>2220</v>
      </c>
      <c r="B285" s="2" t="s">
        <v>2252</v>
      </c>
      <c r="C285" s="1" t="s">
        <v>2253</v>
      </c>
      <c r="D285" s="3" t="s">
        <v>25</v>
      </c>
      <c r="E285" s="3" t="s">
        <v>26</v>
      </c>
      <c r="F285" s="3" t="s">
        <v>27</v>
      </c>
      <c r="G285" s="3" t="s">
        <v>28</v>
      </c>
      <c r="H285" s="4" t="s">
        <v>28</v>
      </c>
      <c r="I285" s="4" t="s">
        <v>2254</v>
      </c>
      <c r="J285" s="4" t="s">
        <v>2255</v>
      </c>
      <c r="K285" s="5" t="s">
        <v>2225</v>
      </c>
      <c r="L285" s="5" t="s">
        <v>2256</v>
      </c>
      <c r="M285" s="4" t="s">
        <v>2257</v>
      </c>
      <c r="N285" s="4" t="s">
        <v>2258</v>
      </c>
      <c r="O285" s="4" t="s">
        <v>2259</v>
      </c>
      <c r="P285" s="4" t="s">
        <v>36</v>
      </c>
      <c r="Q285" s="4" t="s">
        <v>2230</v>
      </c>
      <c r="R285" s="4" t="s">
        <v>2231</v>
      </c>
      <c r="S285" s="4"/>
      <c r="T285" s="6" t="s">
        <v>2233</v>
      </c>
      <c r="U285" s="3" t="str">
        <f t="shared" si="1"/>
        <v>Outstanding</v>
      </c>
      <c r="V285" s="15" t="s">
        <v>28</v>
      </c>
    </row>
    <row r="286" spans="1:22" ht="60" customHeight="1" x14ac:dyDescent="0.35">
      <c r="A286" s="13" t="s">
        <v>2220</v>
      </c>
      <c r="B286" s="2" t="s">
        <v>2260</v>
      </c>
      <c r="C286" s="1" t="s">
        <v>2261</v>
      </c>
      <c r="D286" s="3" t="s">
        <v>25</v>
      </c>
      <c r="E286" s="3" t="s">
        <v>26</v>
      </c>
      <c r="F286" s="3" t="s">
        <v>27</v>
      </c>
      <c r="G286" s="3" t="s">
        <v>28</v>
      </c>
      <c r="H286" s="4" t="s">
        <v>28</v>
      </c>
      <c r="I286" s="4" t="s">
        <v>2262</v>
      </c>
      <c r="J286" s="4" t="s">
        <v>2263</v>
      </c>
      <c r="K286" s="5" t="s">
        <v>2225</v>
      </c>
      <c r="L286" s="5" t="s">
        <v>2264</v>
      </c>
      <c r="M286" s="4" t="s">
        <v>2265</v>
      </c>
      <c r="N286" s="4" t="s">
        <v>2266</v>
      </c>
      <c r="O286" s="4" t="s">
        <v>2267</v>
      </c>
      <c r="P286" s="4" t="s">
        <v>36</v>
      </c>
      <c r="Q286" s="4" t="s">
        <v>2230</v>
      </c>
      <c r="R286" s="4" t="s">
        <v>2231</v>
      </c>
      <c r="S286" s="4" t="s">
        <v>2268</v>
      </c>
      <c r="T286" s="6" t="s">
        <v>2233</v>
      </c>
      <c r="U286" s="3" t="str">
        <f t="shared" si="1"/>
        <v>Outstanding</v>
      </c>
      <c r="V286" s="15" t="s">
        <v>28</v>
      </c>
    </row>
    <row r="287" spans="1:22" ht="60" customHeight="1" x14ac:dyDescent="0.35">
      <c r="A287" s="13" t="s">
        <v>2220</v>
      </c>
      <c r="B287" s="2" t="s">
        <v>2269</v>
      </c>
      <c r="C287" s="1" t="s">
        <v>2270</v>
      </c>
      <c r="D287" s="3" t="s">
        <v>25</v>
      </c>
      <c r="E287" s="3" t="s">
        <v>26</v>
      </c>
      <c r="F287" s="3" t="s">
        <v>27</v>
      </c>
      <c r="G287" s="3" t="s">
        <v>28</v>
      </c>
      <c r="H287" s="4" t="s">
        <v>28</v>
      </c>
      <c r="I287" s="4" t="s">
        <v>2271</v>
      </c>
      <c r="J287" s="4" t="s">
        <v>2272</v>
      </c>
      <c r="K287" s="5" t="s">
        <v>2225</v>
      </c>
      <c r="L287" s="5" t="s">
        <v>2273</v>
      </c>
      <c r="M287" s="4" t="s">
        <v>2274</v>
      </c>
      <c r="N287" s="4" t="s">
        <v>2275</v>
      </c>
      <c r="O287" s="4" t="s">
        <v>2276</v>
      </c>
      <c r="P287" s="4" t="s">
        <v>36</v>
      </c>
      <c r="Q287" s="4" t="s">
        <v>2230</v>
      </c>
      <c r="R287" s="4" t="s">
        <v>2231</v>
      </c>
      <c r="S287" s="4"/>
      <c r="T287" s="6" t="s">
        <v>2233</v>
      </c>
      <c r="U287" s="3" t="str">
        <f t="shared" si="1"/>
        <v>Outstanding</v>
      </c>
      <c r="V287" s="15" t="s">
        <v>28</v>
      </c>
    </row>
    <row r="288" spans="1:22" ht="60" customHeight="1" x14ac:dyDescent="0.35">
      <c r="A288" s="13" t="s">
        <v>2220</v>
      </c>
      <c r="B288" s="2" t="s">
        <v>2277</v>
      </c>
      <c r="C288" s="1" t="s">
        <v>2278</v>
      </c>
      <c r="D288" s="3" t="s">
        <v>25</v>
      </c>
      <c r="E288" s="3" t="s">
        <v>26</v>
      </c>
      <c r="F288" s="3" t="s">
        <v>27</v>
      </c>
      <c r="G288" s="3" t="s">
        <v>28</v>
      </c>
      <c r="H288" s="4" t="s">
        <v>28</v>
      </c>
      <c r="I288" s="4" t="s">
        <v>2279</v>
      </c>
      <c r="J288" s="4" t="s">
        <v>2280</v>
      </c>
      <c r="K288" s="5" t="s">
        <v>2225</v>
      </c>
      <c r="L288" s="5" t="s">
        <v>2281</v>
      </c>
      <c r="M288" s="4" t="s">
        <v>2282</v>
      </c>
      <c r="N288" s="4" t="s">
        <v>2283</v>
      </c>
      <c r="O288" s="4" t="s">
        <v>2284</v>
      </c>
      <c r="P288" s="4" t="s">
        <v>36</v>
      </c>
      <c r="Q288" s="4" t="s">
        <v>2230</v>
      </c>
      <c r="R288" s="4" t="s">
        <v>2231</v>
      </c>
      <c r="S288" s="4"/>
      <c r="T288" s="6" t="s">
        <v>2233</v>
      </c>
      <c r="U288" s="3" t="str">
        <f t="shared" si="1"/>
        <v>Outstanding</v>
      </c>
      <c r="V288" s="15" t="s">
        <v>28</v>
      </c>
    </row>
    <row r="289" spans="1:22" ht="60" customHeight="1" x14ac:dyDescent="0.35">
      <c r="A289" s="13" t="s">
        <v>2220</v>
      </c>
      <c r="B289" s="2" t="s">
        <v>2285</v>
      </c>
      <c r="C289" s="1" t="s">
        <v>2286</v>
      </c>
      <c r="D289" s="3" t="s">
        <v>25</v>
      </c>
      <c r="E289" s="3" t="s">
        <v>26</v>
      </c>
      <c r="F289" s="3" t="s">
        <v>27</v>
      </c>
      <c r="G289" s="3" t="s">
        <v>28</v>
      </c>
      <c r="H289" s="4" t="s">
        <v>28</v>
      </c>
      <c r="I289" s="4" t="s">
        <v>2287</v>
      </c>
      <c r="J289" s="4" t="s">
        <v>2288</v>
      </c>
      <c r="K289" s="5" t="s">
        <v>2225</v>
      </c>
      <c r="L289" s="5" t="s">
        <v>2289</v>
      </c>
      <c r="M289" s="4" t="s">
        <v>2290</v>
      </c>
      <c r="N289" s="4" t="s">
        <v>2291</v>
      </c>
      <c r="O289" s="4" t="s">
        <v>2292</v>
      </c>
      <c r="P289" s="4" t="s">
        <v>36</v>
      </c>
      <c r="Q289" s="4" t="s">
        <v>2230</v>
      </c>
      <c r="R289" s="4" t="s">
        <v>2293</v>
      </c>
      <c r="S289" s="4" t="s">
        <v>2294</v>
      </c>
      <c r="T289" s="6" t="s">
        <v>2233</v>
      </c>
      <c r="U289" s="3" t="str">
        <f t="shared" si="1"/>
        <v>Outstanding</v>
      </c>
      <c r="V289" s="15" t="s">
        <v>28</v>
      </c>
    </row>
    <row r="290" spans="1:22" ht="60" customHeight="1" x14ac:dyDescent="0.35">
      <c r="A290" s="13" t="s">
        <v>2295</v>
      </c>
      <c r="B290" s="2" t="s">
        <v>2296</v>
      </c>
      <c r="C290" s="1" t="s">
        <v>2297</v>
      </c>
      <c r="D290" s="3" t="s">
        <v>25</v>
      </c>
      <c r="E290" s="3" t="s">
        <v>26</v>
      </c>
      <c r="F290" s="3" t="s">
        <v>27</v>
      </c>
      <c r="G290" s="3" t="s">
        <v>28</v>
      </c>
      <c r="H290" s="4" t="s">
        <v>28</v>
      </c>
      <c r="I290" s="4" t="s">
        <v>2298</v>
      </c>
      <c r="J290" s="4" t="s">
        <v>2299</v>
      </c>
      <c r="K290" s="5" t="s">
        <v>2300</v>
      </c>
      <c r="L290" s="5" t="s">
        <v>2301</v>
      </c>
      <c r="M290" s="4" t="s">
        <v>2302</v>
      </c>
      <c r="N290" s="4" t="s">
        <v>2303</v>
      </c>
      <c r="O290" s="4" t="s">
        <v>2304</v>
      </c>
      <c r="P290" s="4" t="s">
        <v>36</v>
      </c>
      <c r="Q290" s="4" t="s">
        <v>2305</v>
      </c>
      <c r="R290" s="4" t="s">
        <v>2306</v>
      </c>
      <c r="S290" s="4" t="s">
        <v>2307</v>
      </c>
      <c r="T290" s="6" t="s">
        <v>2308</v>
      </c>
      <c r="U290" s="3" t="str">
        <f t="shared" si="1"/>
        <v>Outstanding</v>
      </c>
      <c r="V290" s="15" t="s">
        <v>28</v>
      </c>
    </row>
    <row r="291" spans="1:22" ht="60" customHeight="1" x14ac:dyDescent="0.35">
      <c r="A291" s="13" t="s">
        <v>2295</v>
      </c>
      <c r="B291" s="2" t="s">
        <v>2309</v>
      </c>
      <c r="C291" s="1" t="s">
        <v>2244</v>
      </c>
      <c r="D291" s="3" t="s">
        <v>25</v>
      </c>
      <c r="E291" s="3" t="s">
        <v>26</v>
      </c>
      <c r="F291" s="3" t="s">
        <v>27</v>
      </c>
      <c r="G291" s="3" t="s">
        <v>28</v>
      </c>
      <c r="H291" s="4" t="s">
        <v>28</v>
      </c>
      <c r="I291" s="4" t="s">
        <v>2310</v>
      </c>
      <c r="J291" s="4" t="s">
        <v>2311</v>
      </c>
      <c r="K291" s="5" t="s">
        <v>2300</v>
      </c>
      <c r="L291" s="5" t="s">
        <v>2312</v>
      </c>
      <c r="M291" s="4" t="s">
        <v>2313</v>
      </c>
      <c r="N291" s="4" t="s">
        <v>2249</v>
      </c>
      <c r="O291" s="4" t="s">
        <v>2250</v>
      </c>
      <c r="P291" s="4" t="s">
        <v>36</v>
      </c>
      <c r="Q291" s="4" t="s">
        <v>2305</v>
      </c>
      <c r="R291" s="4" t="s">
        <v>2306</v>
      </c>
      <c r="S291" s="4" t="s">
        <v>2251</v>
      </c>
      <c r="T291" s="6" t="s">
        <v>2308</v>
      </c>
      <c r="U291" s="3" t="str">
        <f t="shared" si="1"/>
        <v>Outstanding</v>
      </c>
      <c r="V291" s="15" t="s">
        <v>28</v>
      </c>
    </row>
    <row r="292" spans="1:22" ht="60" customHeight="1" x14ac:dyDescent="0.35">
      <c r="A292" s="13" t="s">
        <v>2295</v>
      </c>
      <c r="B292" s="2" t="s">
        <v>2314</v>
      </c>
      <c r="C292" s="1" t="s">
        <v>2315</v>
      </c>
      <c r="D292" s="3" t="s">
        <v>25</v>
      </c>
      <c r="E292" s="3" t="s">
        <v>26</v>
      </c>
      <c r="F292" s="3" t="s">
        <v>27</v>
      </c>
      <c r="G292" s="3" t="s">
        <v>28</v>
      </c>
      <c r="H292" s="4" t="s">
        <v>28</v>
      </c>
      <c r="I292" s="4" t="s">
        <v>2316</v>
      </c>
      <c r="J292" s="4" t="s">
        <v>2317</v>
      </c>
      <c r="K292" s="5" t="s">
        <v>2300</v>
      </c>
      <c r="L292" s="5" t="s">
        <v>2318</v>
      </c>
      <c r="M292" s="4" t="s">
        <v>2319</v>
      </c>
      <c r="N292" s="4" t="s">
        <v>2320</v>
      </c>
      <c r="O292" s="4" t="s">
        <v>2321</v>
      </c>
      <c r="P292" s="4" t="s">
        <v>36</v>
      </c>
      <c r="Q292" s="4" t="s">
        <v>2305</v>
      </c>
      <c r="R292" s="4" t="s">
        <v>2306</v>
      </c>
      <c r="S292" s="4" t="s">
        <v>2322</v>
      </c>
      <c r="T292" s="6" t="s">
        <v>2308</v>
      </c>
      <c r="U292" s="3" t="str">
        <f t="shared" si="1"/>
        <v>Outstanding</v>
      </c>
      <c r="V292" s="15" t="s">
        <v>28</v>
      </c>
    </row>
    <row r="293" spans="1:22" ht="60" customHeight="1" x14ac:dyDescent="0.35">
      <c r="A293" s="13" t="s">
        <v>2295</v>
      </c>
      <c r="B293" s="2" t="s">
        <v>2323</v>
      </c>
      <c r="C293" s="1" t="s">
        <v>2324</v>
      </c>
      <c r="D293" s="3" t="s">
        <v>25</v>
      </c>
      <c r="E293" s="3" t="s">
        <v>26</v>
      </c>
      <c r="F293" s="3" t="s">
        <v>27</v>
      </c>
      <c r="G293" s="3" t="s">
        <v>28</v>
      </c>
      <c r="H293" s="4" t="s">
        <v>28</v>
      </c>
      <c r="I293" s="4" t="s">
        <v>2325</v>
      </c>
      <c r="J293" s="4" t="s">
        <v>2326</v>
      </c>
      <c r="K293" s="5" t="s">
        <v>2300</v>
      </c>
      <c r="L293" s="5" t="s">
        <v>2327</v>
      </c>
      <c r="M293" s="4" t="s">
        <v>2328</v>
      </c>
      <c r="N293" s="4" t="s">
        <v>2329</v>
      </c>
      <c r="O293" s="4" t="s">
        <v>2330</v>
      </c>
      <c r="P293" s="4" t="s">
        <v>36</v>
      </c>
      <c r="Q293" s="4" t="s">
        <v>2305</v>
      </c>
      <c r="R293" s="4" t="s">
        <v>2306</v>
      </c>
      <c r="S293" s="4" t="s">
        <v>2331</v>
      </c>
      <c r="T293" s="6" t="s">
        <v>2308</v>
      </c>
      <c r="U293" s="3" t="str">
        <f t="shared" si="1"/>
        <v>Outstanding</v>
      </c>
      <c r="V293" s="15" t="s">
        <v>28</v>
      </c>
    </row>
    <row r="294" spans="1:22" ht="60" customHeight="1" x14ac:dyDescent="0.35">
      <c r="A294" s="13" t="s">
        <v>2295</v>
      </c>
      <c r="B294" s="2" t="s">
        <v>2332</v>
      </c>
      <c r="C294" s="1" t="s">
        <v>2270</v>
      </c>
      <c r="D294" s="3" t="s">
        <v>25</v>
      </c>
      <c r="E294" s="3" t="s">
        <v>26</v>
      </c>
      <c r="F294" s="3" t="s">
        <v>27</v>
      </c>
      <c r="G294" s="3" t="s">
        <v>28</v>
      </c>
      <c r="H294" s="4" t="s">
        <v>28</v>
      </c>
      <c r="I294" s="4" t="s">
        <v>2333</v>
      </c>
      <c r="J294" s="4" t="s">
        <v>2272</v>
      </c>
      <c r="K294" s="5" t="s">
        <v>2300</v>
      </c>
      <c r="L294" s="5" t="s">
        <v>2334</v>
      </c>
      <c r="M294" s="4" t="s">
        <v>2335</v>
      </c>
      <c r="N294" s="4" t="s">
        <v>2275</v>
      </c>
      <c r="O294" s="4" t="s">
        <v>2276</v>
      </c>
      <c r="P294" s="4" t="s">
        <v>36</v>
      </c>
      <c r="Q294" s="4" t="s">
        <v>2305</v>
      </c>
      <c r="R294" s="4" t="s">
        <v>2306</v>
      </c>
      <c r="S294" s="4"/>
      <c r="T294" s="6" t="s">
        <v>2308</v>
      </c>
      <c r="U294" s="3" t="str">
        <f t="shared" si="1"/>
        <v>Outstanding</v>
      </c>
      <c r="V294" s="15" t="s">
        <v>28</v>
      </c>
    </row>
    <row r="295" spans="1:22" ht="60" customHeight="1" x14ac:dyDescent="0.35">
      <c r="A295" s="13" t="s">
        <v>2295</v>
      </c>
      <c r="B295" s="2" t="s">
        <v>2336</v>
      </c>
      <c r="C295" s="1" t="s">
        <v>2337</v>
      </c>
      <c r="D295" s="3" t="s">
        <v>25</v>
      </c>
      <c r="E295" s="3" t="s">
        <v>26</v>
      </c>
      <c r="F295" s="3" t="s">
        <v>27</v>
      </c>
      <c r="G295" s="3" t="s">
        <v>28</v>
      </c>
      <c r="H295" s="4" t="s">
        <v>28</v>
      </c>
      <c r="I295" s="4" t="s">
        <v>2338</v>
      </c>
      <c r="J295" s="4" t="s">
        <v>2280</v>
      </c>
      <c r="K295" s="5" t="s">
        <v>2300</v>
      </c>
      <c r="L295" s="5" t="s">
        <v>2339</v>
      </c>
      <c r="M295" s="4" t="s">
        <v>2340</v>
      </c>
      <c r="N295" s="4" t="s">
        <v>2283</v>
      </c>
      <c r="O295" s="4" t="s">
        <v>2284</v>
      </c>
      <c r="P295" s="4" t="s">
        <v>36</v>
      </c>
      <c r="Q295" s="4" t="s">
        <v>2305</v>
      </c>
      <c r="R295" s="4" t="s">
        <v>2306</v>
      </c>
      <c r="S295" s="4"/>
      <c r="T295" s="6" t="s">
        <v>2308</v>
      </c>
      <c r="U295" s="3" t="str">
        <f t="shared" si="1"/>
        <v>Outstanding</v>
      </c>
      <c r="V295" s="15" t="s">
        <v>28</v>
      </c>
    </row>
    <row r="296" spans="1:22" ht="60" customHeight="1" x14ac:dyDescent="0.35">
      <c r="A296" s="13" t="s">
        <v>2295</v>
      </c>
      <c r="B296" s="2" t="s">
        <v>2341</v>
      </c>
      <c r="C296" s="1" t="s">
        <v>2342</v>
      </c>
      <c r="D296" s="3" t="s">
        <v>25</v>
      </c>
      <c r="E296" s="3" t="s">
        <v>26</v>
      </c>
      <c r="F296" s="3" t="s">
        <v>27</v>
      </c>
      <c r="G296" s="3" t="s">
        <v>28</v>
      </c>
      <c r="H296" s="4" t="s">
        <v>28</v>
      </c>
      <c r="I296" s="4" t="s">
        <v>2343</v>
      </c>
      <c r="J296" s="4" t="s">
        <v>2344</v>
      </c>
      <c r="K296" s="5" t="s">
        <v>2300</v>
      </c>
      <c r="L296" s="5" t="s">
        <v>2345</v>
      </c>
      <c r="M296" s="4" t="s">
        <v>2346</v>
      </c>
      <c r="N296" s="4" t="s">
        <v>2347</v>
      </c>
      <c r="O296" s="4" t="s">
        <v>2348</v>
      </c>
      <c r="P296" s="4" t="s">
        <v>36</v>
      </c>
      <c r="Q296" s="4" t="s">
        <v>2305</v>
      </c>
      <c r="R296" s="4" t="s">
        <v>2306</v>
      </c>
      <c r="S296" s="4" t="s">
        <v>2349</v>
      </c>
      <c r="T296" s="6" t="s">
        <v>2308</v>
      </c>
      <c r="U296" s="3" t="str">
        <f t="shared" si="1"/>
        <v>Outstanding</v>
      </c>
      <c r="V296" s="15" t="s">
        <v>28</v>
      </c>
    </row>
    <row r="297" spans="1:22" ht="60" customHeight="1" x14ac:dyDescent="0.35">
      <c r="A297" s="13" t="s">
        <v>2295</v>
      </c>
      <c r="B297" s="2" t="s">
        <v>2350</v>
      </c>
      <c r="C297" s="1" t="s">
        <v>2286</v>
      </c>
      <c r="D297" s="3" t="s">
        <v>25</v>
      </c>
      <c r="E297" s="3" t="s">
        <v>26</v>
      </c>
      <c r="F297" s="3" t="s">
        <v>27</v>
      </c>
      <c r="G297" s="3" t="s">
        <v>28</v>
      </c>
      <c r="H297" s="4" t="s">
        <v>28</v>
      </c>
      <c r="I297" s="4" t="s">
        <v>2351</v>
      </c>
      <c r="J297" s="4" t="s">
        <v>2352</v>
      </c>
      <c r="K297" s="5" t="s">
        <v>2300</v>
      </c>
      <c r="L297" s="5" t="s">
        <v>2353</v>
      </c>
      <c r="M297" s="4" t="s">
        <v>2354</v>
      </c>
      <c r="N297" s="4" t="s">
        <v>2291</v>
      </c>
      <c r="O297" s="4" t="s">
        <v>2292</v>
      </c>
      <c r="P297" s="4" t="s">
        <v>36</v>
      </c>
      <c r="Q297" s="4" t="s">
        <v>2305</v>
      </c>
      <c r="R297" s="4" t="s">
        <v>2355</v>
      </c>
      <c r="S297" s="4" t="s">
        <v>2294</v>
      </c>
      <c r="T297" s="6" t="s">
        <v>2308</v>
      </c>
      <c r="U297" s="3" t="str">
        <f t="shared" si="1"/>
        <v>Outstanding</v>
      </c>
      <c r="V297" s="15" t="s">
        <v>28</v>
      </c>
    </row>
    <row r="298" spans="1:22" ht="60" customHeight="1" x14ac:dyDescent="0.35">
      <c r="A298" s="13" t="s">
        <v>2356</v>
      </c>
      <c r="B298" s="2" t="s">
        <v>2357</v>
      </c>
      <c r="C298" s="1" t="s">
        <v>2358</v>
      </c>
      <c r="D298" s="3" t="s">
        <v>25</v>
      </c>
      <c r="E298" s="3" t="s">
        <v>26</v>
      </c>
      <c r="F298" s="3" t="s">
        <v>27</v>
      </c>
      <c r="G298" s="3" t="s">
        <v>28</v>
      </c>
      <c r="H298" s="4" t="s">
        <v>28</v>
      </c>
      <c r="I298" s="4" t="s">
        <v>2359</v>
      </c>
      <c r="J298" s="4" t="s">
        <v>2360</v>
      </c>
      <c r="K298" s="5" t="s">
        <v>2361</v>
      </c>
      <c r="L298" s="5" t="s">
        <v>2362</v>
      </c>
      <c r="M298" s="4" t="s">
        <v>2363</v>
      </c>
      <c r="N298" s="4" t="s">
        <v>2364</v>
      </c>
      <c r="O298" s="4"/>
      <c r="P298" s="4"/>
      <c r="Q298" s="4" t="s">
        <v>2365</v>
      </c>
      <c r="R298" s="4"/>
      <c r="S298" s="4"/>
      <c r="T298" s="6"/>
      <c r="U298" s="3" t="str">
        <f t="shared" si="1"/>
        <v>Outstanding</v>
      </c>
      <c r="V298" s="15" t="s">
        <v>28</v>
      </c>
    </row>
    <row r="299" spans="1:22" ht="60" customHeight="1" x14ac:dyDescent="0.35">
      <c r="A299" s="13" t="s">
        <v>2356</v>
      </c>
      <c r="B299" s="2" t="s">
        <v>2366</v>
      </c>
      <c r="C299" s="1" t="s">
        <v>2367</v>
      </c>
      <c r="D299" s="3" t="s">
        <v>25</v>
      </c>
      <c r="E299" s="3" t="s">
        <v>26</v>
      </c>
      <c r="F299" s="3" t="s">
        <v>27</v>
      </c>
      <c r="G299" s="3" t="s">
        <v>28</v>
      </c>
      <c r="H299" s="4" t="s">
        <v>28</v>
      </c>
      <c r="I299" s="4" t="s">
        <v>2368</v>
      </c>
      <c r="J299" s="4" t="s">
        <v>2369</v>
      </c>
      <c r="K299" s="5" t="s">
        <v>2361</v>
      </c>
      <c r="L299" s="5" t="s">
        <v>2370</v>
      </c>
      <c r="M299" s="4" t="s">
        <v>2371</v>
      </c>
      <c r="N299" s="4" t="s">
        <v>2372</v>
      </c>
      <c r="O299" s="4"/>
      <c r="P299" s="4"/>
      <c r="Q299" s="4" t="s">
        <v>2365</v>
      </c>
      <c r="R299" s="4"/>
      <c r="S299" s="4"/>
      <c r="T299" s="6"/>
      <c r="U299" s="3" t="str">
        <f t="shared" si="1"/>
        <v>Outstanding</v>
      </c>
      <c r="V299" s="15" t="s">
        <v>28</v>
      </c>
    </row>
    <row r="300" spans="1:22" ht="60" customHeight="1" x14ac:dyDescent="0.35">
      <c r="A300" s="13" t="s">
        <v>2356</v>
      </c>
      <c r="B300" s="2" t="s">
        <v>2373</v>
      </c>
      <c r="C300" s="1" t="s">
        <v>2374</v>
      </c>
      <c r="D300" s="3" t="s">
        <v>25</v>
      </c>
      <c r="E300" s="3" t="s">
        <v>26</v>
      </c>
      <c r="F300" s="3" t="s">
        <v>27</v>
      </c>
      <c r="G300" s="3" t="s">
        <v>28</v>
      </c>
      <c r="H300" s="4" t="s">
        <v>28</v>
      </c>
      <c r="I300" s="4" t="s">
        <v>2375</v>
      </c>
      <c r="J300" s="4" t="s">
        <v>2376</v>
      </c>
      <c r="K300" s="5" t="s">
        <v>2361</v>
      </c>
      <c r="L300" s="5" t="s">
        <v>2377</v>
      </c>
      <c r="M300" s="4" t="s">
        <v>2378</v>
      </c>
      <c r="N300" s="4" t="s">
        <v>2379</v>
      </c>
      <c r="O300" s="4"/>
      <c r="P300" s="4"/>
      <c r="Q300" s="4" t="s">
        <v>2365</v>
      </c>
      <c r="R300" s="4"/>
      <c r="S300" s="4"/>
      <c r="T300" s="6"/>
      <c r="U300" s="3" t="str">
        <f t="shared" si="1"/>
        <v>Outstanding</v>
      </c>
      <c r="V300" s="15" t="s">
        <v>28</v>
      </c>
    </row>
    <row r="301" spans="1:22" ht="60" customHeight="1" x14ac:dyDescent="0.35">
      <c r="A301" s="13" t="s">
        <v>2356</v>
      </c>
      <c r="B301" s="2" t="s">
        <v>2380</v>
      </c>
      <c r="C301" s="1" t="s">
        <v>2381</v>
      </c>
      <c r="D301" s="3" t="s">
        <v>25</v>
      </c>
      <c r="E301" s="3" t="s">
        <v>26</v>
      </c>
      <c r="F301" s="3" t="s">
        <v>27</v>
      </c>
      <c r="G301" s="3" t="s">
        <v>28</v>
      </c>
      <c r="H301" s="4" t="s">
        <v>28</v>
      </c>
      <c r="I301" s="4" t="s">
        <v>2382</v>
      </c>
      <c r="J301" s="4" t="s">
        <v>2383</v>
      </c>
      <c r="K301" s="5" t="s">
        <v>2361</v>
      </c>
      <c r="L301" s="5" t="s">
        <v>2384</v>
      </c>
      <c r="M301" s="4" t="s">
        <v>2385</v>
      </c>
      <c r="N301" s="4" t="s">
        <v>2386</v>
      </c>
      <c r="O301" s="4"/>
      <c r="P301" s="4"/>
      <c r="Q301" s="4" t="s">
        <v>2365</v>
      </c>
      <c r="R301" s="4"/>
      <c r="S301" s="4"/>
      <c r="T301" s="6"/>
      <c r="U301" s="3" t="str">
        <f t="shared" si="1"/>
        <v>Outstanding</v>
      </c>
      <c r="V301" s="15" t="s">
        <v>28</v>
      </c>
    </row>
    <row r="302" spans="1:22" ht="60" customHeight="1" x14ac:dyDescent="0.35">
      <c r="A302" s="13" t="s">
        <v>2356</v>
      </c>
      <c r="B302" s="2" t="s">
        <v>2387</v>
      </c>
      <c r="C302" s="1" t="s">
        <v>2388</v>
      </c>
      <c r="D302" s="3" t="s">
        <v>25</v>
      </c>
      <c r="E302" s="3" t="s">
        <v>26</v>
      </c>
      <c r="F302" s="3" t="s">
        <v>27</v>
      </c>
      <c r="G302" s="3" t="s">
        <v>28</v>
      </c>
      <c r="H302" s="4" t="s">
        <v>28</v>
      </c>
      <c r="I302" s="4" t="s">
        <v>2389</v>
      </c>
      <c r="J302" s="4" t="s">
        <v>2390</v>
      </c>
      <c r="K302" s="5" t="s">
        <v>2361</v>
      </c>
      <c r="L302" s="5" t="s">
        <v>2391</v>
      </c>
      <c r="M302" s="4" t="s">
        <v>2392</v>
      </c>
      <c r="N302" s="4" t="s">
        <v>2393</v>
      </c>
      <c r="O302" s="4"/>
      <c r="P302" s="4"/>
      <c r="Q302" s="4" t="s">
        <v>2365</v>
      </c>
      <c r="R302" s="4"/>
      <c r="S302" s="4"/>
      <c r="T302" s="6"/>
      <c r="U302" s="3" t="str">
        <f t="shared" si="1"/>
        <v>Outstanding</v>
      </c>
      <c r="V302" s="15" t="s">
        <v>28</v>
      </c>
    </row>
    <row r="303" spans="1:22" ht="60" customHeight="1" x14ac:dyDescent="0.35">
      <c r="A303" s="13" t="s">
        <v>2356</v>
      </c>
      <c r="B303" s="2" t="s">
        <v>2394</v>
      </c>
      <c r="C303" s="1" t="s">
        <v>2395</v>
      </c>
      <c r="D303" s="3" t="s">
        <v>25</v>
      </c>
      <c r="E303" s="3" t="s">
        <v>26</v>
      </c>
      <c r="F303" s="3" t="s">
        <v>27</v>
      </c>
      <c r="G303" s="3" t="s">
        <v>28</v>
      </c>
      <c r="H303" s="4" t="s">
        <v>28</v>
      </c>
      <c r="I303" s="4" t="s">
        <v>2396</v>
      </c>
      <c r="J303" s="4" t="s">
        <v>2397</v>
      </c>
      <c r="K303" s="5" t="s">
        <v>2361</v>
      </c>
      <c r="L303" s="5" t="s">
        <v>2398</v>
      </c>
      <c r="M303" s="4" t="s">
        <v>2399</v>
      </c>
      <c r="N303" s="4" t="s">
        <v>2400</v>
      </c>
      <c r="O303" s="4"/>
      <c r="P303" s="4"/>
      <c r="Q303" s="4" t="s">
        <v>2365</v>
      </c>
      <c r="R303" s="4"/>
      <c r="S303" s="4"/>
      <c r="T303" s="6"/>
      <c r="U303" s="3" t="str">
        <f t="shared" si="1"/>
        <v>Outstanding</v>
      </c>
      <c r="V303" s="15" t="s">
        <v>28</v>
      </c>
    </row>
    <row r="304" spans="1:22" ht="60" customHeight="1" x14ac:dyDescent="0.35">
      <c r="A304" s="13" t="s">
        <v>2356</v>
      </c>
      <c r="B304" s="2" t="s">
        <v>2401</v>
      </c>
      <c r="C304" s="1" t="s">
        <v>2402</v>
      </c>
      <c r="D304" s="3" t="s">
        <v>25</v>
      </c>
      <c r="E304" s="3" t="s">
        <v>26</v>
      </c>
      <c r="F304" s="3" t="s">
        <v>27</v>
      </c>
      <c r="G304" s="3" t="s">
        <v>28</v>
      </c>
      <c r="H304" s="4" t="s">
        <v>28</v>
      </c>
      <c r="I304" s="4" t="s">
        <v>2403</v>
      </c>
      <c r="J304" s="4" t="s">
        <v>2404</v>
      </c>
      <c r="K304" s="5" t="s">
        <v>2361</v>
      </c>
      <c r="L304" s="5" t="s">
        <v>2405</v>
      </c>
      <c r="M304" s="4" t="s">
        <v>2406</v>
      </c>
      <c r="N304" s="4" t="s">
        <v>2407</v>
      </c>
      <c r="O304" s="4"/>
      <c r="P304" s="4"/>
      <c r="Q304" s="4" t="s">
        <v>2365</v>
      </c>
      <c r="R304" s="4"/>
      <c r="S304" s="4"/>
      <c r="T304" s="6"/>
      <c r="U304" s="3" t="str">
        <f t="shared" si="1"/>
        <v>Outstanding</v>
      </c>
      <c r="V304" s="15" t="s">
        <v>28</v>
      </c>
    </row>
    <row r="305" spans="1:22" ht="60" customHeight="1" x14ac:dyDescent="0.35">
      <c r="A305" s="13" t="s">
        <v>2356</v>
      </c>
      <c r="B305" s="2" t="s">
        <v>2408</v>
      </c>
      <c r="C305" s="1" t="s">
        <v>2409</v>
      </c>
      <c r="D305" s="3" t="s">
        <v>25</v>
      </c>
      <c r="E305" s="3" t="s">
        <v>26</v>
      </c>
      <c r="F305" s="3" t="s">
        <v>27</v>
      </c>
      <c r="G305" s="3" t="s">
        <v>28</v>
      </c>
      <c r="H305" s="4" t="s">
        <v>28</v>
      </c>
      <c r="I305" s="4" t="s">
        <v>2410</v>
      </c>
      <c r="J305" s="4" t="s">
        <v>2411</v>
      </c>
      <c r="K305" s="5" t="s">
        <v>2361</v>
      </c>
      <c r="L305" s="5" t="s">
        <v>2412</v>
      </c>
      <c r="M305" s="4" t="s">
        <v>2413</v>
      </c>
      <c r="N305" s="4" t="s">
        <v>2414</v>
      </c>
      <c r="O305" s="4"/>
      <c r="P305" s="4"/>
      <c r="Q305" s="4" t="s">
        <v>2365</v>
      </c>
      <c r="R305" s="4"/>
      <c r="S305" s="4"/>
      <c r="T305" s="6"/>
      <c r="U305" s="3" t="str">
        <f t="shared" si="1"/>
        <v>Outstanding</v>
      </c>
      <c r="V305" s="15" t="s">
        <v>28</v>
      </c>
    </row>
    <row r="306" spans="1:22" ht="60" customHeight="1" x14ac:dyDescent="0.35">
      <c r="A306" s="13" t="s">
        <v>2356</v>
      </c>
      <c r="B306" s="2" t="s">
        <v>2415</v>
      </c>
      <c r="C306" s="1" t="s">
        <v>2416</v>
      </c>
      <c r="D306" s="3" t="s">
        <v>25</v>
      </c>
      <c r="E306" s="3" t="s">
        <v>26</v>
      </c>
      <c r="F306" s="3" t="s">
        <v>27</v>
      </c>
      <c r="G306" s="3" t="s">
        <v>28</v>
      </c>
      <c r="H306" s="4" t="s">
        <v>28</v>
      </c>
      <c r="I306" s="4" t="s">
        <v>2417</v>
      </c>
      <c r="J306" s="4"/>
      <c r="K306" s="5" t="s">
        <v>2361</v>
      </c>
      <c r="L306" s="5" t="s">
        <v>2418</v>
      </c>
      <c r="M306" s="4"/>
      <c r="N306" s="4"/>
      <c r="O306" s="4"/>
      <c r="P306" s="4"/>
      <c r="Q306" s="4"/>
      <c r="R306" s="4"/>
      <c r="S306" s="4"/>
      <c r="T306" s="6"/>
      <c r="U306" s="3" t="str">
        <f t="shared" si="1"/>
        <v>Outstanding</v>
      </c>
      <c r="V306" s="15" t="s">
        <v>28</v>
      </c>
    </row>
    <row r="307" spans="1:22" ht="60" customHeight="1" x14ac:dyDescent="0.35">
      <c r="A307" s="13" t="s">
        <v>2356</v>
      </c>
      <c r="B307" s="2" t="s">
        <v>2419</v>
      </c>
      <c r="C307" s="1" t="s">
        <v>2420</v>
      </c>
      <c r="D307" s="3" t="s">
        <v>25</v>
      </c>
      <c r="E307" s="3" t="s">
        <v>26</v>
      </c>
      <c r="F307" s="3" t="s">
        <v>27</v>
      </c>
      <c r="G307" s="3" t="s">
        <v>28</v>
      </c>
      <c r="H307" s="4" t="s">
        <v>28</v>
      </c>
      <c r="I307" s="4" t="s">
        <v>2421</v>
      </c>
      <c r="J307" s="4" t="s">
        <v>2422</v>
      </c>
      <c r="K307" s="5" t="s">
        <v>2361</v>
      </c>
      <c r="L307" s="5" t="s">
        <v>2423</v>
      </c>
      <c r="M307" s="4" t="s">
        <v>2424</v>
      </c>
      <c r="N307" s="4" t="s">
        <v>2425</v>
      </c>
      <c r="O307" s="4"/>
      <c r="P307" s="4"/>
      <c r="Q307" s="4" t="s">
        <v>2365</v>
      </c>
      <c r="R307" s="4"/>
      <c r="S307" s="4"/>
      <c r="T307" s="6"/>
      <c r="U307" s="3" t="str">
        <f t="shared" si="1"/>
        <v>Outstanding</v>
      </c>
      <c r="V307" s="15" t="s">
        <v>28</v>
      </c>
    </row>
    <row r="308" spans="1:22" ht="60" customHeight="1" x14ac:dyDescent="0.35">
      <c r="A308" s="13" t="s">
        <v>2356</v>
      </c>
      <c r="B308" s="2" t="s">
        <v>2426</v>
      </c>
      <c r="C308" s="1" t="s">
        <v>2427</v>
      </c>
      <c r="D308" s="3" t="s">
        <v>25</v>
      </c>
      <c r="E308" s="3" t="s">
        <v>26</v>
      </c>
      <c r="F308" s="3" t="s">
        <v>27</v>
      </c>
      <c r="G308" s="3" t="s">
        <v>28</v>
      </c>
      <c r="H308" s="4" t="s">
        <v>28</v>
      </c>
      <c r="I308" s="4" t="s">
        <v>2428</v>
      </c>
      <c r="J308" s="4" t="s">
        <v>2429</v>
      </c>
      <c r="K308" s="5" t="s">
        <v>2361</v>
      </c>
      <c r="L308" s="5" t="s">
        <v>2430</v>
      </c>
      <c r="M308" s="4" t="s">
        <v>2431</v>
      </c>
      <c r="N308" s="4" t="s">
        <v>2432</v>
      </c>
      <c r="O308" s="4"/>
      <c r="P308" s="4"/>
      <c r="Q308" s="4" t="s">
        <v>2365</v>
      </c>
      <c r="R308" s="4"/>
      <c r="S308" s="4"/>
      <c r="T308" s="6"/>
      <c r="U308" s="3" t="str">
        <f t="shared" si="1"/>
        <v>Outstanding</v>
      </c>
      <c r="V308" s="15" t="s">
        <v>28</v>
      </c>
    </row>
    <row r="309" spans="1:22" ht="60" customHeight="1" x14ac:dyDescent="0.35">
      <c r="A309" s="13" t="s">
        <v>2356</v>
      </c>
      <c r="B309" s="2" t="s">
        <v>2433</v>
      </c>
      <c r="C309" s="1" t="s">
        <v>2434</v>
      </c>
      <c r="D309" s="3" t="s">
        <v>25</v>
      </c>
      <c r="E309" s="3" t="s">
        <v>26</v>
      </c>
      <c r="F309" s="3" t="s">
        <v>27</v>
      </c>
      <c r="G309" s="3" t="s">
        <v>28</v>
      </c>
      <c r="H309" s="4" t="s">
        <v>28</v>
      </c>
      <c r="I309" s="4" t="s">
        <v>2435</v>
      </c>
      <c r="J309" s="4" t="s">
        <v>2436</v>
      </c>
      <c r="K309" s="5" t="s">
        <v>2361</v>
      </c>
      <c r="L309" s="5" t="s">
        <v>2437</v>
      </c>
      <c r="M309" s="4" t="s">
        <v>2438</v>
      </c>
      <c r="N309" s="4" t="s">
        <v>2439</v>
      </c>
      <c r="O309" s="4"/>
      <c r="P309" s="4"/>
      <c r="Q309" s="4" t="s">
        <v>2365</v>
      </c>
      <c r="R309" s="4"/>
      <c r="S309" s="4"/>
      <c r="T309" s="6"/>
      <c r="U309" s="3" t="str">
        <f t="shared" si="1"/>
        <v>Outstanding</v>
      </c>
      <c r="V309" s="15" t="s">
        <v>28</v>
      </c>
    </row>
    <row r="310" spans="1:22" ht="60" customHeight="1" x14ac:dyDescent="0.35">
      <c r="A310" s="13" t="s">
        <v>2356</v>
      </c>
      <c r="B310" s="2" t="s">
        <v>2440</v>
      </c>
      <c r="C310" s="1" t="s">
        <v>2441</v>
      </c>
      <c r="D310" s="3" t="s">
        <v>25</v>
      </c>
      <c r="E310" s="3" t="s">
        <v>26</v>
      </c>
      <c r="F310" s="3" t="s">
        <v>27</v>
      </c>
      <c r="G310" s="3" t="s">
        <v>28</v>
      </c>
      <c r="H310" s="4" t="s">
        <v>28</v>
      </c>
      <c r="I310" s="4" t="s">
        <v>2442</v>
      </c>
      <c r="J310" s="4" t="s">
        <v>2443</v>
      </c>
      <c r="K310" s="5" t="s">
        <v>2361</v>
      </c>
      <c r="L310" s="5" t="s">
        <v>2444</v>
      </c>
      <c r="M310" s="4" t="s">
        <v>2445</v>
      </c>
      <c r="N310" s="4" t="s">
        <v>2446</v>
      </c>
      <c r="O310" s="4"/>
      <c r="P310" s="4"/>
      <c r="Q310" s="4" t="s">
        <v>2365</v>
      </c>
      <c r="R310" s="4"/>
      <c r="S310" s="4"/>
      <c r="T310" s="6"/>
      <c r="U310" s="3" t="str">
        <f t="shared" si="1"/>
        <v>Outstanding</v>
      </c>
      <c r="V310" s="15" t="s">
        <v>28</v>
      </c>
    </row>
    <row r="311" spans="1:22" ht="60" customHeight="1" x14ac:dyDescent="0.35">
      <c r="A311" s="13" t="s">
        <v>2356</v>
      </c>
      <c r="B311" s="2" t="s">
        <v>2447</v>
      </c>
      <c r="C311" s="1" t="s">
        <v>2448</v>
      </c>
      <c r="D311" s="3" t="s">
        <v>25</v>
      </c>
      <c r="E311" s="3" t="s">
        <v>26</v>
      </c>
      <c r="F311" s="3" t="s">
        <v>27</v>
      </c>
      <c r="G311" s="3" t="s">
        <v>28</v>
      </c>
      <c r="H311" s="4" t="s">
        <v>28</v>
      </c>
      <c r="I311" s="4" t="s">
        <v>2449</v>
      </c>
      <c r="J311" s="4" t="s">
        <v>2450</v>
      </c>
      <c r="K311" s="5" t="s">
        <v>2361</v>
      </c>
      <c r="L311" s="5" t="s">
        <v>2451</v>
      </c>
      <c r="M311" s="4" t="s">
        <v>2452</v>
      </c>
      <c r="N311" s="4" t="s">
        <v>2453</v>
      </c>
      <c r="O311" s="4"/>
      <c r="P311" s="4"/>
      <c r="Q311" s="4" t="s">
        <v>2365</v>
      </c>
      <c r="R311" s="4"/>
      <c r="S311" s="4"/>
      <c r="T311" s="6"/>
      <c r="U311" s="3" t="str">
        <f t="shared" si="1"/>
        <v>Outstanding</v>
      </c>
      <c r="V311" s="15" t="s">
        <v>28</v>
      </c>
    </row>
    <row r="312" spans="1:22" ht="60" customHeight="1" x14ac:dyDescent="0.35">
      <c r="A312" s="13" t="s">
        <v>2356</v>
      </c>
      <c r="B312" s="2" t="s">
        <v>2454</v>
      </c>
      <c r="C312" s="1" t="s">
        <v>2455</v>
      </c>
      <c r="D312" s="3" t="s">
        <v>25</v>
      </c>
      <c r="E312" s="3" t="s">
        <v>26</v>
      </c>
      <c r="F312" s="3" t="s">
        <v>27</v>
      </c>
      <c r="G312" s="3" t="s">
        <v>28</v>
      </c>
      <c r="H312" s="4" t="s">
        <v>28</v>
      </c>
      <c r="I312" s="4" t="s">
        <v>2456</v>
      </c>
      <c r="J312" s="4" t="s">
        <v>2457</v>
      </c>
      <c r="K312" s="5" t="s">
        <v>2361</v>
      </c>
      <c r="L312" s="5" t="s">
        <v>2458</v>
      </c>
      <c r="M312" s="4" t="s">
        <v>2459</v>
      </c>
      <c r="N312" s="4" t="s">
        <v>2460</v>
      </c>
      <c r="O312" s="4"/>
      <c r="P312" s="4"/>
      <c r="Q312" s="4" t="s">
        <v>2365</v>
      </c>
      <c r="R312" s="4"/>
      <c r="S312" s="4"/>
      <c r="T312" s="6"/>
      <c r="U312" s="3" t="str">
        <f t="shared" si="1"/>
        <v>Outstanding</v>
      </c>
      <c r="V312" s="15" t="s">
        <v>28</v>
      </c>
    </row>
    <row r="313" spans="1:22" ht="60" customHeight="1" x14ac:dyDescent="0.35">
      <c r="A313" s="13" t="s">
        <v>2356</v>
      </c>
      <c r="B313" s="2" t="s">
        <v>2461</v>
      </c>
      <c r="C313" s="1" t="s">
        <v>2462</v>
      </c>
      <c r="D313" s="3" t="s">
        <v>25</v>
      </c>
      <c r="E313" s="3" t="s">
        <v>26</v>
      </c>
      <c r="F313" s="3" t="s">
        <v>27</v>
      </c>
      <c r="G313" s="3" t="s">
        <v>28</v>
      </c>
      <c r="H313" s="4" t="s">
        <v>28</v>
      </c>
      <c r="I313" s="4" t="s">
        <v>2463</v>
      </c>
      <c r="J313" s="4" t="s">
        <v>2464</v>
      </c>
      <c r="K313" s="5" t="s">
        <v>2361</v>
      </c>
      <c r="L313" s="5" t="s">
        <v>2465</v>
      </c>
      <c r="M313" s="4" t="s">
        <v>2466</v>
      </c>
      <c r="N313" s="4" t="s">
        <v>2467</v>
      </c>
      <c r="O313" s="4"/>
      <c r="P313" s="4"/>
      <c r="Q313" s="4" t="s">
        <v>2365</v>
      </c>
      <c r="R313" s="4"/>
      <c r="S313" s="4"/>
      <c r="T313" s="6"/>
      <c r="U313" s="3" t="str">
        <f t="shared" si="1"/>
        <v>Outstanding</v>
      </c>
      <c r="V313" s="15" t="s">
        <v>28</v>
      </c>
    </row>
    <row r="314" spans="1:22" ht="60" customHeight="1" x14ac:dyDescent="0.35">
      <c r="A314" s="13" t="s">
        <v>2356</v>
      </c>
      <c r="B314" s="2" t="s">
        <v>2468</v>
      </c>
      <c r="C314" s="1" t="s">
        <v>2469</v>
      </c>
      <c r="D314" s="3" t="s">
        <v>25</v>
      </c>
      <c r="E314" s="3" t="s">
        <v>26</v>
      </c>
      <c r="F314" s="3" t="s">
        <v>27</v>
      </c>
      <c r="G314" s="3" t="s">
        <v>28</v>
      </c>
      <c r="H314" s="4" t="s">
        <v>28</v>
      </c>
      <c r="I314" s="4" t="s">
        <v>2470</v>
      </c>
      <c r="J314" s="4"/>
      <c r="K314" s="5" t="s">
        <v>2361</v>
      </c>
      <c r="L314" s="5" t="s">
        <v>2471</v>
      </c>
      <c r="M314" s="4"/>
      <c r="N314" s="4"/>
      <c r="O314" s="4"/>
      <c r="P314" s="4"/>
      <c r="Q314" s="4"/>
      <c r="R314" s="4"/>
      <c r="S314" s="4"/>
      <c r="T314" s="6"/>
      <c r="U314" s="3" t="str">
        <f t="shared" si="1"/>
        <v>Outstanding</v>
      </c>
      <c r="V314" s="15" t="s">
        <v>28</v>
      </c>
    </row>
    <row r="315" spans="1:22" ht="60" customHeight="1" x14ac:dyDescent="0.35">
      <c r="A315" s="13" t="s">
        <v>2356</v>
      </c>
      <c r="B315" s="2" t="s">
        <v>2472</v>
      </c>
      <c r="C315" s="1" t="s">
        <v>2473</v>
      </c>
      <c r="D315" s="3" t="s">
        <v>25</v>
      </c>
      <c r="E315" s="3" t="s">
        <v>26</v>
      </c>
      <c r="F315" s="3" t="s">
        <v>27</v>
      </c>
      <c r="G315" s="3" t="s">
        <v>28</v>
      </c>
      <c r="H315" s="4" t="s">
        <v>28</v>
      </c>
      <c r="I315" s="4" t="s">
        <v>2474</v>
      </c>
      <c r="J315" s="4"/>
      <c r="K315" s="5" t="s">
        <v>2361</v>
      </c>
      <c r="L315" s="5" t="s">
        <v>2475</v>
      </c>
      <c r="M315" s="4"/>
      <c r="N315" s="4"/>
      <c r="O315" s="4"/>
      <c r="P315" s="4"/>
      <c r="Q315" s="4"/>
      <c r="R315" s="4"/>
      <c r="S315" s="4"/>
      <c r="T315" s="6"/>
      <c r="U315" s="3" t="str">
        <f t="shared" si="1"/>
        <v>Outstanding</v>
      </c>
      <c r="V315" s="15" t="s">
        <v>28</v>
      </c>
    </row>
    <row r="316" spans="1:22" ht="60" customHeight="1" x14ac:dyDescent="0.35">
      <c r="A316" s="13" t="s">
        <v>2356</v>
      </c>
      <c r="B316" s="2" t="s">
        <v>2476</v>
      </c>
      <c r="C316" s="1" t="s">
        <v>2477</v>
      </c>
      <c r="D316" s="3" t="s">
        <v>25</v>
      </c>
      <c r="E316" s="3" t="s">
        <v>26</v>
      </c>
      <c r="F316" s="3" t="s">
        <v>27</v>
      </c>
      <c r="G316" s="3" t="s">
        <v>28</v>
      </c>
      <c r="H316" s="4" t="s">
        <v>28</v>
      </c>
      <c r="I316" s="4" t="s">
        <v>2478</v>
      </c>
      <c r="J316" s="4" t="s">
        <v>2479</v>
      </c>
      <c r="K316" s="5" t="s">
        <v>2361</v>
      </c>
      <c r="L316" s="5" t="s">
        <v>2480</v>
      </c>
      <c r="M316" s="4" t="s">
        <v>2481</v>
      </c>
      <c r="N316" s="4" t="s">
        <v>2482</v>
      </c>
      <c r="O316" s="4"/>
      <c r="P316" s="4"/>
      <c r="Q316" s="4" t="s">
        <v>2365</v>
      </c>
      <c r="R316" s="4"/>
      <c r="S316" s="4"/>
      <c r="T316" s="6"/>
      <c r="U316" s="3" t="str">
        <f t="shared" si="1"/>
        <v>Outstanding</v>
      </c>
      <c r="V316" s="15" t="s">
        <v>28</v>
      </c>
    </row>
    <row r="317" spans="1:22" ht="60" customHeight="1" x14ac:dyDescent="0.35">
      <c r="A317" s="13" t="s">
        <v>2356</v>
      </c>
      <c r="B317" s="2" t="s">
        <v>2483</v>
      </c>
      <c r="C317" s="1" t="s">
        <v>2484</v>
      </c>
      <c r="D317" s="3" t="s">
        <v>25</v>
      </c>
      <c r="E317" s="3" t="s">
        <v>26</v>
      </c>
      <c r="F317" s="3" t="s">
        <v>27</v>
      </c>
      <c r="G317" s="3" t="s">
        <v>28</v>
      </c>
      <c r="H317" s="4" t="s">
        <v>28</v>
      </c>
      <c r="I317" s="4" t="s">
        <v>2485</v>
      </c>
      <c r="J317" s="4" t="s">
        <v>2486</v>
      </c>
      <c r="K317" s="5" t="s">
        <v>2361</v>
      </c>
      <c r="L317" s="5" t="s">
        <v>2487</v>
      </c>
      <c r="M317" s="4" t="s">
        <v>2488</v>
      </c>
      <c r="N317" s="4" t="s">
        <v>2489</v>
      </c>
      <c r="O317" s="4"/>
      <c r="P317" s="4"/>
      <c r="Q317" s="4" t="s">
        <v>2365</v>
      </c>
      <c r="R317" s="4"/>
      <c r="S317" s="4"/>
      <c r="T317" s="6"/>
      <c r="U317" s="3" t="str">
        <f t="shared" si="1"/>
        <v>Outstanding</v>
      </c>
      <c r="V317" s="15" t="s">
        <v>28</v>
      </c>
    </row>
    <row r="318" spans="1:22" ht="60" customHeight="1" x14ac:dyDescent="0.35">
      <c r="A318" s="13" t="s">
        <v>2356</v>
      </c>
      <c r="B318" s="2" t="s">
        <v>2490</v>
      </c>
      <c r="C318" s="1" t="s">
        <v>2491</v>
      </c>
      <c r="D318" s="3" t="s">
        <v>25</v>
      </c>
      <c r="E318" s="3" t="s">
        <v>26</v>
      </c>
      <c r="F318" s="3" t="s">
        <v>27</v>
      </c>
      <c r="G318" s="3" t="s">
        <v>28</v>
      </c>
      <c r="H318" s="4" t="s">
        <v>28</v>
      </c>
      <c r="I318" s="4" t="s">
        <v>2492</v>
      </c>
      <c r="J318" s="4" t="s">
        <v>2493</v>
      </c>
      <c r="K318" s="5" t="s">
        <v>2361</v>
      </c>
      <c r="L318" s="5" t="s">
        <v>2494</v>
      </c>
      <c r="M318" s="4" t="s">
        <v>2495</v>
      </c>
      <c r="N318" s="4" t="s">
        <v>2496</v>
      </c>
      <c r="O318" s="4"/>
      <c r="P318" s="4"/>
      <c r="Q318" s="4" t="s">
        <v>2365</v>
      </c>
      <c r="R318" s="4"/>
      <c r="S318" s="4"/>
      <c r="T318" s="6"/>
      <c r="U318" s="3" t="str">
        <f t="shared" si="1"/>
        <v>Outstanding</v>
      </c>
      <c r="V318" s="15" t="s">
        <v>28</v>
      </c>
    </row>
    <row r="319" spans="1:22" ht="60" customHeight="1" x14ac:dyDescent="0.35">
      <c r="A319" s="13" t="s">
        <v>319</v>
      </c>
      <c r="B319" s="2" t="s">
        <v>2497</v>
      </c>
      <c r="C319" s="1" t="s">
        <v>2498</v>
      </c>
      <c r="D319" s="3" t="s">
        <v>25</v>
      </c>
      <c r="E319" s="3" t="s">
        <v>26</v>
      </c>
      <c r="F319" s="3" t="s">
        <v>27</v>
      </c>
      <c r="G319" s="3" t="s">
        <v>28</v>
      </c>
      <c r="H319" s="4" t="s">
        <v>28</v>
      </c>
      <c r="I319" s="4" t="s">
        <v>2499</v>
      </c>
      <c r="J319" s="4" t="s">
        <v>2500</v>
      </c>
      <c r="K319" s="5" t="s">
        <v>2501</v>
      </c>
      <c r="L319" s="5" t="s">
        <v>2502</v>
      </c>
      <c r="M319" s="4" t="s">
        <v>2503</v>
      </c>
      <c r="N319" s="4" t="s">
        <v>2504</v>
      </c>
      <c r="O319" s="4" t="s">
        <v>2505</v>
      </c>
      <c r="P319" s="4" t="s">
        <v>36</v>
      </c>
      <c r="Q319" s="4" t="s">
        <v>329</v>
      </c>
      <c r="R319" s="4" t="s">
        <v>330</v>
      </c>
      <c r="S319" s="4"/>
      <c r="T319" s="6" t="s">
        <v>331</v>
      </c>
      <c r="U319" s="3" t="str">
        <f t="shared" si="1"/>
        <v>Outstanding</v>
      </c>
      <c r="V319" s="15" t="s">
        <v>28</v>
      </c>
    </row>
    <row r="320" spans="1:22" ht="60" customHeight="1" x14ac:dyDescent="0.35">
      <c r="A320" s="13" t="s">
        <v>2506</v>
      </c>
      <c r="B320" s="2" t="s">
        <v>2507</v>
      </c>
      <c r="C320" s="1" t="s">
        <v>2508</v>
      </c>
      <c r="D320" s="3" t="s">
        <v>25</v>
      </c>
      <c r="E320" s="3" t="s">
        <v>26</v>
      </c>
      <c r="F320" s="3" t="s">
        <v>27</v>
      </c>
      <c r="G320" s="3" t="s">
        <v>28</v>
      </c>
      <c r="H320" s="4" t="s">
        <v>28</v>
      </c>
      <c r="I320" s="4" t="s">
        <v>2509</v>
      </c>
      <c r="J320" s="4" t="s">
        <v>2510</v>
      </c>
      <c r="K320" s="5" t="s">
        <v>2511</v>
      </c>
      <c r="L320" s="5" t="s">
        <v>2512</v>
      </c>
      <c r="M320" s="4" t="s">
        <v>2513</v>
      </c>
      <c r="N320" s="4" t="s">
        <v>2514</v>
      </c>
      <c r="O320" s="4" t="s">
        <v>2515</v>
      </c>
      <c r="P320" s="4" t="s">
        <v>36</v>
      </c>
      <c r="Q320" s="4" t="s">
        <v>2516</v>
      </c>
      <c r="R320" s="4" t="s">
        <v>2517</v>
      </c>
      <c r="S320" s="4" t="s">
        <v>2514</v>
      </c>
      <c r="T320" s="6" t="s">
        <v>2518</v>
      </c>
      <c r="U320" s="3" t="str">
        <f t="shared" si="1"/>
        <v>Outstanding</v>
      </c>
      <c r="V320" s="15" t="s">
        <v>28</v>
      </c>
    </row>
    <row r="321" spans="1:22" ht="60" customHeight="1" x14ac:dyDescent="0.35">
      <c r="A321" s="13" t="s">
        <v>2506</v>
      </c>
      <c r="B321" s="2" t="s">
        <v>2519</v>
      </c>
      <c r="C321" s="1" t="s">
        <v>2520</v>
      </c>
      <c r="D321" s="3" t="s">
        <v>25</v>
      </c>
      <c r="E321" s="3" t="s">
        <v>26</v>
      </c>
      <c r="F321" s="3" t="s">
        <v>27</v>
      </c>
      <c r="G321" s="3" t="s">
        <v>28</v>
      </c>
      <c r="H321" s="4" t="s">
        <v>28</v>
      </c>
      <c r="I321" s="4" t="s">
        <v>2521</v>
      </c>
      <c r="J321" s="4" t="s">
        <v>2522</v>
      </c>
      <c r="K321" s="5" t="s">
        <v>2511</v>
      </c>
      <c r="L321" s="5" t="s">
        <v>2523</v>
      </c>
      <c r="M321" s="4" t="s">
        <v>2524</v>
      </c>
      <c r="N321" s="4" t="s">
        <v>2525</v>
      </c>
      <c r="O321" s="4" t="s">
        <v>2526</v>
      </c>
      <c r="P321" s="4" t="s">
        <v>36</v>
      </c>
      <c r="Q321" s="4" t="s">
        <v>2527</v>
      </c>
      <c r="R321" s="4" t="s">
        <v>2528</v>
      </c>
      <c r="S321" s="4" t="s">
        <v>2525</v>
      </c>
      <c r="T321" s="6" t="s">
        <v>2529</v>
      </c>
      <c r="U321" s="3" t="str">
        <f t="shared" si="1"/>
        <v>Outstanding</v>
      </c>
      <c r="V321" s="15" t="s">
        <v>28</v>
      </c>
    </row>
    <row r="322" spans="1:22" ht="60" customHeight="1" x14ac:dyDescent="0.35">
      <c r="A322" s="13" t="s">
        <v>2506</v>
      </c>
      <c r="B322" s="2" t="s">
        <v>2530</v>
      </c>
      <c r="C322" s="1" t="s">
        <v>2531</v>
      </c>
      <c r="D322" s="3" t="s">
        <v>25</v>
      </c>
      <c r="E322" s="3" t="s">
        <v>26</v>
      </c>
      <c r="F322" s="3" t="s">
        <v>27</v>
      </c>
      <c r="G322" s="3" t="s">
        <v>28</v>
      </c>
      <c r="H322" s="4" t="s">
        <v>28</v>
      </c>
      <c r="I322" s="4" t="s">
        <v>2532</v>
      </c>
      <c r="J322" s="4" t="s">
        <v>2533</v>
      </c>
      <c r="K322" s="5" t="s">
        <v>2511</v>
      </c>
      <c r="L322" s="5" t="s">
        <v>2534</v>
      </c>
      <c r="M322" s="4" t="s">
        <v>2535</v>
      </c>
      <c r="N322" s="4" t="s">
        <v>2536</v>
      </c>
      <c r="O322" s="4" t="s">
        <v>2537</v>
      </c>
      <c r="P322" s="4" t="s">
        <v>421</v>
      </c>
      <c r="Q322" s="4" t="s">
        <v>2527</v>
      </c>
      <c r="R322" s="4" t="s">
        <v>2528</v>
      </c>
      <c r="S322" s="4" t="s">
        <v>2536</v>
      </c>
      <c r="T322" s="6" t="s">
        <v>2529</v>
      </c>
      <c r="U322" s="3" t="str">
        <f t="shared" si="1"/>
        <v>Outstanding</v>
      </c>
      <c r="V322" s="15" t="s">
        <v>28</v>
      </c>
    </row>
    <row r="323" spans="1:22" ht="60" customHeight="1" x14ac:dyDescent="0.35">
      <c r="A323" s="13" t="s">
        <v>2538</v>
      </c>
      <c r="B323" s="2" t="s">
        <v>2539</v>
      </c>
      <c r="C323" s="1" t="s">
        <v>2540</v>
      </c>
      <c r="D323" s="3" t="s">
        <v>25</v>
      </c>
      <c r="E323" s="3" t="s">
        <v>26</v>
      </c>
      <c r="F323" s="3" t="s">
        <v>27</v>
      </c>
      <c r="G323" s="3" t="s">
        <v>28</v>
      </c>
      <c r="H323" s="4" t="s">
        <v>28</v>
      </c>
      <c r="I323" s="4" t="s">
        <v>2541</v>
      </c>
      <c r="J323" s="4"/>
      <c r="K323" s="5" t="s">
        <v>2542</v>
      </c>
      <c r="L323" s="4"/>
      <c r="M323" s="4"/>
      <c r="N323" s="4"/>
      <c r="O323" s="4"/>
      <c r="P323" s="4"/>
      <c r="Q323" s="4"/>
      <c r="R323" s="4"/>
      <c r="S323" s="4"/>
      <c r="T323" s="6"/>
      <c r="U323" s="3" t="str">
        <f t="shared" si="1"/>
        <v>Outstanding</v>
      </c>
      <c r="V323" s="15" t="s">
        <v>28</v>
      </c>
    </row>
    <row r="324" spans="1:22" ht="60" customHeight="1" x14ac:dyDescent="0.35">
      <c r="A324" s="13" t="s">
        <v>2538</v>
      </c>
      <c r="B324" s="2" t="s">
        <v>2543</v>
      </c>
      <c r="C324" s="1" t="s">
        <v>2544</v>
      </c>
      <c r="D324" s="3" t="s">
        <v>25</v>
      </c>
      <c r="E324" s="3" t="s">
        <v>26</v>
      </c>
      <c r="F324" s="3" t="s">
        <v>27</v>
      </c>
      <c r="G324" s="3" t="s">
        <v>28</v>
      </c>
      <c r="H324" s="4" t="s">
        <v>28</v>
      </c>
      <c r="I324" s="4" t="s">
        <v>2545</v>
      </c>
      <c r="J324" s="4"/>
      <c r="K324" s="5" t="s">
        <v>2542</v>
      </c>
      <c r="L324" s="4"/>
      <c r="M324" s="4"/>
      <c r="N324" s="4"/>
      <c r="O324" s="4"/>
      <c r="P324" s="4"/>
      <c r="Q324" s="4"/>
      <c r="R324" s="4"/>
      <c r="S324" s="4"/>
      <c r="T324" s="6"/>
      <c r="U324" s="3" t="str">
        <f t="shared" si="1"/>
        <v>Outstanding</v>
      </c>
      <c r="V324" s="15" t="s">
        <v>28</v>
      </c>
    </row>
    <row r="325" spans="1:22" ht="60" customHeight="1" x14ac:dyDescent="0.35">
      <c r="A325" s="13" t="s">
        <v>2546</v>
      </c>
      <c r="B325" s="2" t="s">
        <v>2547</v>
      </c>
      <c r="C325" s="1" t="s">
        <v>2548</v>
      </c>
      <c r="D325" s="3" t="s">
        <v>25</v>
      </c>
      <c r="E325" s="3" t="s">
        <v>26</v>
      </c>
      <c r="F325" s="3" t="s">
        <v>27</v>
      </c>
      <c r="G325" s="3" t="s">
        <v>28</v>
      </c>
      <c r="H325" s="4" t="s">
        <v>28</v>
      </c>
      <c r="I325" s="4" t="s">
        <v>2549</v>
      </c>
      <c r="J325" s="4" t="s">
        <v>2550</v>
      </c>
      <c r="K325" s="5" t="s">
        <v>2551</v>
      </c>
      <c r="L325" s="5" t="s">
        <v>2552</v>
      </c>
      <c r="M325" s="4" t="s">
        <v>2553</v>
      </c>
      <c r="N325" s="4" t="s">
        <v>2554</v>
      </c>
      <c r="O325" s="4" t="s">
        <v>2555</v>
      </c>
      <c r="P325" s="4" t="s">
        <v>36</v>
      </c>
      <c r="Q325" s="4" t="s">
        <v>2556</v>
      </c>
      <c r="R325" s="4" t="s">
        <v>2557</v>
      </c>
      <c r="S325" s="4"/>
      <c r="T325" s="6" t="s">
        <v>2558</v>
      </c>
      <c r="U325" s="3" t="str">
        <f t="shared" si="1"/>
        <v>Outstanding</v>
      </c>
      <c r="V325" s="15" t="s">
        <v>28</v>
      </c>
    </row>
    <row r="326" spans="1:22" ht="60" customHeight="1" x14ac:dyDescent="0.35">
      <c r="A326" s="13" t="s">
        <v>2559</v>
      </c>
      <c r="B326" s="2" t="s">
        <v>2560</v>
      </c>
      <c r="C326" s="1" t="s">
        <v>2561</v>
      </c>
      <c r="D326" s="3" t="s">
        <v>25</v>
      </c>
      <c r="E326" s="3" t="s">
        <v>26</v>
      </c>
      <c r="F326" s="3" t="s">
        <v>27</v>
      </c>
      <c r="G326" s="3" t="s">
        <v>28</v>
      </c>
      <c r="H326" s="4" t="s">
        <v>28</v>
      </c>
      <c r="I326" s="4" t="s">
        <v>2562</v>
      </c>
      <c r="J326" s="4" t="s">
        <v>2563</v>
      </c>
      <c r="K326" s="5" t="s">
        <v>2564</v>
      </c>
      <c r="L326" s="5" t="s">
        <v>2565</v>
      </c>
      <c r="M326" s="4" t="s">
        <v>2566</v>
      </c>
      <c r="N326" s="4" t="s">
        <v>2567</v>
      </c>
      <c r="O326" s="4" t="s">
        <v>2568</v>
      </c>
      <c r="P326" s="4" t="s">
        <v>36</v>
      </c>
      <c r="Q326" s="4" t="s">
        <v>2569</v>
      </c>
      <c r="R326" s="4" t="s">
        <v>2570</v>
      </c>
      <c r="S326" s="4" t="s">
        <v>2567</v>
      </c>
      <c r="T326" s="6" t="s">
        <v>2571</v>
      </c>
      <c r="U326" s="3" t="str">
        <f t="shared" si="1"/>
        <v>Outstanding</v>
      </c>
      <c r="V326" s="15" t="s">
        <v>28</v>
      </c>
    </row>
    <row r="327" spans="1:22" ht="60" customHeight="1" x14ac:dyDescent="0.35">
      <c r="A327" s="13" t="s">
        <v>2572</v>
      </c>
      <c r="B327" s="2" t="s">
        <v>2573</v>
      </c>
      <c r="C327" s="1" t="s">
        <v>2574</v>
      </c>
      <c r="D327" s="3" t="s">
        <v>25</v>
      </c>
      <c r="E327" s="3" t="s">
        <v>26</v>
      </c>
      <c r="F327" s="3" t="s">
        <v>27</v>
      </c>
      <c r="G327" s="3" t="s">
        <v>28</v>
      </c>
      <c r="H327" s="4" t="s">
        <v>28</v>
      </c>
      <c r="I327" s="4" t="s">
        <v>2575</v>
      </c>
      <c r="J327" s="4" t="s">
        <v>2576</v>
      </c>
      <c r="K327" s="5" t="s">
        <v>2577</v>
      </c>
      <c r="L327" s="5" t="s">
        <v>2578</v>
      </c>
      <c r="M327" s="4" t="s">
        <v>2579</v>
      </c>
      <c r="N327" s="4" t="s">
        <v>2580</v>
      </c>
      <c r="O327" s="4" t="s">
        <v>522</v>
      </c>
      <c r="P327" s="4" t="s">
        <v>36</v>
      </c>
      <c r="Q327" s="4" t="s">
        <v>2581</v>
      </c>
      <c r="R327" s="4" t="s">
        <v>330</v>
      </c>
      <c r="S327" s="4" t="s">
        <v>521</v>
      </c>
      <c r="T327" s="6" t="s">
        <v>2582</v>
      </c>
      <c r="U327" s="3" t="str">
        <f t="shared" si="1"/>
        <v>Outstanding</v>
      </c>
      <c r="V327" s="15" t="s">
        <v>28</v>
      </c>
    </row>
    <row r="328" spans="1:22" ht="60" customHeight="1" x14ac:dyDescent="0.35">
      <c r="A328" s="13" t="s">
        <v>2583</v>
      </c>
      <c r="B328" s="2" t="s">
        <v>2584</v>
      </c>
      <c r="C328" s="1" t="s">
        <v>2585</v>
      </c>
      <c r="D328" s="3" t="s">
        <v>25</v>
      </c>
      <c r="E328" s="3" t="s">
        <v>26</v>
      </c>
      <c r="F328" s="3" t="s">
        <v>27</v>
      </c>
      <c r="G328" s="3" t="s">
        <v>28</v>
      </c>
      <c r="H328" s="4" t="s">
        <v>28</v>
      </c>
      <c r="I328" s="4" t="s">
        <v>2586</v>
      </c>
      <c r="J328" s="4"/>
      <c r="K328" s="5" t="s">
        <v>2587</v>
      </c>
      <c r="L328" s="4"/>
      <c r="M328" s="4"/>
      <c r="N328" s="4"/>
      <c r="O328" s="4"/>
      <c r="P328" s="4"/>
      <c r="Q328" s="4"/>
      <c r="R328" s="4"/>
      <c r="S328" s="4"/>
      <c r="T328" s="6"/>
      <c r="U328" s="3" t="str">
        <f t="shared" si="1"/>
        <v>Outstanding</v>
      </c>
      <c r="V328" s="15" t="s">
        <v>28</v>
      </c>
    </row>
    <row r="329" spans="1:22" ht="60" customHeight="1" x14ac:dyDescent="0.35">
      <c r="A329" s="13" t="s">
        <v>2583</v>
      </c>
      <c r="B329" s="2" t="s">
        <v>2588</v>
      </c>
      <c r="C329" s="1" t="s">
        <v>2589</v>
      </c>
      <c r="D329" s="3" t="s">
        <v>25</v>
      </c>
      <c r="E329" s="3" t="s">
        <v>26</v>
      </c>
      <c r="F329" s="3" t="s">
        <v>27</v>
      </c>
      <c r="G329" s="3" t="s">
        <v>28</v>
      </c>
      <c r="H329" s="4" t="s">
        <v>28</v>
      </c>
      <c r="I329" s="4" t="s">
        <v>2590</v>
      </c>
      <c r="J329" s="4"/>
      <c r="K329" s="5" t="s">
        <v>2587</v>
      </c>
      <c r="L329" s="4"/>
      <c r="M329" s="4"/>
      <c r="N329" s="4"/>
      <c r="O329" s="4"/>
      <c r="P329" s="4"/>
      <c r="Q329" s="4"/>
      <c r="R329" s="4"/>
      <c r="S329" s="4"/>
      <c r="T329" s="6"/>
      <c r="U329" s="3" t="str">
        <f t="shared" si="1"/>
        <v>Outstanding</v>
      </c>
      <c r="V329" s="15" t="s">
        <v>28</v>
      </c>
    </row>
    <row r="330" spans="1:22" ht="60" customHeight="1" x14ac:dyDescent="0.35">
      <c r="A330" s="13" t="s">
        <v>2583</v>
      </c>
      <c r="B330" s="2" t="s">
        <v>2591</v>
      </c>
      <c r="C330" s="1" t="s">
        <v>2592</v>
      </c>
      <c r="D330" s="3" t="s">
        <v>25</v>
      </c>
      <c r="E330" s="3" t="s">
        <v>26</v>
      </c>
      <c r="F330" s="3" t="s">
        <v>27</v>
      </c>
      <c r="G330" s="3" t="s">
        <v>28</v>
      </c>
      <c r="H330" s="4" t="s">
        <v>28</v>
      </c>
      <c r="I330" s="4" t="s">
        <v>2593</v>
      </c>
      <c r="J330" s="4"/>
      <c r="K330" s="5" t="s">
        <v>2587</v>
      </c>
      <c r="L330" s="4"/>
      <c r="M330" s="4"/>
      <c r="N330" s="4"/>
      <c r="O330" s="4"/>
      <c r="P330" s="4"/>
      <c r="Q330" s="4"/>
      <c r="R330" s="4"/>
      <c r="S330" s="4"/>
      <c r="T330" s="6"/>
      <c r="U330" s="3" t="str">
        <f t="shared" si="1"/>
        <v>Outstanding</v>
      </c>
      <c r="V330" s="15" t="s">
        <v>28</v>
      </c>
    </row>
    <row r="331" spans="1:22" ht="60" customHeight="1" x14ac:dyDescent="0.35">
      <c r="A331" s="13" t="s">
        <v>2583</v>
      </c>
      <c r="B331" s="2" t="s">
        <v>2594</v>
      </c>
      <c r="C331" s="1" t="s">
        <v>2595</v>
      </c>
      <c r="D331" s="3" t="s">
        <v>25</v>
      </c>
      <c r="E331" s="3" t="s">
        <v>26</v>
      </c>
      <c r="F331" s="3" t="s">
        <v>27</v>
      </c>
      <c r="G331" s="3" t="s">
        <v>28</v>
      </c>
      <c r="H331" s="4" t="s">
        <v>28</v>
      </c>
      <c r="I331" s="4" t="s">
        <v>2596</v>
      </c>
      <c r="J331" s="4"/>
      <c r="K331" s="5" t="s">
        <v>2587</v>
      </c>
      <c r="L331" s="4"/>
      <c r="M331" s="4"/>
      <c r="N331" s="4"/>
      <c r="O331" s="4"/>
      <c r="P331" s="4"/>
      <c r="Q331" s="4"/>
      <c r="R331" s="4"/>
      <c r="S331" s="4"/>
      <c r="T331" s="6"/>
      <c r="U331" s="3" t="str">
        <f t="shared" si="1"/>
        <v>Outstanding</v>
      </c>
      <c r="V331" s="15" t="s">
        <v>28</v>
      </c>
    </row>
    <row r="332" spans="1:22" ht="60" customHeight="1" x14ac:dyDescent="0.35">
      <c r="A332" s="13" t="s">
        <v>2572</v>
      </c>
      <c r="B332" s="2" t="s">
        <v>2597</v>
      </c>
      <c r="C332" s="1" t="s">
        <v>2598</v>
      </c>
      <c r="D332" s="3" t="s">
        <v>25</v>
      </c>
      <c r="E332" s="3" t="s">
        <v>26</v>
      </c>
      <c r="F332" s="3" t="s">
        <v>27</v>
      </c>
      <c r="G332" s="3" t="s">
        <v>28</v>
      </c>
      <c r="H332" s="4" t="s">
        <v>28</v>
      </c>
      <c r="I332" s="4" t="s">
        <v>2599</v>
      </c>
      <c r="J332" s="4" t="s">
        <v>2600</v>
      </c>
      <c r="K332" s="5" t="s">
        <v>2577</v>
      </c>
      <c r="L332" s="5" t="s">
        <v>2601</v>
      </c>
      <c r="M332" s="4" t="s">
        <v>2602</v>
      </c>
      <c r="N332" s="4" t="s">
        <v>2580</v>
      </c>
      <c r="O332" s="4" t="s">
        <v>522</v>
      </c>
      <c r="P332" s="4" t="s">
        <v>36</v>
      </c>
      <c r="Q332" s="4" t="s">
        <v>2581</v>
      </c>
      <c r="R332" s="4" t="s">
        <v>330</v>
      </c>
      <c r="S332" s="4"/>
      <c r="T332" s="6" t="s">
        <v>2582</v>
      </c>
      <c r="U332" s="3" t="str">
        <f t="shared" si="1"/>
        <v>Outstanding</v>
      </c>
      <c r="V332" s="15" t="s">
        <v>28</v>
      </c>
    </row>
    <row r="333" spans="1:22" ht="60" customHeight="1" x14ac:dyDescent="0.35">
      <c r="A333" s="13" t="s">
        <v>2603</v>
      </c>
      <c r="B333" s="2" t="s">
        <v>2604</v>
      </c>
      <c r="C333" s="1" t="s">
        <v>2605</v>
      </c>
      <c r="D333" s="3" t="s">
        <v>25</v>
      </c>
      <c r="E333" s="3" t="s">
        <v>26</v>
      </c>
      <c r="F333" s="3" t="s">
        <v>27</v>
      </c>
      <c r="G333" s="3" t="s">
        <v>28</v>
      </c>
      <c r="H333" s="4" t="s">
        <v>28</v>
      </c>
      <c r="I333" s="4" t="s">
        <v>2606</v>
      </c>
      <c r="J333" s="4" t="s">
        <v>2607</v>
      </c>
      <c r="K333" s="5" t="s">
        <v>2608</v>
      </c>
      <c r="L333" s="5" t="s">
        <v>2609</v>
      </c>
      <c r="M333" s="4" t="s">
        <v>2610</v>
      </c>
      <c r="N333" s="4" t="s">
        <v>2611</v>
      </c>
      <c r="O333" s="4"/>
      <c r="P333" s="4"/>
      <c r="Q333" s="4" t="s">
        <v>2612</v>
      </c>
      <c r="R333" s="4"/>
      <c r="S333" s="4"/>
      <c r="T333" s="6"/>
      <c r="U333" s="3" t="str">
        <f t="shared" si="1"/>
        <v>Outstanding</v>
      </c>
      <c r="V333" s="15" t="s">
        <v>28</v>
      </c>
    </row>
    <row r="334" spans="1:22" ht="60" customHeight="1" x14ac:dyDescent="0.35">
      <c r="A334" s="13" t="s">
        <v>2603</v>
      </c>
      <c r="B334" s="2" t="s">
        <v>2613</v>
      </c>
      <c r="C334" s="1" t="s">
        <v>2614</v>
      </c>
      <c r="D334" s="3" t="s">
        <v>25</v>
      </c>
      <c r="E334" s="3" t="s">
        <v>26</v>
      </c>
      <c r="F334" s="3" t="s">
        <v>27</v>
      </c>
      <c r="G334" s="3" t="s">
        <v>28</v>
      </c>
      <c r="H334" s="4" t="s">
        <v>28</v>
      </c>
      <c r="I334" s="4" t="s">
        <v>2615</v>
      </c>
      <c r="J334" s="4" t="s">
        <v>2607</v>
      </c>
      <c r="K334" s="5" t="s">
        <v>2608</v>
      </c>
      <c r="L334" s="5" t="s">
        <v>2616</v>
      </c>
      <c r="M334" s="4" t="s">
        <v>2617</v>
      </c>
      <c r="N334" s="4" t="s">
        <v>2618</v>
      </c>
      <c r="O334" s="4"/>
      <c r="P334" s="4"/>
      <c r="Q334" s="4" t="s">
        <v>2612</v>
      </c>
      <c r="R334" s="4"/>
      <c r="S334" s="4"/>
      <c r="T334" s="6"/>
      <c r="U334" s="3" t="str">
        <f t="shared" si="1"/>
        <v>Outstanding</v>
      </c>
      <c r="V334" s="15" t="s">
        <v>28</v>
      </c>
    </row>
    <row r="335" spans="1:22" ht="60" customHeight="1" x14ac:dyDescent="0.35">
      <c r="A335" s="13" t="s">
        <v>2603</v>
      </c>
      <c r="B335" s="2" t="s">
        <v>2619</v>
      </c>
      <c r="C335" s="1" t="s">
        <v>2620</v>
      </c>
      <c r="D335" s="3" t="s">
        <v>25</v>
      </c>
      <c r="E335" s="3" t="s">
        <v>26</v>
      </c>
      <c r="F335" s="3" t="s">
        <v>27</v>
      </c>
      <c r="G335" s="3" t="s">
        <v>28</v>
      </c>
      <c r="H335" s="4" t="s">
        <v>28</v>
      </c>
      <c r="I335" s="4" t="s">
        <v>2621</v>
      </c>
      <c r="J335" s="4" t="s">
        <v>2607</v>
      </c>
      <c r="K335" s="5" t="s">
        <v>2608</v>
      </c>
      <c r="L335" s="5" t="s">
        <v>2622</v>
      </c>
      <c r="M335" s="4" t="s">
        <v>2623</v>
      </c>
      <c r="N335" s="4" t="s">
        <v>2624</v>
      </c>
      <c r="O335" s="4"/>
      <c r="P335" s="4"/>
      <c r="Q335" s="4" t="s">
        <v>2612</v>
      </c>
      <c r="R335" s="4"/>
      <c r="S335" s="4"/>
      <c r="T335" s="6"/>
      <c r="U335" s="3" t="str">
        <f t="shared" si="1"/>
        <v>Outstanding</v>
      </c>
      <c r="V335" s="15" t="s">
        <v>28</v>
      </c>
    </row>
    <row r="336" spans="1:22" ht="60" customHeight="1" x14ac:dyDescent="0.35">
      <c r="A336" s="13" t="s">
        <v>2603</v>
      </c>
      <c r="B336" s="2" t="s">
        <v>2625</v>
      </c>
      <c r="C336" s="1" t="s">
        <v>2626</v>
      </c>
      <c r="D336" s="3" t="s">
        <v>25</v>
      </c>
      <c r="E336" s="3" t="s">
        <v>26</v>
      </c>
      <c r="F336" s="3" t="s">
        <v>27</v>
      </c>
      <c r="G336" s="3" t="s">
        <v>28</v>
      </c>
      <c r="H336" s="4" t="s">
        <v>28</v>
      </c>
      <c r="I336" s="4" t="s">
        <v>2627</v>
      </c>
      <c r="J336" s="4" t="s">
        <v>2607</v>
      </c>
      <c r="K336" s="5" t="s">
        <v>2608</v>
      </c>
      <c r="L336" s="5" t="s">
        <v>2628</v>
      </c>
      <c r="M336" s="4" t="s">
        <v>2629</v>
      </c>
      <c r="N336" s="4" t="s">
        <v>2630</v>
      </c>
      <c r="O336" s="4"/>
      <c r="P336" s="4"/>
      <c r="Q336" s="4" t="s">
        <v>2612</v>
      </c>
      <c r="R336" s="4"/>
      <c r="S336" s="4"/>
      <c r="T336" s="6"/>
      <c r="U336" s="3" t="str">
        <f t="shared" si="1"/>
        <v>Outstanding</v>
      </c>
      <c r="V336" s="15" t="s">
        <v>28</v>
      </c>
    </row>
    <row r="337" spans="1:22" ht="60" customHeight="1" x14ac:dyDescent="0.35">
      <c r="A337" s="13" t="s">
        <v>2631</v>
      </c>
      <c r="B337" s="2" t="s">
        <v>2632</v>
      </c>
      <c r="C337" s="1" t="s">
        <v>2633</v>
      </c>
      <c r="D337" s="3" t="s">
        <v>25</v>
      </c>
      <c r="E337" s="3" t="s">
        <v>26</v>
      </c>
      <c r="F337" s="3" t="s">
        <v>27</v>
      </c>
      <c r="G337" s="3" t="s">
        <v>28</v>
      </c>
      <c r="H337" s="4" t="s">
        <v>28</v>
      </c>
      <c r="I337" s="4" t="s">
        <v>2634</v>
      </c>
      <c r="J337" s="4" t="s">
        <v>2635</v>
      </c>
      <c r="K337" s="5" t="s">
        <v>2636</v>
      </c>
      <c r="L337" s="5" t="s">
        <v>2637</v>
      </c>
      <c r="M337" s="4" t="s">
        <v>2638</v>
      </c>
      <c r="N337" s="4"/>
      <c r="O337" s="4"/>
      <c r="P337" s="4"/>
      <c r="Q337" s="4"/>
      <c r="R337" s="4"/>
      <c r="S337" s="4"/>
      <c r="T337" s="6"/>
      <c r="U337" s="3" t="str">
        <f t="shared" si="1"/>
        <v>Outstanding</v>
      </c>
      <c r="V337" s="15" t="s">
        <v>28</v>
      </c>
    </row>
    <row r="338" spans="1:22" ht="60" customHeight="1" x14ac:dyDescent="0.35">
      <c r="A338" s="13" t="s">
        <v>2639</v>
      </c>
      <c r="B338" s="2" t="s">
        <v>2640</v>
      </c>
      <c r="C338" s="1" t="s">
        <v>2641</v>
      </c>
      <c r="D338" s="3" t="s">
        <v>25</v>
      </c>
      <c r="E338" s="3" t="s">
        <v>26</v>
      </c>
      <c r="F338" s="3" t="s">
        <v>27</v>
      </c>
      <c r="G338" s="3" t="s">
        <v>28</v>
      </c>
      <c r="H338" s="4" t="s">
        <v>28</v>
      </c>
      <c r="I338" s="4" t="s">
        <v>2642</v>
      </c>
      <c r="J338" s="4" t="s">
        <v>2643</v>
      </c>
      <c r="K338" s="5" t="s">
        <v>2644</v>
      </c>
      <c r="L338" s="5" t="s">
        <v>2645</v>
      </c>
      <c r="M338" s="4" t="s">
        <v>2646</v>
      </c>
      <c r="N338" s="4" t="s">
        <v>2647</v>
      </c>
      <c r="O338" s="4"/>
      <c r="P338" s="4"/>
      <c r="Q338" s="4" t="s">
        <v>2648</v>
      </c>
      <c r="R338" s="4"/>
      <c r="S338" s="4"/>
      <c r="T338" s="6"/>
      <c r="U338" s="3" t="str">
        <f t="shared" si="1"/>
        <v>Outstanding</v>
      </c>
      <c r="V338" s="15" t="s">
        <v>28</v>
      </c>
    </row>
    <row r="339" spans="1:22" ht="60" customHeight="1" x14ac:dyDescent="0.35">
      <c r="A339" s="13" t="s">
        <v>2639</v>
      </c>
      <c r="B339" s="2" t="s">
        <v>2649</v>
      </c>
      <c r="C339" s="1" t="s">
        <v>2650</v>
      </c>
      <c r="D339" s="3" t="s">
        <v>25</v>
      </c>
      <c r="E339" s="3" t="s">
        <v>26</v>
      </c>
      <c r="F339" s="3" t="s">
        <v>27</v>
      </c>
      <c r="G339" s="3" t="s">
        <v>28</v>
      </c>
      <c r="H339" s="4" t="s">
        <v>28</v>
      </c>
      <c r="I339" s="4" t="s">
        <v>2651</v>
      </c>
      <c r="J339" s="4" t="s">
        <v>2652</v>
      </c>
      <c r="K339" s="5" t="s">
        <v>2644</v>
      </c>
      <c r="L339" s="5" t="s">
        <v>2653</v>
      </c>
      <c r="M339" s="4" t="s">
        <v>2654</v>
      </c>
      <c r="N339" s="4" t="s">
        <v>2655</v>
      </c>
      <c r="O339" s="4"/>
      <c r="P339" s="4"/>
      <c r="Q339" s="4" t="s">
        <v>2648</v>
      </c>
      <c r="R339" s="4"/>
      <c r="S339" s="4"/>
      <c r="T339" s="6"/>
      <c r="U339" s="3" t="str">
        <f t="shared" si="1"/>
        <v>Outstanding</v>
      </c>
      <c r="V339" s="15" t="s">
        <v>28</v>
      </c>
    </row>
    <row r="340" spans="1:22" ht="60" customHeight="1" x14ac:dyDescent="0.35">
      <c r="A340" s="13" t="s">
        <v>2639</v>
      </c>
      <c r="B340" s="2" t="s">
        <v>2656</v>
      </c>
      <c r="C340" s="1" t="s">
        <v>2657</v>
      </c>
      <c r="D340" s="3" t="s">
        <v>25</v>
      </c>
      <c r="E340" s="3" t="s">
        <v>26</v>
      </c>
      <c r="F340" s="3" t="s">
        <v>27</v>
      </c>
      <c r="G340" s="3" t="s">
        <v>28</v>
      </c>
      <c r="H340" s="4" t="s">
        <v>28</v>
      </c>
      <c r="I340" s="4" t="s">
        <v>2658</v>
      </c>
      <c r="J340" s="4" t="s">
        <v>2659</v>
      </c>
      <c r="K340" s="5" t="s">
        <v>2644</v>
      </c>
      <c r="L340" s="5" t="s">
        <v>2660</v>
      </c>
      <c r="M340" s="4" t="s">
        <v>2661</v>
      </c>
      <c r="N340" s="4" t="s">
        <v>2662</v>
      </c>
      <c r="O340" s="4"/>
      <c r="P340" s="4"/>
      <c r="Q340" s="4" t="s">
        <v>2648</v>
      </c>
      <c r="R340" s="4"/>
      <c r="S340" s="4"/>
      <c r="T340" s="6"/>
      <c r="U340" s="3" t="str">
        <f t="shared" si="1"/>
        <v>Outstanding</v>
      </c>
      <c r="V340" s="15" t="s">
        <v>28</v>
      </c>
    </row>
    <row r="341" spans="1:22" ht="60" customHeight="1" x14ac:dyDescent="0.35">
      <c r="A341" s="13" t="s">
        <v>2639</v>
      </c>
      <c r="B341" s="2" t="s">
        <v>2663</v>
      </c>
      <c r="C341" s="1" t="s">
        <v>2664</v>
      </c>
      <c r="D341" s="3" t="s">
        <v>25</v>
      </c>
      <c r="E341" s="3" t="s">
        <v>26</v>
      </c>
      <c r="F341" s="3" t="s">
        <v>27</v>
      </c>
      <c r="G341" s="3" t="s">
        <v>28</v>
      </c>
      <c r="H341" s="4" t="s">
        <v>28</v>
      </c>
      <c r="I341" s="4" t="s">
        <v>2665</v>
      </c>
      <c r="J341" s="4" t="s">
        <v>2666</v>
      </c>
      <c r="K341" s="5" t="s">
        <v>2644</v>
      </c>
      <c r="L341" s="5" t="s">
        <v>2667</v>
      </c>
      <c r="M341" s="4" t="s">
        <v>2668</v>
      </c>
      <c r="N341" s="4" t="s">
        <v>2669</v>
      </c>
      <c r="O341" s="4"/>
      <c r="P341" s="4"/>
      <c r="Q341" s="4" t="s">
        <v>2648</v>
      </c>
      <c r="R341" s="4"/>
      <c r="S341" s="4"/>
      <c r="T341" s="6"/>
      <c r="U341" s="3" t="str">
        <f t="shared" si="1"/>
        <v>Outstanding</v>
      </c>
      <c r="V341" s="15" t="s">
        <v>28</v>
      </c>
    </row>
    <row r="342" spans="1:22" ht="60" customHeight="1" x14ac:dyDescent="0.35">
      <c r="A342" s="13" t="s">
        <v>2639</v>
      </c>
      <c r="B342" s="2" t="s">
        <v>2670</v>
      </c>
      <c r="C342" s="1" t="s">
        <v>2671</v>
      </c>
      <c r="D342" s="3" t="s">
        <v>25</v>
      </c>
      <c r="E342" s="3" t="s">
        <v>26</v>
      </c>
      <c r="F342" s="3" t="s">
        <v>27</v>
      </c>
      <c r="G342" s="3" t="s">
        <v>28</v>
      </c>
      <c r="H342" s="4" t="s">
        <v>28</v>
      </c>
      <c r="I342" s="4" t="s">
        <v>2672</v>
      </c>
      <c r="J342" s="4" t="s">
        <v>2673</v>
      </c>
      <c r="K342" s="5" t="s">
        <v>2644</v>
      </c>
      <c r="L342" s="5" t="s">
        <v>2674</v>
      </c>
      <c r="M342" s="4" t="s">
        <v>2675</v>
      </c>
      <c r="N342" s="4" t="s">
        <v>2676</v>
      </c>
      <c r="O342" s="4"/>
      <c r="P342" s="4"/>
      <c r="Q342" s="4" t="s">
        <v>2648</v>
      </c>
      <c r="R342" s="4"/>
      <c r="S342" s="4"/>
      <c r="T342" s="6"/>
      <c r="U342" s="3" t="str">
        <f t="shared" si="1"/>
        <v>Outstanding</v>
      </c>
      <c r="V342" s="15" t="s">
        <v>28</v>
      </c>
    </row>
    <row r="343" spans="1:22" ht="60" customHeight="1" x14ac:dyDescent="0.35">
      <c r="A343" s="13" t="s">
        <v>2639</v>
      </c>
      <c r="B343" s="2" t="s">
        <v>2677</v>
      </c>
      <c r="C343" s="1" t="s">
        <v>2678</v>
      </c>
      <c r="D343" s="3" t="s">
        <v>25</v>
      </c>
      <c r="E343" s="3" t="s">
        <v>26</v>
      </c>
      <c r="F343" s="3" t="s">
        <v>27</v>
      </c>
      <c r="G343" s="3" t="s">
        <v>28</v>
      </c>
      <c r="H343" s="4" t="s">
        <v>28</v>
      </c>
      <c r="I343" s="4" t="s">
        <v>2679</v>
      </c>
      <c r="J343" s="4" t="s">
        <v>2680</v>
      </c>
      <c r="K343" s="5" t="s">
        <v>2644</v>
      </c>
      <c r="L343" s="5" t="s">
        <v>2681</v>
      </c>
      <c r="M343" s="4" t="s">
        <v>2682</v>
      </c>
      <c r="N343" s="4" t="s">
        <v>2683</v>
      </c>
      <c r="O343" s="4"/>
      <c r="P343" s="4"/>
      <c r="Q343" s="4" t="s">
        <v>2648</v>
      </c>
      <c r="R343" s="4"/>
      <c r="S343" s="4"/>
      <c r="T343" s="6"/>
      <c r="U343" s="3" t="str">
        <f t="shared" si="1"/>
        <v>Outstanding</v>
      </c>
      <c r="V343" s="15" t="s">
        <v>28</v>
      </c>
    </row>
    <row r="344" spans="1:22" ht="60" customHeight="1" x14ac:dyDescent="0.35">
      <c r="A344" s="13" t="s">
        <v>2639</v>
      </c>
      <c r="B344" s="2" t="s">
        <v>2684</v>
      </c>
      <c r="C344" s="1" t="s">
        <v>2685</v>
      </c>
      <c r="D344" s="3" t="s">
        <v>25</v>
      </c>
      <c r="E344" s="3" t="s">
        <v>26</v>
      </c>
      <c r="F344" s="3" t="s">
        <v>27</v>
      </c>
      <c r="G344" s="3" t="s">
        <v>28</v>
      </c>
      <c r="H344" s="4" t="s">
        <v>28</v>
      </c>
      <c r="I344" s="4" t="s">
        <v>2686</v>
      </c>
      <c r="J344" s="4" t="s">
        <v>2687</v>
      </c>
      <c r="K344" s="5" t="s">
        <v>2644</v>
      </c>
      <c r="L344" s="5" t="s">
        <v>2688</v>
      </c>
      <c r="M344" s="4" t="s">
        <v>2689</v>
      </c>
      <c r="N344" s="4" t="s">
        <v>2690</v>
      </c>
      <c r="O344" s="4"/>
      <c r="P344" s="4"/>
      <c r="Q344" s="4" t="s">
        <v>2648</v>
      </c>
      <c r="R344" s="4"/>
      <c r="S344" s="4"/>
      <c r="T344" s="6"/>
      <c r="U344" s="3" t="str">
        <f t="shared" si="1"/>
        <v>Outstanding</v>
      </c>
      <c r="V344" s="15" t="s">
        <v>28</v>
      </c>
    </row>
    <row r="345" spans="1:22" ht="60" customHeight="1" x14ac:dyDescent="0.35">
      <c r="A345" s="13" t="s">
        <v>2639</v>
      </c>
      <c r="B345" s="2" t="s">
        <v>2691</v>
      </c>
      <c r="C345" s="1" t="s">
        <v>2692</v>
      </c>
      <c r="D345" s="3" t="s">
        <v>25</v>
      </c>
      <c r="E345" s="3" t="s">
        <v>26</v>
      </c>
      <c r="F345" s="3" t="s">
        <v>27</v>
      </c>
      <c r="G345" s="3" t="s">
        <v>28</v>
      </c>
      <c r="H345" s="4" t="s">
        <v>28</v>
      </c>
      <c r="I345" s="4" t="s">
        <v>2693</v>
      </c>
      <c r="J345" s="4" t="s">
        <v>2694</v>
      </c>
      <c r="K345" s="5" t="s">
        <v>2644</v>
      </c>
      <c r="L345" s="5" t="s">
        <v>2695</v>
      </c>
      <c r="M345" s="4" t="s">
        <v>2696</v>
      </c>
      <c r="N345" s="4" t="s">
        <v>2697</v>
      </c>
      <c r="O345" s="4"/>
      <c r="P345" s="4"/>
      <c r="Q345" s="4" t="s">
        <v>2648</v>
      </c>
      <c r="R345" s="4"/>
      <c r="S345" s="4"/>
      <c r="T345" s="6"/>
      <c r="U345" s="3" t="str">
        <f t="shared" si="1"/>
        <v>Outstanding</v>
      </c>
      <c r="V345" s="15" t="s">
        <v>28</v>
      </c>
    </row>
    <row r="346" spans="1:22" ht="60" customHeight="1" x14ac:dyDescent="0.35">
      <c r="A346" s="13" t="s">
        <v>2639</v>
      </c>
      <c r="B346" s="2" t="s">
        <v>2698</v>
      </c>
      <c r="C346" s="1" t="s">
        <v>2699</v>
      </c>
      <c r="D346" s="3" t="s">
        <v>25</v>
      </c>
      <c r="E346" s="3" t="s">
        <v>26</v>
      </c>
      <c r="F346" s="3" t="s">
        <v>27</v>
      </c>
      <c r="G346" s="3" t="s">
        <v>28</v>
      </c>
      <c r="H346" s="4" t="s">
        <v>28</v>
      </c>
      <c r="I346" s="4" t="s">
        <v>2700</v>
      </c>
      <c r="J346" s="4" t="s">
        <v>2701</v>
      </c>
      <c r="K346" s="5" t="s">
        <v>2644</v>
      </c>
      <c r="L346" s="5" t="s">
        <v>2702</v>
      </c>
      <c r="M346" s="4" t="s">
        <v>2703</v>
      </c>
      <c r="N346" s="4" t="s">
        <v>2704</v>
      </c>
      <c r="O346" s="4"/>
      <c r="P346" s="4"/>
      <c r="Q346" s="4" t="s">
        <v>2648</v>
      </c>
      <c r="R346" s="4"/>
      <c r="S346" s="4"/>
      <c r="T346" s="6"/>
      <c r="U346" s="3" t="str">
        <f t="shared" si="1"/>
        <v>Outstanding</v>
      </c>
      <c r="V346" s="15" t="s">
        <v>28</v>
      </c>
    </row>
    <row r="347" spans="1:22" ht="60" customHeight="1" x14ac:dyDescent="0.35">
      <c r="A347" s="13" t="s">
        <v>2639</v>
      </c>
      <c r="B347" s="2" t="s">
        <v>2705</v>
      </c>
      <c r="C347" s="1" t="s">
        <v>2706</v>
      </c>
      <c r="D347" s="3" t="s">
        <v>25</v>
      </c>
      <c r="E347" s="3" t="s">
        <v>26</v>
      </c>
      <c r="F347" s="3" t="s">
        <v>27</v>
      </c>
      <c r="G347" s="3" t="s">
        <v>28</v>
      </c>
      <c r="H347" s="4" t="s">
        <v>28</v>
      </c>
      <c r="I347" s="4" t="s">
        <v>2707</v>
      </c>
      <c r="J347" s="4" t="s">
        <v>2708</v>
      </c>
      <c r="K347" s="5" t="s">
        <v>2644</v>
      </c>
      <c r="L347" s="5" t="s">
        <v>2709</v>
      </c>
      <c r="M347" s="4" t="s">
        <v>2710</v>
      </c>
      <c r="N347" s="4" t="s">
        <v>2711</v>
      </c>
      <c r="O347" s="4"/>
      <c r="P347" s="4"/>
      <c r="Q347" s="4" t="s">
        <v>2648</v>
      </c>
      <c r="R347" s="4"/>
      <c r="S347" s="4"/>
      <c r="T347" s="6"/>
      <c r="U347" s="3" t="str">
        <f t="shared" si="1"/>
        <v>Outstanding</v>
      </c>
      <c r="V347" s="15" t="s">
        <v>28</v>
      </c>
    </row>
    <row r="348" spans="1:22" ht="60" customHeight="1" x14ac:dyDescent="0.35">
      <c r="A348" s="13" t="s">
        <v>2639</v>
      </c>
      <c r="B348" s="2" t="s">
        <v>2712</v>
      </c>
      <c r="C348" s="1" t="s">
        <v>2713</v>
      </c>
      <c r="D348" s="3" t="s">
        <v>25</v>
      </c>
      <c r="E348" s="3" t="s">
        <v>26</v>
      </c>
      <c r="F348" s="3" t="s">
        <v>27</v>
      </c>
      <c r="G348" s="3" t="s">
        <v>28</v>
      </c>
      <c r="H348" s="4" t="s">
        <v>28</v>
      </c>
      <c r="I348" s="4" t="s">
        <v>2714</v>
      </c>
      <c r="J348" s="4" t="s">
        <v>2715</v>
      </c>
      <c r="K348" s="5" t="s">
        <v>2644</v>
      </c>
      <c r="L348" s="5" t="s">
        <v>2716</v>
      </c>
      <c r="M348" s="4" t="s">
        <v>2717</v>
      </c>
      <c r="N348" s="4" t="s">
        <v>2718</v>
      </c>
      <c r="O348" s="4"/>
      <c r="P348" s="4"/>
      <c r="Q348" s="4" t="s">
        <v>2648</v>
      </c>
      <c r="R348" s="4"/>
      <c r="S348" s="4"/>
      <c r="T348" s="6"/>
      <c r="U348" s="3" t="str">
        <f t="shared" si="1"/>
        <v>Outstanding</v>
      </c>
      <c r="V348" s="15" t="s">
        <v>28</v>
      </c>
    </row>
    <row r="349" spans="1:22" ht="60" customHeight="1" x14ac:dyDescent="0.35">
      <c r="A349" s="13" t="s">
        <v>2639</v>
      </c>
      <c r="B349" s="2" t="s">
        <v>2719</v>
      </c>
      <c r="C349" s="1" t="s">
        <v>2720</v>
      </c>
      <c r="D349" s="3" t="s">
        <v>25</v>
      </c>
      <c r="E349" s="3" t="s">
        <v>26</v>
      </c>
      <c r="F349" s="3" t="s">
        <v>27</v>
      </c>
      <c r="G349" s="3" t="s">
        <v>28</v>
      </c>
      <c r="H349" s="4" t="s">
        <v>28</v>
      </c>
      <c r="I349" s="4" t="s">
        <v>2721</v>
      </c>
      <c r="J349" s="4" t="s">
        <v>2722</v>
      </c>
      <c r="K349" s="5" t="s">
        <v>2644</v>
      </c>
      <c r="L349" s="5" t="s">
        <v>2723</v>
      </c>
      <c r="M349" s="4" t="s">
        <v>2724</v>
      </c>
      <c r="N349" s="4" t="s">
        <v>2725</v>
      </c>
      <c r="O349" s="4"/>
      <c r="P349" s="4"/>
      <c r="Q349" s="4" t="s">
        <v>2648</v>
      </c>
      <c r="R349" s="4"/>
      <c r="S349" s="4"/>
      <c r="T349" s="6"/>
      <c r="U349" s="3" t="str">
        <f t="shared" si="1"/>
        <v>Outstanding</v>
      </c>
      <c r="V349" s="15" t="s">
        <v>28</v>
      </c>
    </row>
    <row r="350" spans="1:22" ht="60" customHeight="1" x14ac:dyDescent="0.35">
      <c r="A350" s="13" t="s">
        <v>2639</v>
      </c>
      <c r="B350" s="2" t="s">
        <v>2726</v>
      </c>
      <c r="C350" s="1" t="s">
        <v>2727</v>
      </c>
      <c r="D350" s="3" t="s">
        <v>25</v>
      </c>
      <c r="E350" s="3" t="s">
        <v>26</v>
      </c>
      <c r="F350" s="3" t="s">
        <v>27</v>
      </c>
      <c r="G350" s="3" t="s">
        <v>28</v>
      </c>
      <c r="H350" s="4" t="s">
        <v>28</v>
      </c>
      <c r="I350" s="4" t="s">
        <v>2728</v>
      </c>
      <c r="J350" s="4" t="s">
        <v>2729</v>
      </c>
      <c r="K350" s="5" t="s">
        <v>2644</v>
      </c>
      <c r="L350" s="5" t="s">
        <v>2730</v>
      </c>
      <c r="M350" s="4" t="s">
        <v>2731</v>
      </c>
      <c r="N350" s="4" t="s">
        <v>2732</v>
      </c>
      <c r="O350" s="4"/>
      <c r="P350" s="4"/>
      <c r="Q350" s="4" t="s">
        <v>2648</v>
      </c>
      <c r="R350" s="4"/>
      <c r="S350" s="4"/>
      <c r="T350" s="6"/>
      <c r="U350" s="3" t="str">
        <f t="shared" si="1"/>
        <v>Outstanding</v>
      </c>
      <c r="V350" s="15" t="s">
        <v>28</v>
      </c>
    </row>
    <row r="351" spans="1:22" ht="60" customHeight="1" x14ac:dyDescent="0.35">
      <c r="A351" s="13" t="s">
        <v>2639</v>
      </c>
      <c r="B351" s="2" t="s">
        <v>2733</v>
      </c>
      <c r="C351" s="1" t="s">
        <v>2734</v>
      </c>
      <c r="D351" s="3" t="s">
        <v>25</v>
      </c>
      <c r="E351" s="3" t="s">
        <v>26</v>
      </c>
      <c r="F351" s="3" t="s">
        <v>27</v>
      </c>
      <c r="G351" s="3" t="s">
        <v>28</v>
      </c>
      <c r="H351" s="4" t="s">
        <v>28</v>
      </c>
      <c r="I351" s="4" t="s">
        <v>2735</v>
      </c>
      <c r="J351" s="4" t="s">
        <v>2736</v>
      </c>
      <c r="K351" s="5" t="s">
        <v>2644</v>
      </c>
      <c r="L351" s="5" t="s">
        <v>2737</v>
      </c>
      <c r="M351" s="4" t="s">
        <v>2738</v>
      </c>
      <c r="N351" s="4" t="s">
        <v>2739</v>
      </c>
      <c r="O351" s="4"/>
      <c r="P351" s="4"/>
      <c r="Q351" s="4" t="s">
        <v>2648</v>
      </c>
      <c r="R351" s="4"/>
      <c r="S351" s="4"/>
      <c r="T351" s="6"/>
      <c r="U351" s="3" t="str">
        <f t="shared" si="1"/>
        <v>Outstanding</v>
      </c>
      <c r="V351" s="15" t="s">
        <v>28</v>
      </c>
    </row>
    <row r="352" spans="1:22" ht="60" customHeight="1" x14ac:dyDescent="0.35">
      <c r="A352" s="13" t="s">
        <v>2639</v>
      </c>
      <c r="B352" s="2" t="s">
        <v>2740</v>
      </c>
      <c r="C352" s="1" t="s">
        <v>2741</v>
      </c>
      <c r="D352" s="3" t="s">
        <v>25</v>
      </c>
      <c r="E352" s="3" t="s">
        <v>26</v>
      </c>
      <c r="F352" s="3" t="s">
        <v>27</v>
      </c>
      <c r="G352" s="3" t="s">
        <v>28</v>
      </c>
      <c r="H352" s="4" t="s">
        <v>28</v>
      </c>
      <c r="I352" s="4" t="s">
        <v>2742</v>
      </c>
      <c r="J352" s="4" t="s">
        <v>2743</v>
      </c>
      <c r="K352" s="5" t="s">
        <v>2644</v>
      </c>
      <c r="L352" s="5" t="s">
        <v>2744</v>
      </c>
      <c r="M352" s="4" t="s">
        <v>2745</v>
      </c>
      <c r="N352" s="4" t="s">
        <v>2746</v>
      </c>
      <c r="O352" s="4"/>
      <c r="P352" s="4"/>
      <c r="Q352" s="4" t="s">
        <v>2648</v>
      </c>
      <c r="R352" s="4"/>
      <c r="S352" s="4"/>
      <c r="T352" s="6"/>
      <c r="U352" s="3" t="str">
        <f t="shared" si="1"/>
        <v>Outstanding</v>
      </c>
      <c r="V352" s="15" t="s">
        <v>28</v>
      </c>
    </row>
    <row r="353" spans="1:22" ht="60" customHeight="1" x14ac:dyDescent="0.35">
      <c r="A353" s="13" t="s">
        <v>2639</v>
      </c>
      <c r="B353" s="2" t="s">
        <v>2747</v>
      </c>
      <c r="C353" s="1" t="s">
        <v>2748</v>
      </c>
      <c r="D353" s="3" t="s">
        <v>25</v>
      </c>
      <c r="E353" s="3" t="s">
        <v>26</v>
      </c>
      <c r="F353" s="3" t="s">
        <v>27</v>
      </c>
      <c r="G353" s="3" t="s">
        <v>28</v>
      </c>
      <c r="H353" s="4" t="s">
        <v>28</v>
      </c>
      <c r="I353" s="4" t="s">
        <v>2749</v>
      </c>
      <c r="J353" s="4" t="s">
        <v>2750</v>
      </c>
      <c r="K353" s="5" t="s">
        <v>2644</v>
      </c>
      <c r="L353" s="5" t="s">
        <v>2751</v>
      </c>
      <c r="M353" s="4" t="s">
        <v>2752</v>
      </c>
      <c r="N353" s="4" t="s">
        <v>2753</v>
      </c>
      <c r="O353" s="4"/>
      <c r="P353" s="4"/>
      <c r="Q353" s="4" t="s">
        <v>2648</v>
      </c>
      <c r="R353" s="4"/>
      <c r="S353" s="4"/>
      <c r="T353" s="6"/>
      <c r="U353" s="3" t="str">
        <f t="shared" si="1"/>
        <v>Outstanding</v>
      </c>
      <c r="V353" s="15" t="s">
        <v>28</v>
      </c>
    </row>
    <row r="354" spans="1:22" ht="60" customHeight="1" x14ac:dyDescent="0.35">
      <c r="A354" s="13" t="s">
        <v>2639</v>
      </c>
      <c r="B354" s="2" t="s">
        <v>2754</v>
      </c>
      <c r="C354" s="1" t="s">
        <v>2755</v>
      </c>
      <c r="D354" s="3" t="s">
        <v>25</v>
      </c>
      <c r="E354" s="3" t="s">
        <v>26</v>
      </c>
      <c r="F354" s="3" t="s">
        <v>27</v>
      </c>
      <c r="G354" s="3" t="s">
        <v>28</v>
      </c>
      <c r="H354" s="4" t="s">
        <v>28</v>
      </c>
      <c r="I354" s="4" t="s">
        <v>2756</v>
      </c>
      <c r="J354" s="4" t="s">
        <v>2757</v>
      </c>
      <c r="K354" s="5" t="s">
        <v>2644</v>
      </c>
      <c r="L354" s="5" t="s">
        <v>2758</v>
      </c>
      <c r="M354" s="4" t="s">
        <v>2759</v>
      </c>
      <c r="N354" s="4" t="s">
        <v>2760</v>
      </c>
      <c r="O354" s="4"/>
      <c r="P354" s="4"/>
      <c r="Q354" s="4" t="s">
        <v>2648</v>
      </c>
      <c r="R354" s="4"/>
      <c r="S354" s="4"/>
      <c r="T354" s="6"/>
      <c r="U354" s="3" t="str">
        <f t="shared" si="1"/>
        <v>Outstanding</v>
      </c>
      <c r="V354" s="15" t="s">
        <v>28</v>
      </c>
    </row>
    <row r="355" spans="1:22" ht="60" customHeight="1" x14ac:dyDescent="0.35">
      <c r="A355" s="13" t="s">
        <v>2761</v>
      </c>
      <c r="B355" s="2" t="s">
        <v>2762</v>
      </c>
      <c r="C355" s="1" t="s">
        <v>2763</v>
      </c>
      <c r="D355" s="3" t="s">
        <v>25</v>
      </c>
      <c r="E355" s="3" t="s">
        <v>26</v>
      </c>
      <c r="F355" s="3" t="s">
        <v>27</v>
      </c>
      <c r="G355" s="3" t="s">
        <v>28</v>
      </c>
      <c r="H355" s="4" t="s">
        <v>28</v>
      </c>
      <c r="I355" s="4" t="s">
        <v>2764</v>
      </c>
      <c r="J355" s="4" t="s">
        <v>2765</v>
      </c>
      <c r="K355" s="5" t="s">
        <v>2766</v>
      </c>
      <c r="L355" s="5" t="s">
        <v>2767</v>
      </c>
      <c r="M355" s="4" t="s">
        <v>2768</v>
      </c>
      <c r="N355" s="4" t="s">
        <v>2062</v>
      </c>
      <c r="O355" s="4" t="s">
        <v>2063</v>
      </c>
      <c r="P355" s="4" t="s">
        <v>36</v>
      </c>
      <c r="Q355" s="4" t="s">
        <v>2064</v>
      </c>
      <c r="R355" s="4" t="s">
        <v>2065</v>
      </c>
      <c r="S355" s="4"/>
      <c r="T355" s="6" t="s">
        <v>2066</v>
      </c>
      <c r="U355" s="3" t="str">
        <f t="shared" si="1"/>
        <v>Outstanding</v>
      </c>
      <c r="V355" s="15" t="s">
        <v>28</v>
      </c>
    </row>
    <row r="356" spans="1:22" ht="60" customHeight="1" x14ac:dyDescent="0.35">
      <c r="A356" s="13" t="s">
        <v>2769</v>
      </c>
      <c r="B356" s="2" t="s">
        <v>2770</v>
      </c>
      <c r="C356" s="1" t="s">
        <v>2771</v>
      </c>
      <c r="D356" s="3" t="s">
        <v>25</v>
      </c>
      <c r="E356" s="3" t="s">
        <v>26</v>
      </c>
      <c r="F356" s="3" t="s">
        <v>27</v>
      </c>
      <c r="G356" s="3" t="s">
        <v>28</v>
      </c>
      <c r="H356" s="4" t="s">
        <v>28</v>
      </c>
      <c r="I356" s="4" t="s">
        <v>2772</v>
      </c>
      <c r="J356" s="4" t="s">
        <v>2773</v>
      </c>
      <c r="K356" s="5" t="s">
        <v>2774</v>
      </c>
      <c r="L356" s="5" t="s">
        <v>2775</v>
      </c>
      <c r="M356" s="4" t="s">
        <v>2776</v>
      </c>
      <c r="N356" s="4" t="s">
        <v>2777</v>
      </c>
      <c r="O356" s="4" t="s">
        <v>2778</v>
      </c>
      <c r="P356" s="4" t="s">
        <v>36</v>
      </c>
      <c r="Q356" s="4" t="s">
        <v>2779</v>
      </c>
      <c r="R356" s="4" t="s">
        <v>2780</v>
      </c>
      <c r="S356" s="4" t="s">
        <v>2781</v>
      </c>
      <c r="T356" s="6" t="s">
        <v>2782</v>
      </c>
      <c r="U356" s="3" t="str">
        <f t="shared" si="1"/>
        <v>Outstanding</v>
      </c>
      <c r="V356" s="15" t="s">
        <v>28</v>
      </c>
    </row>
    <row r="357" spans="1:22" ht="60" customHeight="1" x14ac:dyDescent="0.35">
      <c r="A357" s="13" t="s">
        <v>2769</v>
      </c>
      <c r="B357" s="2" t="s">
        <v>2783</v>
      </c>
      <c r="C357" s="1" t="s">
        <v>2784</v>
      </c>
      <c r="D357" s="3" t="s">
        <v>25</v>
      </c>
      <c r="E357" s="3" t="s">
        <v>26</v>
      </c>
      <c r="F357" s="3" t="s">
        <v>27</v>
      </c>
      <c r="G357" s="3" t="s">
        <v>28</v>
      </c>
      <c r="H357" s="4" t="s">
        <v>28</v>
      </c>
      <c r="I357" s="4" t="s">
        <v>2785</v>
      </c>
      <c r="J357" s="4" t="s">
        <v>2786</v>
      </c>
      <c r="K357" s="5" t="s">
        <v>2774</v>
      </c>
      <c r="L357" s="5" t="s">
        <v>2787</v>
      </c>
      <c r="M357" s="4" t="s">
        <v>2788</v>
      </c>
      <c r="N357" s="4" t="s">
        <v>2789</v>
      </c>
      <c r="O357" s="4" t="s">
        <v>2790</v>
      </c>
      <c r="P357" s="4" t="s">
        <v>36</v>
      </c>
      <c r="Q357" s="4" t="s">
        <v>2791</v>
      </c>
      <c r="R357" s="4" t="s">
        <v>2792</v>
      </c>
      <c r="S357" s="4" t="s">
        <v>2789</v>
      </c>
      <c r="T357" s="6" t="s">
        <v>2793</v>
      </c>
      <c r="U357" s="3" t="str">
        <f t="shared" si="1"/>
        <v>Outstanding</v>
      </c>
      <c r="V357" s="15" t="s">
        <v>28</v>
      </c>
    </row>
    <row r="358" spans="1:22" ht="60" customHeight="1" x14ac:dyDescent="0.35">
      <c r="A358" s="13" t="s">
        <v>2794</v>
      </c>
      <c r="B358" s="2" t="s">
        <v>2795</v>
      </c>
      <c r="C358" s="1" t="s">
        <v>2796</v>
      </c>
      <c r="D358" s="3" t="s">
        <v>25</v>
      </c>
      <c r="E358" s="3" t="s">
        <v>26</v>
      </c>
      <c r="F358" s="3" t="s">
        <v>27</v>
      </c>
      <c r="G358" s="3" t="s">
        <v>28</v>
      </c>
      <c r="H358" s="4" t="s">
        <v>28</v>
      </c>
      <c r="I358" s="4" t="s">
        <v>2797</v>
      </c>
      <c r="J358" s="4" t="s">
        <v>2798</v>
      </c>
      <c r="K358" s="5" t="s">
        <v>2799</v>
      </c>
      <c r="L358" s="5" t="s">
        <v>2800</v>
      </c>
      <c r="M358" s="4" t="s">
        <v>2801</v>
      </c>
      <c r="N358" s="4"/>
      <c r="O358" s="4"/>
      <c r="P358" s="4"/>
      <c r="Q358" s="4"/>
      <c r="R358" s="4"/>
      <c r="S358" s="4"/>
      <c r="T358" s="6"/>
      <c r="U358" s="3" t="str">
        <f t="shared" si="1"/>
        <v>Outstanding</v>
      </c>
      <c r="V358" s="15" t="s">
        <v>28</v>
      </c>
    </row>
    <row r="359" spans="1:22" ht="60" customHeight="1" x14ac:dyDescent="0.35">
      <c r="A359" s="13" t="s">
        <v>2802</v>
      </c>
      <c r="B359" s="2" t="s">
        <v>2803</v>
      </c>
      <c r="C359" s="1" t="s">
        <v>2804</v>
      </c>
      <c r="D359" s="3" t="s">
        <v>25</v>
      </c>
      <c r="E359" s="3" t="s">
        <v>26</v>
      </c>
      <c r="F359" s="3" t="s">
        <v>27</v>
      </c>
      <c r="G359" s="3" t="s">
        <v>28</v>
      </c>
      <c r="H359" s="4" t="s">
        <v>28</v>
      </c>
      <c r="I359" s="4" t="s">
        <v>2805</v>
      </c>
      <c r="J359" s="4" t="s">
        <v>2806</v>
      </c>
      <c r="K359" s="5" t="s">
        <v>2807</v>
      </c>
      <c r="L359" s="5" t="s">
        <v>2808</v>
      </c>
      <c r="M359" s="4" t="s">
        <v>2809</v>
      </c>
      <c r="N359" s="4" t="s">
        <v>2810</v>
      </c>
      <c r="O359" s="4" t="s">
        <v>2811</v>
      </c>
      <c r="P359" s="4" t="s">
        <v>36</v>
      </c>
      <c r="Q359" s="4" t="s">
        <v>2812</v>
      </c>
      <c r="R359" s="4" t="s">
        <v>2813</v>
      </c>
      <c r="S359" s="4"/>
      <c r="T359" s="6" t="s">
        <v>2814</v>
      </c>
      <c r="U359" s="3" t="str">
        <f t="shared" si="1"/>
        <v>Outstanding</v>
      </c>
      <c r="V359" s="15" t="s">
        <v>28</v>
      </c>
    </row>
    <row r="360" spans="1:22" ht="60" customHeight="1" x14ac:dyDescent="0.35">
      <c r="A360" s="13" t="s">
        <v>2815</v>
      </c>
      <c r="B360" s="2" t="s">
        <v>2816</v>
      </c>
      <c r="C360" s="1" t="s">
        <v>2817</v>
      </c>
      <c r="D360" s="3" t="s">
        <v>25</v>
      </c>
      <c r="E360" s="3" t="s">
        <v>26</v>
      </c>
      <c r="F360" s="3" t="s">
        <v>27</v>
      </c>
      <c r="G360" s="3" t="s">
        <v>28</v>
      </c>
      <c r="H360" s="4" t="s">
        <v>28</v>
      </c>
      <c r="I360" s="4" t="s">
        <v>2818</v>
      </c>
      <c r="J360" s="4" t="s">
        <v>2819</v>
      </c>
      <c r="K360" s="5" t="s">
        <v>2820</v>
      </c>
      <c r="L360" s="5" t="s">
        <v>2821</v>
      </c>
      <c r="M360" s="4" t="s">
        <v>2822</v>
      </c>
      <c r="N360" s="4"/>
      <c r="O360" s="4"/>
      <c r="P360" s="4"/>
      <c r="Q360" s="4"/>
      <c r="R360" s="4"/>
      <c r="S360" s="4"/>
      <c r="T360" s="6"/>
      <c r="U360" s="3" t="str">
        <f t="shared" si="1"/>
        <v>Outstanding</v>
      </c>
      <c r="V360" s="15" t="s">
        <v>28</v>
      </c>
    </row>
    <row r="361" spans="1:22" ht="60" customHeight="1" x14ac:dyDescent="0.35">
      <c r="A361" s="13" t="s">
        <v>2823</v>
      </c>
      <c r="B361" s="2" t="s">
        <v>2824</v>
      </c>
      <c r="C361" s="1" t="s">
        <v>2825</v>
      </c>
      <c r="D361" s="3" t="s">
        <v>25</v>
      </c>
      <c r="E361" s="3" t="s">
        <v>26</v>
      </c>
      <c r="F361" s="3" t="s">
        <v>27</v>
      </c>
      <c r="G361" s="3" t="s">
        <v>28</v>
      </c>
      <c r="H361" s="4" t="s">
        <v>28</v>
      </c>
      <c r="I361" s="4" t="s">
        <v>2826</v>
      </c>
      <c r="J361" s="4" t="s">
        <v>2827</v>
      </c>
      <c r="K361" s="5" t="s">
        <v>2828</v>
      </c>
      <c r="L361" s="5" t="s">
        <v>2829</v>
      </c>
      <c r="M361" s="4" t="s">
        <v>2830</v>
      </c>
      <c r="N361" s="4" t="s">
        <v>2831</v>
      </c>
      <c r="O361" s="4" t="s">
        <v>2832</v>
      </c>
      <c r="P361" s="4" t="s">
        <v>36</v>
      </c>
      <c r="Q361" s="4" t="s">
        <v>2833</v>
      </c>
      <c r="R361" s="4" t="s">
        <v>2834</v>
      </c>
      <c r="S361" s="4" t="s">
        <v>2835</v>
      </c>
      <c r="T361" s="6" t="s">
        <v>2836</v>
      </c>
      <c r="U361" s="3" t="str">
        <f t="shared" si="1"/>
        <v>Outstanding</v>
      </c>
      <c r="V361" s="15" t="s">
        <v>28</v>
      </c>
    </row>
    <row r="362" spans="1:22" ht="60" customHeight="1" x14ac:dyDescent="0.35">
      <c r="A362" s="13" t="s">
        <v>2823</v>
      </c>
      <c r="B362" s="2" t="s">
        <v>2837</v>
      </c>
      <c r="C362" s="1" t="s">
        <v>2838</v>
      </c>
      <c r="D362" s="3" t="s">
        <v>25</v>
      </c>
      <c r="E362" s="3" t="s">
        <v>26</v>
      </c>
      <c r="F362" s="3" t="s">
        <v>27</v>
      </c>
      <c r="G362" s="3" t="s">
        <v>28</v>
      </c>
      <c r="H362" s="4" t="s">
        <v>28</v>
      </c>
      <c r="I362" s="4" t="s">
        <v>2839</v>
      </c>
      <c r="J362" s="4" t="s">
        <v>2840</v>
      </c>
      <c r="K362" s="5" t="s">
        <v>2828</v>
      </c>
      <c r="L362" s="5" t="s">
        <v>2841</v>
      </c>
      <c r="M362" s="4" t="s">
        <v>2842</v>
      </c>
      <c r="N362" s="4" t="s">
        <v>2831</v>
      </c>
      <c r="O362" s="4" t="s">
        <v>2832</v>
      </c>
      <c r="P362" s="4" t="s">
        <v>36</v>
      </c>
      <c r="Q362" s="4" t="s">
        <v>2833</v>
      </c>
      <c r="R362" s="4" t="s">
        <v>2834</v>
      </c>
      <c r="S362" s="4" t="s">
        <v>2835</v>
      </c>
      <c r="T362" s="6" t="s">
        <v>2836</v>
      </c>
      <c r="U362" s="3" t="str">
        <f t="shared" si="1"/>
        <v>Outstanding</v>
      </c>
      <c r="V362" s="15" t="s">
        <v>28</v>
      </c>
    </row>
    <row r="363" spans="1:22" ht="60" customHeight="1" x14ac:dyDescent="0.35">
      <c r="A363" s="13" t="s">
        <v>2823</v>
      </c>
      <c r="B363" s="2" t="s">
        <v>2843</v>
      </c>
      <c r="C363" s="1" t="s">
        <v>2844</v>
      </c>
      <c r="D363" s="3" t="s">
        <v>25</v>
      </c>
      <c r="E363" s="3" t="s">
        <v>26</v>
      </c>
      <c r="F363" s="3" t="s">
        <v>27</v>
      </c>
      <c r="G363" s="3" t="s">
        <v>28</v>
      </c>
      <c r="H363" s="4" t="s">
        <v>28</v>
      </c>
      <c r="I363" s="4" t="s">
        <v>2845</v>
      </c>
      <c r="J363" s="4" t="s">
        <v>2846</v>
      </c>
      <c r="K363" s="5" t="s">
        <v>2828</v>
      </c>
      <c r="L363" s="5" t="s">
        <v>2847</v>
      </c>
      <c r="M363" s="4" t="s">
        <v>2848</v>
      </c>
      <c r="N363" s="4" t="s">
        <v>2831</v>
      </c>
      <c r="O363" s="4" t="s">
        <v>2832</v>
      </c>
      <c r="P363" s="4" t="s">
        <v>36</v>
      </c>
      <c r="Q363" s="4" t="s">
        <v>2833</v>
      </c>
      <c r="R363" s="4" t="s">
        <v>2834</v>
      </c>
      <c r="S363" s="4" t="s">
        <v>2835</v>
      </c>
      <c r="T363" s="6" t="s">
        <v>2836</v>
      </c>
      <c r="U363" s="3" t="str">
        <f t="shared" si="1"/>
        <v>Outstanding</v>
      </c>
      <c r="V363" s="15" t="s">
        <v>28</v>
      </c>
    </row>
    <row r="364" spans="1:22" ht="60" customHeight="1" x14ac:dyDescent="0.35">
      <c r="A364" s="13" t="s">
        <v>2823</v>
      </c>
      <c r="B364" s="2" t="s">
        <v>2849</v>
      </c>
      <c r="C364" s="1" t="s">
        <v>2850</v>
      </c>
      <c r="D364" s="3" t="s">
        <v>25</v>
      </c>
      <c r="E364" s="3" t="s">
        <v>26</v>
      </c>
      <c r="F364" s="3" t="s">
        <v>27</v>
      </c>
      <c r="G364" s="3" t="s">
        <v>28</v>
      </c>
      <c r="H364" s="4" t="s">
        <v>28</v>
      </c>
      <c r="I364" s="4" t="s">
        <v>2851</v>
      </c>
      <c r="J364" s="4" t="s">
        <v>2852</v>
      </c>
      <c r="K364" s="5" t="s">
        <v>2828</v>
      </c>
      <c r="L364" s="5" t="s">
        <v>2853</v>
      </c>
      <c r="M364" s="4" t="s">
        <v>2854</v>
      </c>
      <c r="N364" s="4" t="s">
        <v>2831</v>
      </c>
      <c r="O364" s="4" t="s">
        <v>2832</v>
      </c>
      <c r="P364" s="4" t="s">
        <v>36</v>
      </c>
      <c r="Q364" s="4" t="s">
        <v>2833</v>
      </c>
      <c r="R364" s="4" t="s">
        <v>2834</v>
      </c>
      <c r="S364" s="4" t="s">
        <v>2835</v>
      </c>
      <c r="T364" s="6" t="s">
        <v>2836</v>
      </c>
      <c r="U364" s="3" t="str">
        <f t="shared" si="1"/>
        <v>Outstanding</v>
      </c>
      <c r="V364" s="15" t="s">
        <v>28</v>
      </c>
    </row>
    <row r="365" spans="1:22" ht="60" customHeight="1" x14ac:dyDescent="0.35">
      <c r="A365" s="14" t="s">
        <v>2855</v>
      </c>
      <c r="B365" s="7" t="s">
        <v>2856</v>
      </c>
      <c r="C365" s="8" t="s">
        <v>2857</v>
      </c>
      <c r="D365" s="9" t="s">
        <v>25</v>
      </c>
      <c r="E365" s="9" t="s">
        <v>26</v>
      </c>
      <c r="F365" s="9" t="s">
        <v>27</v>
      </c>
      <c r="G365" s="9" t="s">
        <v>28</v>
      </c>
      <c r="H365" s="10" t="s">
        <v>28</v>
      </c>
      <c r="I365" s="10" t="s">
        <v>2858</v>
      </c>
      <c r="J365" s="10"/>
      <c r="K365" s="11" t="s">
        <v>2859</v>
      </c>
      <c r="L365" s="11" t="s">
        <v>2860</v>
      </c>
      <c r="M365" s="10"/>
      <c r="N365" s="10"/>
      <c r="O365" s="10"/>
      <c r="P365" s="10"/>
      <c r="Q365" s="10"/>
      <c r="R365" s="10"/>
      <c r="S365" s="10"/>
      <c r="T365" s="12"/>
      <c r="U365" s="9" t="str">
        <f t="shared" si="1"/>
        <v>Outstanding</v>
      </c>
      <c r="V365" s="16" t="s">
        <v>28</v>
      </c>
    </row>
    <row r="369" spans="1:4" ht="32" customHeight="1" x14ac:dyDescent="0.35">
      <c r="A369" s="266" t="s">
        <v>2861</v>
      </c>
      <c r="B369" s="266"/>
      <c r="C369" s="266"/>
      <c r="D369" s="266"/>
    </row>
  </sheetData>
  <mergeCells count="1">
    <mergeCell ref="A369:D369"/>
  </mergeCells>
  <conditionalFormatting sqref="D2:D365">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365">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365">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365" xr:uid="{00000000-0002-0000-0200-000000000000}">
      <formula1>"Must,Should,Could,Won't,Unassigned"</formula1>
    </dataValidation>
    <dataValidation type="list" showErrorMessage="1" errorTitle="Invalid Value" error="Please select a value from the list: Low, Medium, High, Unassessed." sqref="E2:E365" xr:uid="{00000000-0002-0000-0200-000001000000}">
      <formula1>"Low,Medium,High,Unassessed"</formula1>
    </dataValidation>
    <dataValidation type="list" showErrorMessage="1" errorTitle="Invalid Value" error="Please select a value from the list: Phase1, Phase2, Phase3, Phase4, Phase5, Pending." sqref="F2:F36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5" xr:uid="{00000000-0002-0000-0200-000003000000}">
      <formula1>"Implemented,Testing,Failed,Compensated,Risk Accepted,N/A"</formula1>
    </dataValidation>
  </dataValidations>
  <hyperlinks>
    <hyperlink ref="K2" r:id="rId1" location="control-panel--personalization-1" xr:uid="{00000000-0004-0000-0200-000000000000}"/>
    <hyperlink ref="L2" r:id="rId2" location="preventenablinglockscreencamera" xr:uid="{00000000-0004-0000-0200-000001000000}"/>
    <hyperlink ref="K3" r:id="rId3" location="control-panel--personalization-1" xr:uid="{00000000-0004-0000-0200-000002000000}"/>
    <hyperlink ref="L3" r:id="rId4" location="preventlockscreenslideshow" xr:uid="{00000000-0004-0000-0200-000003000000}"/>
    <hyperlink ref="K4" r:id="rId5" location="ms-security-guide-1" xr:uid="{00000000-0004-0000-0200-000004000000}"/>
    <hyperlink ref="L4" r:id="rId6" location="applyuacrestrictionstolocalaccountsonnetworklogon" xr:uid="{00000000-0004-0000-0200-000005000000}"/>
    <hyperlink ref="K5" r:id="rId7" location="ms-security-guide-1" xr:uid="{00000000-0004-0000-0200-000006000000}"/>
    <hyperlink ref="L5" r:id="rId8" location="configuresmbv1clientdriver" xr:uid="{00000000-0004-0000-0200-000007000000}"/>
    <hyperlink ref="K6" r:id="rId9" location="ms-security-guide-1" xr:uid="{00000000-0004-0000-0200-000008000000}"/>
    <hyperlink ref="L6" r:id="rId10" location="configuresmbv1server" xr:uid="{00000000-0004-0000-0200-000009000000}"/>
    <hyperlink ref="K7" r:id="rId11" location="ms-security-guide-1" xr:uid="{00000000-0004-0000-0200-00000A000000}"/>
    <hyperlink ref="L7" r:id="rId12" location="enablestructuredexceptionhandlingoverwriteprotection" xr:uid="{00000000-0004-0000-0200-00000B000000}"/>
    <hyperlink ref="K8" r:id="rId13" location="ms-security-guide-1" xr:uid="{00000000-0004-0000-0200-00000C000000}"/>
    <hyperlink ref="L8" r:id="rId14" location="wdigestauthentication" xr:uid="{00000000-0004-0000-0200-00000D000000}"/>
    <hyperlink ref="K9" r:id="rId15" location="mss-legacy-1" xr:uid="{00000000-0004-0000-0200-00000E000000}"/>
    <hyperlink ref="L9" r:id="rId16" location="ipv6sourceroutingprotectionlevel" xr:uid="{00000000-0004-0000-0200-00000F000000}"/>
    <hyperlink ref="K10" r:id="rId17" location="mss-legacy-1" xr:uid="{00000000-0004-0000-0200-000010000000}"/>
    <hyperlink ref="L10" r:id="rId18" location="ipsourceroutingprotectionlevel" xr:uid="{00000000-0004-0000-0200-000011000000}"/>
    <hyperlink ref="K11" r:id="rId19" location="mss-legacy-1" xr:uid="{00000000-0004-0000-0200-000012000000}"/>
    <hyperlink ref="L11" r:id="rId20" location="allowicmpredirectstooverrideospfgeneratedroutes" xr:uid="{00000000-0004-0000-0200-000013000000}"/>
    <hyperlink ref="K12" r:id="rId21" location="mss-legacy-1" xr:uid="{00000000-0004-0000-0200-000014000000}"/>
    <hyperlink ref="L12" r:id="rId22" location="allowthecomputertoignorenetbiosnamereleaserequestsexceptfromwinsservers" xr:uid="{00000000-0004-0000-0200-000015000000}"/>
    <hyperlink ref="K13" r:id="rId23" location="network--dns-client-1" xr:uid="{00000000-0004-0000-0200-000016000000}"/>
    <hyperlink ref="L13" r:id="rId24" location="turn_off_multicast" xr:uid="{00000000-0004-0000-0200-000017000000}"/>
    <hyperlink ref="K14" r:id="rId25" location="network--network-connections-1" xr:uid="{00000000-0004-0000-0200-000018000000}"/>
    <hyperlink ref="L14" r:id="rId26" location="nc-showsharedaccessui" xr:uid="{00000000-0004-0000-0200-000019000000}"/>
    <hyperlink ref="K15" r:id="rId27" location="network--network-provider-1" xr:uid="{00000000-0004-0000-0200-00001A000000}"/>
    <hyperlink ref="L15" r:id="rId28" location="hardeneduncpaths" xr:uid="{00000000-0004-0000-0200-00001B000000}"/>
    <hyperlink ref="K16" r:id="rId29" location="network--windows-connection-manager-1" xr:uid="{00000000-0004-0000-0200-00001C000000}"/>
    <hyperlink ref="L16" r:id="rId30" location="prohitconnectiontonondomainnetworkswhenconnectedtodomainauthenticatednetwork" xr:uid="{00000000-0004-0000-0200-00001D000000}"/>
    <hyperlink ref="K17" r:id="rId31" location="printers-1" xr:uid="{00000000-0004-0000-0200-00001E000000}"/>
    <hyperlink ref="L17" r:id="rId32" location="configureredirectionguardpolicy" xr:uid="{00000000-0004-0000-0200-00001F000000}"/>
    <hyperlink ref="K18" r:id="rId33" location="printers-1" xr:uid="{00000000-0004-0000-0200-000020000000}"/>
    <hyperlink ref="L18" r:id="rId34" location="configurerpcconnectionpolicy" xr:uid="{00000000-0004-0000-0200-000021000000}"/>
    <hyperlink ref="K19" r:id="rId35" location="printers-1" xr:uid="{00000000-0004-0000-0200-000022000000}"/>
    <hyperlink ref="L19" r:id="rId36" location="configurerpcconnectionpolicy" xr:uid="{00000000-0004-0000-0200-000023000000}"/>
    <hyperlink ref="K20" r:id="rId37" location="printers-1" xr:uid="{00000000-0004-0000-0200-000024000000}"/>
    <hyperlink ref="L20" r:id="rId38" location="configurerpclistenerpolicy" xr:uid="{00000000-0004-0000-0200-000025000000}"/>
    <hyperlink ref="K21" r:id="rId39" location="printers-1" xr:uid="{00000000-0004-0000-0200-000026000000}"/>
    <hyperlink ref="L21" r:id="rId40" location="configurerpclistenerpolicy" xr:uid="{00000000-0004-0000-0200-000027000000}"/>
    <hyperlink ref="K22" r:id="rId41" location="printers-1" xr:uid="{00000000-0004-0000-0200-000028000000}"/>
    <hyperlink ref="L22" r:id="rId42" location="configurerpctcpport" xr:uid="{00000000-0004-0000-0200-000029000000}"/>
    <hyperlink ref="K23" r:id="rId43" location="printers-1" xr:uid="{00000000-0004-0000-0200-00002A000000}"/>
    <hyperlink ref="L23" r:id="rId44" location="restrictdriverinstallationtoadministrators" xr:uid="{00000000-0004-0000-0200-00002B000000}"/>
    <hyperlink ref="K24" r:id="rId45" location="printers-1" xr:uid="{00000000-0004-0000-0200-00002C000000}"/>
    <hyperlink ref="L24" r:id="rId46" location="configurecopyfilespolicy" xr:uid="{00000000-0004-0000-0200-00002D000000}"/>
    <hyperlink ref="K25" r:id="rId47" location="start-menu-and-taskbar--notifications-1" xr:uid="{00000000-0004-0000-0200-00002E000000}"/>
    <hyperlink ref="L25" r:id="rId48" location="nolockscreentoastnotification" xr:uid="{00000000-0004-0000-0200-00002F000000}"/>
    <hyperlink ref="K26" r:id="rId49" location="system--credentials-delegation-1" xr:uid="{00000000-0004-0000-0200-000030000000}"/>
    <hyperlink ref="L26" r:id="rId50" location="allowencryptionoracle" xr:uid="{00000000-0004-0000-0200-000031000000}"/>
    <hyperlink ref="K27" r:id="rId51" location="system--credentials-delegation-1" xr:uid="{00000000-0004-0000-0200-000032000000}"/>
    <hyperlink ref="L27" r:id="rId52" location="remotehostallowsdelegationofnonexportablecredentials" xr:uid="{00000000-0004-0000-0200-000033000000}"/>
    <hyperlink ref="K28" r:id="rId53" location="system--device-installation--device-installation-restrictions-1" xr:uid="{00000000-0004-0000-0200-000034000000}"/>
    <hyperlink ref="L28" r:id="rId54" location="preventinstallationofmatchingdevicesetupclasses" xr:uid="{00000000-0004-0000-0200-000035000000}"/>
    <hyperlink ref="K29" r:id="rId55" location="system--device-installation--device-installation-restrictions-1" xr:uid="{00000000-0004-0000-0200-000036000000}"/>
    <hyperlink ref="L29" r:id="rId56" location="preventinstallationofmatchingdevicesetupclasses" xr:uid="{00000000-0004-0000-0200-000037000000}"/>
    <hyperlink ref="K30" r:id="rId57" location="system--early-launch-antimalware-1" xr:uid="{00000000-0004-0000-0200-000038000000}"/>
    <hyperlink ref="L30" r:id="rId58" location="bootstartdriverinitialization" xr:uid="{00000000-0004-0000-0200-000039000000}"/>
    <hyperlink ref="K31" r:id="rId59" location="system--group-policy-1" xr:uid="{00000000-0004-0000-0200-00003A000000}"/>
    <hyperlink ref="L31" r:id="rId60" location="cse-registry" xr:uid="{00000000-0004-0000-0200-00003B000000}"/>
    <hyperlink ref="K32" r:id="rId61" location="system--group-policy-1" xr:uid="{00000000-0004-0000-0200-00003C000000}"/>
    <hyperlink ref="L32" r:id="rId62" location="cse-registry" xr:uid="{00000000-0004-0000-0200-00003D000000}"/>
    <hyperlink ref="K33" r:id="rId63" location="system--internet-communication-management--internet-communication-settings-1" xr:uid="{00000000-0004-0000-0200-00003E000000}"/>
    <hyperlink ref="L33" r:id="rId64" location="disabledownloadingofprintdriversoverhttp" xr:uid="{00000000-0004-0000-0200-00003F000000}"/>
    <hyperlink ref="K34" r:id="rId65" location="system--internet-communication-management--internet-communication-settings-1" xr:uid="{00000000-0004-0000-0200-000040000000}"/>
    <hyperlink ref="L34" r:id="rId66" location="disableinternetdownloadforwebpublishingandonlineorderingwizards" xr:uid="{00000000-0004-0000-0200-000041000000}"/>
    <hyperlink ref="K35" r:id="rId67" location="system--local-security-authority-1" xr:uid="{00000000-0004-0000-0200-000042000000}"/>
    <hyperlink ref="L35" r:id="rId68" location="allowcustomsspsaps" xr:uid="{00000000-0004-0000-0200-000043000000}"/>
    <hyperlink ref="K36" r:id="rId69" location="system--power-management--sleep-settings-1" xr:uid="{00000000-0004-0000-0200-000044000000}"/>
    <hyperlink ref="L36" r:id="rId70" location="allowstandbystateswhensleepingonbattery" xr:uid="{00000000-0004-0000-0200-000045000000}"/>
    <hyperlink ref="K37" r:id="rId71" location="system--power-management--sleep-settings-1" xr:uid="{00000000-0004-0000-0200-000046000000}"/>
    <hyperlink ref="L37" r:id="rId72" location="allowstandbywhensleepingpluggedin" xr:uid="{00000000-0004-0000-0200-000047000000}"/>
    <hyperlink ref="K38" r:id="rId73" location="system--power-management--sleep-settings-1" xr:uid="{00000000-0004-0000-0200-000048000000}"/>
    <hyperlink ref="L38" r:id="rId74" location="requirepasswordwhencomputerwakesonbattery" xr:uid="{00000000-0004-0000-0200-000049000000}"/>
    <hyperlink ref="K39" r:id="rId75" location="system--power-management--sleep-settings-1" xr:uid="{00000000-0004-0000-0200-00004A000000}"/>
    <hyperlink ref="L39" r:id="rId76" location="requirepasswordwhencomputerwakespluggedin" xr:uid="{00000000-0004-0000-0200-00004B000000}"/>
    <hyperlink ref="K40" r:id="rId77" location="system--remote-assistance-1" xr:uid="{00000000-0004-0000-0200-00004C000000}"/>
    <hyperlink ref="L40" r:id="rId78" location="solicitedremoteassistance" xr:uid="{00000000-0004-0000-0200-00004D000000}"/>
    <hyperlink ref="K41" r:id="rId79" location="system--remote-procedure-call-1" xr:uid="{00000000-0004-0000-0200-00004E000000}"/>
    <hyperlink ref="L41" r:id="rId80" location="restrictunauthenticatedrpcclients" xr:uid="{00000000-0004-0000-0200-00004F000000}"/>
    <hyperlink ref="K42" r:id="rId81" location="windows-components--app-runtime-1" xr:uid="{00000000-0004-0000-0200-000050000000}"/>
    <hyperlink ref="L42" r:id="rId82" location="allowmicrosoftaccountstobeoptional" xr:uid="{00000000-0004-0000-0200-000051000000}"/>
    <hyperlink ref="K43" r:id="rId83" location="windows-components--autoplay-policies-1" xr:uid="{00000000-0004-0000-0200-000052000000}"/>
    <hyperlink ref="L43" r:id="rId84" location="disallowautoplayfornonvolumedevices" xr:uid="{00000000-0004-0000-0200-000053000000}"/>
    <hyperlink ref="K44" r:id="rId85" location="windows-components--autoplay-policies-1" xr:uid="{00000000-0004-0000-0200-000054000000}"/>
    <hyperlink ref="L44" r:id="rId86" location="setdefaultautorunbehavior" xr:uid="{00000000-0004-0000-0200-000055000000}"/>
    <hyperlink ref="K45" r:id="rId87" location="windows-components--autoplay-policies-1" xr:uid="{00000000-0004-0000-0200-000056000000}"/>
    <hyperlink ref="L45" r:id="rId88" location="turnoffautoplay" xr:uid="{00000000-0004-0000-0200-000057000000}"/>
    <hyperlink ref="K46" r:id="rId89" location="windows-components--bitlocker-drive-encryption--fixed-data-drives-1" xr:uid="{00000000-0004-0000-0200-000058000000}"/>
    <hyperlink ref="L46" r:id="rId90" location="fixeddrivesrequireencryption" xr:uid="{00000000-0004-0000-0200-000059000000}"/>
    <hyperlink ref="K47" r:id="rId91" location="windows-components--bitlocker-drive-encryption--removable-data-drives-1" xr:uid="{00000000-0004-0000-0200-00005A000000}"/>
    <hyperlink ref="L47" r:id="rId92" location="removabledrivesrequireencryption" xr:uid="{00000000-0004-0000-0200-00005B000000}"/>
    <hyperlink ref="K48" r:id="rId93" location="windows-components--credential-user-interface-1" xr:uid="{00000000-0004-0000-0200-00005C000000}"/>
    <hyperlink ref="L48" r:id="rId94" location="enumerateadministrators" xr:uid="{00000000-0004-0000-0200-00005D000000}"/>
    <hyperlink ref="K49" r:id="rId95" location="windows-components--event-log-service--application-1" xr:uid="{00000000-0004-0000-0200-00005E000000}"/>
    <hyperlink ref="L49" r:id="rId96" location="specifymaximumfilesizeapplicationlog" xr:uid="{00000000-0004-0000-0200-00005F000000}"/>
    <hyperlink ref="K50" r:id="rId97" location="windows-components--event-log-service--security-1" xr:uid="{00000000-0004-0000-0200-000060000000}"/>
    <hyperlink ref="L50" r:id="rId98" location="specifymaximumfilesizesecuritylog" xr:uid="{00000000-0004-0000-0200-000061000000}"/>
    <hyperlink ref="K51" r:id="rId99" location="windows-components--event-log-service--system-1" xr:uid="{00000000-0004-0000-0200-000062000000}"/>
    <hyperlink ref="L51" r:id="rId100" location="specifymaximumfilesizesystemlog" xr:uid="{00000000-0004-0000-0200-000063000000}"/>
    <hyperlink ref="K52" r:id="rId101" location="windows-components--file-explorer-1" xr:uid="{00000000-0004-0000-0200-000064000000}"/>
    <hyperlink ref="L52" r:id="rId102" location="enablesmartscreen" xr:uid="{00000000-0004-0000-0200-000065000000}"/>
    <hyperlink ref="K53" r:id="rId103" location="windows-components--file-explorer-1" xr:uid="{00000000-0004-0000-0200-000066000000}"/>
    <hyperlink ref="L53" r:id="rId104" location="turnoffdataexecutionpreventionforexplorer" xr:uid="{00000000-0004-0000-0200-000067000000}"/>
    <hyperlink ref="K54" r:id="rId105" location="windows-components--file-explorer-1" xr:uid="{00000000-0004-0000-0200-000068000000}"/>
    <hyperlink ref="L54" r:id="rId106" location="turnoffheapterminationoncorruption" xr:uid="{00000000-0004-0000-0200-000069000000}"/>
    <hyperlink ref="K55" r:id="rId107" location="windows-components--internet-explorer-1" xr:uid="{00000000-0004-0000-0200-00006A000000}"/>
    <hyperlink ref="L55" r:id="rId108" location="disablebypassofsmartscreenwarnings" xr:uid="{00000000-0004-0000-0200-00006B000000}"/>
    <hyperlink ref="K56" r:id="rId109" location="windows-components--internet-explorer--internet-control-panel-1" xr:uid="{00000000-0004-0000-0200-00006C000000}"/>
    <hyperlink ref="L56" r:id="rId110" location="disableignoringcertificateerrors" xr:uid="{00000000-0004-0000-0200-00006D000000}"/>
    <hyperlink ref="K57" r:id="rId111" location="windows-components--internet-explorer--internet-control-panel--advanced-page-1" xr:uid="{00000000-0004-0000-0200-00006E000000}"/>
    <hyperlink ref="L57" r:id="rId112" location="allowsoftwarewhensignatureisinvalid" xr:uid="{00000000-0004-0000-0200-00006F000000}"/>
    <hyperlink ref="K58" r:id="rId113" location="windows-components--internet-explorer--internet-control-panel--advanced-page-1" xr:uid="{00000000-0004-0000-0200-000070000000}"/>
    <hyperlink ref="L58" r:id="rId114" location="checkservercertificaterevocation" xr:uid="{00000000-0004-0000-0200-000071000000}"/>
    <hyperlink ref="K59" r:id="rId115" location="windows-components--internet-explorer--internet-control-panel--advanced-page-1" xr:uid="{00000000-0004-0000-0200-000072000000}"/>
    <hyperlink ref="L59" r:id="rId116" location="checksignaturesondownloadedprograms" xr:uid="{00000000-0004-0000-0200-000073000000}"/>
    <hyperlink ref="K60" r:id="rId117" location="windows-components--internet-explorer--internet-control-panel--advanced-page-1" xr:uid="{00000000-0004-0000-0200-000074000000}"/>
    <hyperlink ref="L60" r:id="rId118" location="donotallowactivexcontrolsinprotectedmode" xr:uid="{00000000-0004-0000-0200-000075000000}"/>
    <hyperlink ref="K61" r:id="rId119" location="windows-components--internet-explorer--internet-control-panel--advanced-page-1" xr:uid="{00000000-0004-0000-0200-000076000000}"/>
    <hyperlink ref="L61" r:id="rId120" location="disableencryptionsupport" xr:uid="{00000000-0004-0000-0200-000077000000}"/>
    <hyperlink ref="K62" r:id="rId121" location="windows-components--internet-explorer--internet-control-panel--advanced-page-1" xr:uid="{00000000-0004-0000-0200-000078000000}"/>
    <hyperlink ref="L62" r:id="rId122" location="disableprocessesinenhancedprotectedmode" xr:uid="{00000000-0004-0000-0200-000079000000}"/>
    <hyperlink ref="K63" r:id="rId123" location="windows-components--internet-explorer--internet-control-panel--advanced-page-1" xr:uid="{00000000-0004-0000-0200-00007A000000}"/>
    <hyperlink ref="L63" r:id="rId124" location="allowenhancedprotectedmode" xr:uid="{00000000-0004-0000-0200-00007B000000}"/>
    <hyperlink ref="K64" r:id="rId125" location="windows-components--internet-explorer--internet-control-panel--security-page-1" xr:uid="{00000000-0004-0000-0200-00007C000000}"/>
    <hyperlink ref="L64" r:id="rId126" location="includeallnetworkpaths" xr:uid="{00000000-0004-0000-0200-00007D000000}"/>
    <hyperlink ref="K65" r:id="rId127" location="windows-components--internet-explorer--internet-control-panel--security-page--internet-zone-1" xr:uid="{00000000-0004-0000-0200-00007E000000}"/>
    <hyperlink ref="L65" r:id="rId128" location="internetzoneallowaccesstodatasources" xr:uid="{00000000-0004-0000-0200-00007F000000}"/>
    <hyperlink ref="K66" r:id="rId129" location="windows-components--internet-explorer--internet-control-panel--security-page--internet-zone-1" xr:uid="{00000000-0004-0000-0200-000080000000}"/>
    <hyperlink ref="L66" r:id="rId130" location="internetzoneallowcopypasteviascript" xr:uid="{00000000-0004-0000-0200-000081000000}"/>
    <hyperlink ref="K67" r:id="rId131" location="windows-components--internet-explorer--internet-control-panel--security-page--internet-zone-1" xr:uid="{00000000-0004-0000-0200-000082000000}"/>
    <hyperlink ref="L67" r:id="rId132" location="internetzoneallowdraganddropcopyandpastefiles" xr:uid="{00000000-0004-0000-0200-000083000000}"/>
    <hyperlink ref="K68" r:id="rId133" location="windows-components--internet-explorer--internet-control-panel--security-page--internet-zone-1" xr:uid="{00000000-0004-0000-0200-000084000000}"/>
    <hyperlink ref="L68" r:id="rId134" location="internetzoneallowloadingofxamlfiles" xr:uid="{00000000-0004-0000-0200-000085000000}"/>
    <hyperlink ref="K69" r:id="rId135" location="windows-components--internet-explorer--internet-control-panel--security-page--internet-zone-1" xr:uid="{00000000-0004-0000-0200-000086000000}"/>
    <hyperlink ref="L69" r:id="rId136" location="internetzoneallowonlyapproveddomainstouseactivexcontrols" xr:uid="{00000000-0004-0000-0200-000087000000}"/>
    <hyperlink ref="K70" r:id="rId137" location="windows-components--internet-explorer--internet-control-panel--security-page--internet-zone-1" xr:uid="{00000000-0004-0000-0200-000088000000}"/>
    <hyperlink ref="L70" r:id="rId138" location="internetzoneallowonlyapproveddomainstousetdcactivexcontrol" xr:uid="{00000000-0004-0000-0200-000089000000}"/>
    <hyperlink ref="K71" r:id="rId139" location="windows-components--internet-explorer--internet-control-panel--security-page--internet-zone-1" xr:uid="{00000000-0004-0000-0200-00008A000000}"/>
    <hyperlink ref="L71" r:id="rId140" location="internetzoneallowscriptinitiatedwindows" xr:uid="{00000000-0004-0000-0200-00008B000000}"/>
    <hyperlink ref="K72" r:id="rId141" location="windows-components--internet-explorer--internet-control-panel--security-page--internet-zone-1" xr:uid="{00000000-0004-0000-0200-00008C000000}"/>
    <hyperlink ref="L72" r:id="rId142" location="internetzoneallowscriptingofinternetexplorerwebbrowsercontrols" xr:uid="{00000000-0004-0000-0200-00008D000000}"/>
    <hyperlink ref="K73" r:id="rId143" location="windows-components--internet-explorer--internet-control-panel--security-page--internet-zone-1" xr:uid="{00000000-0004-0000-0200-00008E000000}"/>
    <hyperlink ref="L73" r:id="rId144" location="internetzoneallowscriptlets" xr:uid="{00000000-0004-0000-0200-00008F000000}"/>
    <hyperlink ref="K74" r:id="rId145" location="windows-components--internet-explorer--internet-control-panel--security-page--internet-zone-1" xr:uid="{00000000-0004-0000-0200-000090000000}"/>
    <hyperlink ref="L74" r:id="rId146" location="internetzoneallowupdatestostatusbarviascript" xr:uid="{00000000-0004-0000-0200-000091000000}"/>
    <hyperlink ref="K75" r:id="rId147" location="windows-components--internet-explorer--internet-control-panel--security-page--internet-zone-1" xr:uid="{00000000-0004-0000-0200-000092000000}"/>
    <hyperlink ref="L75" r:id="rId148" location="internetzoneallowvbscripttorunininternetexplorer" xr:uid="{00000000-0004-0000-0200-000093000000}"/>
    <hyperlink ref="K76" r:id="rId149" location="windows-components--internet-explorer--internet-control-panel--security-page--internet-zone-1" xr:uid="{00000000-0004-0000-0200-000094000000}"/>
    <hyperlink ref="L76" r:id="rId150" location="internetzoneallowautomaticpromptingforfiledownloads" xr:uid="{00000000-0004-0000-0200-000095000000}"/>
    <hyperlink ref="K77" r:id="rId151" location="windows-components--internet-explorer--internet-control-panel--security-page--internet-zone-1" xr:uid="{00000000-0004-0000-0200-000096000000}"/>
    <hyperlink ref="L77" r:id="rId152" location="internetzonedonotrunantimalwareagainstactivexcontrols" xr:uid="{00000000-0004-0000-0200-000097000000}"/>
    <hyperlink ref="K78" r:id="rId153" location="windows-components--internet-explorer--internet-control-panel--security-page--internet-zone-1" xr:uid="{00000000-0004-0000-0200-000098000000}"/>
    <hyperlink ref="L78" r:id="rId154" location="internetzonedownloadsignedactivexcontrols" xr:uid="{00000000-0004-0000-0200-000099000000}"/>
    <hyperlink ref="K79" r:id="rId155" location="windows-components--internet-explorer--internet-control-panel--security-page--internet-zone-1" xr:uid="{00000000-0004-0000-0200-00009A000000}"/>
    <hyperlink ref="L79" r:id="rId156" location="internetzonedownloadunsignedactivexcontrols" xr:uid="{00000000-0004-0000-0200-00009B000000}"/>
    <hyperlink ref="K80" r:id="rId157" location="windows-components--internet-explorer--internet-control-panel--security-page--internet-zone-1" xr:uid="{00000000-0004-0000-0200-00009C000000}"/>
    <hyperlink ref="L80" r:id="rId158" location="internetzoneenabledraggingofcontentfromdifferentdomainsacrosswindows" xr:uid="{00000000-0004-0000-0200-00009D000000}"/>
    <hyperlink ref="K81" r:id="rId159" location="windows-components--internet-explorer--internet-control-panel--security-page--internet-zone-1" xr:uid="{00000000-0004-0000-0200-00009E000000}"/>
    <hyperlink ref="L81" r:id="rId160" location="internetzoneenabledraggingofcontentfromdifferentdomainsacrosswindows" xr:uid="{00000000-0004-0000-0200-00009F000000}"/>
    <hyperlink ref="K82" r:id="rId161" location="windows-components--internet-explorer--internet-control-panel--security-page--internet-zone-1" xr:uid="{00000000-0004-0000-0200-0000A0000000}"/>
    <hyperlink ref="L82" r:id="rId162" location="internetzoneincludelocalpathwhenuploadingfilestoserver" xr:uid="{00000000-0004-0000-0200-0000A1000000}"/>
    <hyperlink ref="K83" r:id="rId163" location="windows-components--internet-explorer--internet-control-panel--security-page--internet-zone-1" xr:uid="{00000000-0004-0000-0200-0000A2000000}"/>
    <hyperlink ref="L83" r:id="rId164" location="internetzoneinitializeandscriptactivexcontrols" xr:uid="{00000000-0004-0000-0200-0000A3000000}"/>
    <hyperlink ref="K84" r:id="rId165" location="windows-components--internet-explorer--internet-control-panel--security-page--internet-zone-1" xr:uid="{00000000-0004-0000-0200-0000A4000000}"/>
    <hyperlink ref="L84" r:id="rId166" location="internetzonejavapermissions" xr:uid="{00000000-0004-0000-0200-0000A5000000}"/>
    <hyperlink ref="K85" r:id="rId167" location="windows-components--internet-explorer--internet-control-panel--security-page--internet-zone-1" xr:uid="{00000000-0004-0000-0200-0000A6000000}"/>
    <hyperlink ref="L85" r:id="rId168" location="internetzonelaunchingapplicationsandfilesiniframe" xr:uid="{00000000-0004-0000-0200-0000A7000000}"/>
    <hyperlink ref="K86" r:id="rId169" location="windows-components--internet-explorer--internet-control-panel--security-page--internet-zone-1" xr:uid="{00000000-0004-0000-0200-0000A8000000}"/>
    <hyperlink ref="L86" r:id="rId170" location="internetzonelogonoptions" xr:uid="{00000000-0004-0000-0200-0000A9000000}"/>
    <hyperlink ref="K87" r:id="rId171" location="windows-components--internet-explorer--internet-control-panel--security-page--internet-zone-1" xr:uid="{00000000-0004-0000-0200-0000AA000000}"/>
    <hyperlink ref="L87" r:id="rId172" location="internetzonenavigatewindowsandframes" xr:uid="{00000000-0004-0000-0200-0000AB000000}"/>
    <hyperlink ref="K88" r:id="rId173" location="windows-components--internet-explorer--internet-control-panel--security-page--internet-zone-1" xr:uid="{00000000-0004-0000-0200-0000AC000000}"/>
    <hyperlink ref="L88" r:id="rId174" location="internetzoneallownetframeworkreliantcomponents" xr:uid="{00000000-0004-0000-0200-0000AD000000}"/>
    <hyperlink ref="K89" r:id="rId175" location="windows-components--internet-explorer--internet-control-panel--security-page--internet-zone-1" xr:uid="{00000000-0004-0000-0200-0000AE000000}"/>
    <hyperlink ref="L89" r:id="rId176" location="internetzonerunnetframeworkreliantcomponentssignedwithauthenticode" xr:uid="{00000000-0004-0000-0200-0000AF000000}"/>
    <hyperlink ref="K90" r:id="rId177" location="windows-components--internet-explorer--internet-control-panel--security-page--internet-zone-1" xr:uid="{00000000-0004-0000-0200-0000B0000000}"/>
    <hyperlink ref="L90" r:id="rId178" location="internetzoneshowsecuritywarningforpotentiallyunsafefiles" xr:uid="{00000000-0004-0000-0200-0000B1000000}"/>
    <hyperlink ref="K91" r:id="rId179" location="windows-components--internet-explorer--internet-control-panel--security-page--internet-zone-1" xr:uid="{00000000-0004-0000-0200-0000B2000000}"/>
    <hyperlink ref="L91" r:id="rId180" location="internetzoneenablecrosssitescriptingfilter" xr:uid="{00000000-0004-0000-0200-0000B3000000}"/>
    <hyperlink ref="K92" r:id="rId181" location="windows-components--internet-explorer--internet-control-panel--security-page--internet-zone-1" xr:uid="{00000000-0004-0000-0200-0000B4000000}"/>
    <hyperlink ref="L92" r:id="rId182" location="internetzoneenableprotectedmode" xr:uid="{00000000-0004-0000-0200-0000B5000000}"/>
    <hyperlink ref="K93" r:id="rId183" location="windows-components--internet-explorer--internet-control-panel--security-page--internet-zone-1" xr:uid="{00000000-0004-0000-0200-0000B6000000}"/>
    <hyperlink ref="L93" r:id="rId184" location="internetzoneallowsmartscreenie" xr:uid="{00000000-0004-0000-0200-0000B7000000}"/>
    <hyperlink ref="K94" r:id="rId185" location="windows-components--internet-explorer--internet-control-panel--security-page--internet-zone-1" xr:uid="{00000000-0004-0000-0200-0000B8000000}"/>
    <hyperlink ref="L94" r:id="rId186" location="internetexplorer-internetzoneusepopupblocker" xr:uid="{00000000-0004-0000-0200-0000B9000000}"/>
    <hyperlink ref="K95" r:id="rId187" location="windows-components--internet-explorer--internet-control-panel--security-page--internet-zone-1" xr:uid="{00000000-0004-0000-0200-0000BA000000}"/>
    <hyperlink ref="L95" r:id="rId188" location="internetzoneallowuserdatapersistence" xr:uid="{00000000-0004-0000-0200-0000BB000000}"/>
    <hyperlink ref="K96" r:id="rId189" location="windows-components--internet-explorer--internet-control-panel--security-page--internet-zone-1" xr:uid="{00000000-0004-0000-0200-0000BC000000}"/>
    <hyperlink ref="L96" r:id="rId190" location="internetzoneallowlessprivilegedsites" xr:uid="{00000000-0004-0000-0200-0000BD000000}"/>
    <hyperlink ref="K97" r:id="rId191" location="windows-components--internet-explorer--internet-control-panel--security-page-1" xr:uid="{00000000-0004-0000-0200-0000BE000000}"/>
    <hyperlink ref="L97" r:id="rId192" location="allowcertificateaddressmismatchwarning" xr:uid="{00000000-0004-0000-0200-0000BF000000}"/>
    <hyperlink ref="K98" r:id="rId193" location="windows-components--internet-explorer--internet-control-panel--security-page--intranet-zone-1" xr:uid="{00000000-0004-0000-0200-0000C0000000}"/>
    <hyperlink ref="L98" r:id="rId194" location="intranetzonedonotrunantimalwareagainstactivexcontrols" xr:uid="{00000000-0004-0000-0200-0000C1000000}"/>
    <hyperlink ref="K99" r:id="rId195" location="windows-components--internet-explorer--internet-control-panel--security-page--intranet-zone-1" xr:uid="{00000000-0004-0000-0200-0000C2000000}"/>
    <hyperlink ref="L99" r:id="rId196" location="intranetzoneinitializeandscriptactivexcontrols" xr:uid="{00000000-0004-0000-0200-0000C3000000}"/>
    <hyperlink ref="K100" r:id="rId197" location="windows-components--internet-explorer--internet-control-panel--security-page--intranet-zone-1" xr:uid="{00000000-0004-0000-0200-0000C4000000}"/>
    <hyperlink ref="L100" r:id="rId198" location="intranetzonejavapermissions" xr:uid="{00000000-0004-0000-0200-0000C5000000}"/>
    <hyperlink ref="K101" r:id="rId199" location="windows-components--internet-explorer--internet-control-panel--security-page--local-machine-zone-1" xr:uid="{00000000-0004-0000-0200-0000C6000000}"/>
    <hyperlink ref="L101" r:id="rId200" location="localmachinezonedonotrunantimalwareagainstactivexcontrols" xr:uid="{00000000-0004-0000-0200-0000C7000000}"/>
    <hyperlink ref="K102" r:id="rId201" location="windows-components--internet-explorer--internet-control-panel--security-page--local-machine-zone-1" xr:uid="{00000000-0004-0000-0200-0000C8000000}"/>
    <hyperlink ref="L102" r:id="rId202" location="localmachinezonejavapermissions" xr:uid="{00000000-0004-0000-0200-0000C9000000}"/>
    <hyperlink ref="K103" r:id="rId203" location="windows-components--internet-explorer--internet-control-panel--security-page--locked-down-internet-zone-1" xr:uid="{00000000-0004-0000-0200-0000CA000000}"/>
    <hyperlink ref="L103" r:id="rId204" location="lockeddowninternetzoneallowsmartscreenie" xr:uid="{00000000-0004-0000-0200-0000CB000000}"/>
    <hyperlink ref="K104" r:id="rId205" location="windows-components--internet-explorer--internet-control-panel--security-page--locked-down-intranet-zone-1" xr:uid="{00000000-0004-0000-0200-0000CC000000}"/>
    <hyperlink ref="L104" r:id="rId206" location="lockeddownintranetjavapermissions" xr:uid="{00000000-0004-0000-0200-0000CD000000}"/>
    <hyperlink ref="K105" r:id="rId207" location="windows-components--internet-explorer--internet-control-panel--security-page--locked-down-local-machine-zone-1" xr:uid="{00000000-0004-0000-0200-0000CE000000}"/>
    <hyperlink ref="L105" r:id="rId208" location="lockeddownlocalmachinezonejavapermissions" xr:uid="{00000000-0004-0000-0200-0000CF000000}"/>
    <hyperlink ref="K106" r:id="rId209" location="windows-components--internet-explorer--internet-control-panel--security-page--locked-down-restricted-sites-zone-1" xr:uid="{00000000-0004-0000-0200-0000D0000000}"/>
    <hyperlink ref="L106" r:id="rId210" location="lockeddownlocalmachinezonejavapermissions" xr:uid="{00000000-0004-0000-0200-0000D1000000}"/>
    <hyperlink ref="K107" r:id="rId211" location="windows-components--internet-explorer--internet-control-panel--security-page--locked-down-restricted-sites-zone-1" xr:uid="{00000000-0004-0000-0200-0000D2000000}"/>
    <hyperlink ref="L107" r:id="rId212" location="lockeddownrestrictedsiteszoneallowsmartscreenie" xr:uid="{00000000-0004-0000-0200-0000D3000000}"/>
    <hyperlink ref="K108" r:id="rId213" location="windows-components--internet-explorer--internet-control-panel--security-page--locked-down-trusted-sites-zone-1" xr:uid="{00000000-0004-0000-0200-0000D4000000}"/>
    <hyperlink ref="L108" r:id="rId214" location="lockeddowntrustedsiteszonejavapermissions" xr:uid="{00000000-0004-0000-0200-0000D5000000}"/>
    <hyperlink ref="K109" r:id="rId215" location="windows-components--internet-explorer--internet-control-panel--security-page--restricted-sites-zone-1" xr:uid="{00000000-0004-0000-0200-0000D6000000}"/>
    <hyperlink ref="L109" r:id="rId216" location="restrictedsiteszoneallowaccesstodatasources" xr:uid="{00000000-0004-0000-0200-0000D7000000}"/>
    <hyperlink ref="K110" r:id="rId217" location="windows-components--internet-explorer--internet-control-panel--security-page--restricted-sites-zone-1" xr:uid="{00000000-0004-0000-0200-0000D8000000}"/>
    <hyperlink ref="L110" r:id="rId218" location="restrictedsiteszoneallowactivescripting" xr:uid="{00000000-0004-0000-0200-0000D9000000}"/>
    <hyperlink ref="K111" r:id="rId219" location="windows-components--internet-explorer--internet-control-panel--security-page--restricted-sites-zone-1" xr:uid="{00000000-0004-0000-0200-0000DA000000}"/>
    <hyperlink ref="L111" r:id="rId220" location="restrictedsiteszoneallowbinaryandscriptbehaviors" xr:uid="{00000000-0004-0000-0200-0000DB000000}"/>
    <hyperlink ref="K112" r:id="rId221" location="windows-components--internet-explorer--internet-control-panel--security-page--restricted-sites-zone-1" xr:uid="{00000000-0004-0000-0200-0000DC000000}"/>
    <hyperlink ref="L112" r:id="rId222" location="restrictedsiteszoneallowcopypasteviascript" xr:uid="{00000000-0004-0000-0200-0000DD000000}"/>
    <hyperlink ref="K113" r:id="rId223" location="windows-components--internet-explorer--internet-control-panel--security-page--restricted-sites-zone-1" xr:uid="{00000000-0004-0000-0200-0000DE000000}"/>
    <hyperlink ref="L113" r:id="rId224" location="restrictedsiteszoneallowdraganddropcopyandpastefiles" xr:uid="{00000000-0004-0000-0200-0000DF000000}"/>
    <hyperlink ref="K114" r:id="rId225" location="windows-components--internet-explorer--internet-control-panel--security-page--restricted-sites-zone-1" xr:uid="{00000000-0004-0000-0200-0000E0000000}"/>
    <hyperlink ref="L114" r:id="rId226" location="restrictedsiteszoneallowfiledownloads" xr:uid="{00000000-0004-0000-0200-0000E1000000}"/>
    <hyperlink ref="K115" r:id="rId227" location="windows-components--internet-explorer--internet-control-panel--security-page--restricted-sites-zone-1" xr:uid="{00000000-0004-0000-0200-0000E2000000}"/>
    <hyperlink ref="L115" r:id="rId228" location="restrictedsiteszoneallowloadingofxamlfiles" xr:uid="{00000000-0004-0000-0200-0000E3000000}"/>
    <hyperlink ref="K116" r:id="rId229" location="windows-components--internet-explorer--internet-control-panel--security-page--restricted-sites-zone-1" xr:uid="{00000000-0004-0000-0200-0000E4000000}"/>
    <hyperlink ref="L116" r:id="rId230" location="restrictedsiteszoneallowmetarefresh" xr:uid="{00000000-0004-0000-0200-0000E5000000}"/>
    <hyperlink ref="K117" r:id="rId231" location="windows-components--internet-explorer--internet-control-panel--security-page--restricted-sites-zone-1" xr:uid="{00000000-0004-0000-0200-0000E6000000}"/>
    <hyperlink ref="L117" r:id="rId232" location="restrictedsiteszoneallowonlyapproveddomainstouseactivexcontrols" xr:uid="{00000000-0004-0000-0200-0000E7000000}"/>
    <hyperlink ref="K118" r:id="rId233" location="windows-components--internet-explorer--internet-control-panel--security-page--restricted-sites-zone-1" xr:uid="{00000000-0004-0000-0200-0000E8000000}"/>
    <hyperlink ref="L118" r:id="rId234" location="restrictedsiteszoneallowonlyapproveddomainstousetdcactivexcontrol" xr:uid="{00000000-0004-0000-0200-0000E9000000}"/>
    <hyperlink ref="K119" r:id="rId235" location="windows-components--internet-explorer--internet-control-panel--security-page--restricted-sites-zone-1" xr:uid="{00000000-0004-0000-0200-0000EA000000}"/>
    <hyperlink ref="L119" r:id="rId236" location="restrictedsiteszoneallowscriptinitiatedwindows" xr:uid="{00000000-0004-0000-0200-0000EB000000}"/>
    <hyperlink ref="K120" r:id="rId237" location="windows-components--internet-explorer--internet-control-panel--security-page--restricted-sites-zone-1" xr:uid="{00000000-0004-0000-0200-0000EC000000}"/>
    <hyperlink ref="L120" r:id="rId238" location="restrictedsiteszoneallowscriptingofinternetexplorerwebbrowsercontrols" xr:uid="{00000000-0004-0000-0200-0000ED000000}"/>
    <hyperlink ref="K121" r:id="rId239" location="windows-components--internet-explorer--internet-control-panel--security-page--restricted-sites-zone-1" xr:uid="{00000000-0004-0000-0200-0000EE000000}"/>
    <hyperlink ref="L121" r:id="rId240" location="restrictedsiteszoneallowscriptlets" xr:uid="{00000000-0004-0000-0200-0000EF000000}"/>
    <hyperlink ref="K122" r:id="rId241" location="windows-components--internet-explorer--internet-control-panel--security-page--restricted-sites-zone-1" xr:uid="{00000000-0004-0000-0200-0000F0000000}"/>
    <hyperlink ref="L122" r:id="rId242" location="restrictedsiteszoneallowupdatestostatusbarviascript" xr:uid="{00000000-0004-0000-0200-0000F1000000}"/>
    <hyperlink ref="K123" r:id="rId243" location="windows-components--internet-explorer--internet-control-panel--security-page--restricted-sites-zone-1" xr:uid="{00000000-0004-0000-0200-0000F2000000}"/>
    <hyperlink ref="L123" r:id="rId244" location="restrictedsiteszoneallowvbscripttorunininternetexplorer" xr:uid="{00000000-0004-0000-0200-0000F3000000}"/>
    <hyperlink ref="K124" r:id="rId245" location="windows-components--internet-explorer--internet-control-panel--security-page--restricted-sites-zone-1" xr:uid="{00000000-0004-0000-0200-0000F4000000}"/>
    <hyperlink ref="L124" r:id="rId246" location="restrictedsiteszoneallowautomaticpromptingforfiledownloads" xr:uid="{00000000-0004-0000-0200-0000F5000000}"/>
    <hyperlink ref="K125" r:id="rId247" location="windows-components--internet-explorer--internet-control-panel--security-page--restricted-sites-zone-1" xr:uid="{00000000-0004-0000-0200-0000F6000000}"/>
    <hyperlink ref="L125" r:id="rId248" location="restrictedsiteszonedonotrunantimalwareagainstactivexcontrols" xr:uid="{00000000-0004-0000-0200-0000F7000000}"/>
    <hyperlink ref="K126" r:id="rId249" location="windows-components--internet-explorer--internet-control-panel--security-page--restricted-sites-zone-1" xr:uid="{00000000-0004-0000-0200-0000F8000000}"/>
    <hyperlink ref="L126" r:id="rId250" location="restrictedsiteszonedownloadsignedactivexcontrols" xr:uid="{00000000-0004-0000-0200-0000F9000000}"/>
    <hyperlink ref="K127" r:id="rId251" location="windows-components--internet-explorer--internet-control-panel--security-page--restricted-sites-zone-1" xr:uid="{00000000-0004-0000-0200-0000FA000000}"/>
    <hyperlink ref="L127" r:id="rId252" location="restrictedsiteszonedownloadunsignedactivexcontrols" xr:uid="{00000000-0004-0000-0200-0000FB000000}"/>
    <hyperlink ref="K128" r:id="rId253" location="windows-components--internet-explorer--internet-control-panel--security-page--restricted-sites-zone-1" xr:uid="{00000000-0004-0000-0200-0000FC000000}"/>
    <hyperlink ref="L128" r:id="rId254" location="restrictedsiteszoneenabledraggingofcontentfromdifferentdomainsacrosswindows" xr:uid="{00000000-0004-0000-0200-0000FD000000}"/>
    <hyperlink ref="K129" r:id="rId255" location="windows-components--internet-explorer--internet-control-panel--security-page--restricted-sites-zone-1" xr:uid="{00000000-0004-0000-0200-0000FE000000}"/>
    <hyperlink ref="L129" r:id="rId256" location="restrictedsiteszoneenabledraggingofcontentfromdifferentdomainswithinwindows" xr:uid="{00000000-0004-0000-0200-0000FF000000}"/>
    <hyperlink ref="K130" r:id="rId257" location="windows-components--internet-explorer--internet-control-panel--security-page--restricted-sites-zone-1" xr:uid="{00000000-0004-0000-0200-000000010000}"/>
    <hyperlink ref="L130" r:id="rId258" location="restrictedsiteszoneincludelocalpathwhenuploadingfilestoserver" xr:uid="{00000000-0004-0000-0200-000001010000}"/>
    <hyperlink ref="K131" r:id="rId259" location="windows-components--internet-explorer--internet-control-panel--security-page--restricted-sites-zone-1" xr:uid="{00000000-0004-0000-0200-000002010000}"/>
    <hyperlink ref="L131" r:id="rId260" location="restrictedsiteszoneinitializeandscriptactivexcontrols" xr:uid="{00000000-0004-0000-0200-000003010000}"/>
    <hyperlink ref="K132" r:id="rId261" location="windows-components--internet-explorer--internet-control-panel--security-page--restricted-sites-zone-1" xr:uid="{00000000-0004-0000-0200-000004010000}"/>
    <hyperlink ref="L132" r:id="rId262" location="restrictedsiteszonejavapermissions" xr:uid="{00000000-0004-0000-0200-000005010000}"/>
    <hyperlink ref="K133" r:id="rId263" location="windows-components--internet-explorer--internet-control-panel--security-page--restricted-sites-zone-1" xr:uid="{00000000-0004-0000-0200-000006010000}"/>
    <hyperlink ref="L133" r:id="rId264" location="restrictedsiteszonelaunchingapplicationsandfilesiniframe" xr:uid="{00000000-0004-0000-0200-000007010000}"/>
    <hyperlink ref="K134" r:id="rId265" location="windows-components--internet-explorer--internet-control-panel--security-page--restricted-sites-zone-1" xr:uid="{00000000-0004-0000-0200-000008010000}"/>
    <hyperlink ref="L134" r:id="rId266" location="restrictedsiteszonelogonoptions" xr:uid="{00000000-0004-0000-0200-000009010000}"/>
    <hyperlink ref="K135" r:id="rId267" location="windows-components--internet-explorer--internet-control-panel--security-page--restricted-sites-zone-1" xr:uid="{00000000-0004-0000-0200-00000A010000}"/>
    <hyperlink ref="L135" r:id="rId268" location="restrictedsiteszonenavigatewindowsandframes" xr:uid="{00000000-0004-0000-0200-00000B010000}"/>
    <hyperlink ref="K136" r:id="rId269" location="windows-components--internet-explorer--internet-control-panel--security-page--restricted-sites-zone-1" xr:uid="{00000000-0004-0000-0200-00000C010000}"/>
    <hyperlink ref="L136" r:id="rId270" location="restrictedsiteszoneallownetframeworkreliantcomponents" xr:uid="{00000000-0004-0000-0200-00000D010000}"/>
    <hyperlink ref="K137" r:id="rId271" location="windows-components--internet-explorer--internet-control-panel--security-page--restricted-sites-zone-1" xr:uid="{00000000-0004-0000-0200-00000E010000}"/>
    <hyperlink ref="L137" r:id="rId272" location="restrictedsiteszonerunnetframeworkreliantcomponentssignedwithauthenticode" xr:uid="{00000000-0004-0000-0200-00000F010000}"/>
    <hyperlink ref="K138" r:id="rId273" location="windows-components--internet-explorer--internet-control-panel--security-page--restricted-sites-zone-1" xr:uid="{00000000-0004-0000-0200-000010010000}"/>
    <hyperlink ref="L138" r:id="rId274" location="restrictedsiteszonerunactivexcontrolsandplugins" xr:uid="{00000000-0004-0000-0200-000011010000}"/>
    <hyperlink ref="K139" r:id="rId275" location="windows-components--internet-explorer--internet-control-panel--security-page--restricted-sites-zone-1" xr:uid="{00000000-0004-0000-0200-000012010000}"/>
    <hyperlink ref="L139" r:id="rId276" location="restrictedsiteszonescriptactivexcontrolsmarkedsafeforscripting" xr:uid="{00000000-0004-0000-0200-000013010000}"/>
    <hyperlink ref="K140" r:id="rId277" location="windows-components--internet-explorer--internet-control-panel--security-page--restricted-sites-zone-1" xr:uid="{00000000-0004-0000-0200-000014010000}"/>
    <hyperlink ref="L140" r:id="rId278" location="restrictedsiteszonescriptingofjavaapplets" xr:uid="{00000000-0004-0000-0200-000015010000}"/>
    <hyperlink ref="K141" r:id="rId279" location="windows-components--internet-explorer--internet-control-panel--security-page--restricted-sites-zone-1" xr:uid="{00000000-0004-0000-0200-000016010000}"/>
    <hyperlink ref="L141" r:id="rId280" location="restrictedsiteszoneshowsecuritywarningforpotentiallyunsafefiles" xr:uid="{00000000-0004-0000-0200-000017010000}"/>
    <hyperlink ref="K142" r:id="rId281" location="windows-components--internet-explorer--internet-control-panel--security-page--restricted-sites-zone-1" xr:uid="{00000000-0004-0000-0200-000018010000}"/>
    <hyperlink ref="L142" r:id="rId282" location="restrictedsiteszoneenablecrosssitescriptingfilter" xr:uid="{00000000-0004-0000-0200-000019010000}"/>
    <hyperlink ref="K143" r:id="rId283" location="windows-components--internet-explorer--internet-control-panel--security-page--restricted-sites-zone-1" xr:uid="{00000000-0004-0000-0200-00001A010000}"/>
    <hyperlink ref="L143" r:id="rId284" location="restrictedsiteszoneturnonprotectedmode" xr:uid="{00000000-0004-0000-0200-00001B010000}"/>
    <hyperlink ref="K144" r:id="rId285" location="windows-components--internet-explorer--internet-control-panel--security-page--restricted-sites-zone-1" xr:uid="{00000000-0004-0000-0200-00001C010000}"/>
    <hyperlink ref="L144" r:id="rId286" location="restrictedsiteszoneallowsmartscreenie" xr:uid="{00000000-0004-0000-0200-00001D010000}"/>
    <hyperlink ref="K145" r:id="rId287" location="windows-components--internet-explorer--internet-control-panel--security-page--restricted-sites-zone-1" xr:uid="{00000000-0004-0000-0200-00001E010000}"/>
    <hyperlink ref="L145" r:id="rId288" location="restrictedsiteszoneusepopupblocker" xr:uid="{00000000-0004-0000-0200-00001F010000}"/>
    <hyperlink ref="K146" r:id="rId289" location="windows-components--internet-explorer--internet-control-panel--security-page--restricted-sites-zone-1" xr:uid="{00000000-0004-0000-0200-000020010000}"/>
    <hyperlink ref="L146" r:id="rId290" location="restrictedsiteszoneallowuserdatapersistence" xr:uid="{00000000-0004-0000-0200-000021010000}"/>
    <hyperlink ref="K147" r:id="rId291" location="windows-components--internet-explorer--internet-control-panel--security-page--restricted-sites-zone-1" xr:uid="{00000000-0004-0000-0200-000022010000}"/>
    <hyperlink ref="L147" r:id="rId292" location="restrictedsiteszoneallowlessprivilegedsites" xr:uid="{00000000-0004-0000-0200-000023010000}"/>
    <hyperlink ref="K148" r:id="rId293" location="windows-components--internet-explorer--internet-control-panel--security-page--trusted-sites-zone-1" xr:uid="{00000000-0004-0000-0200-000024010000}"/>
    <hyperlink ref="L148" r:id="rId294" location="trustedsiteszonedonotrunantimalwareagainstactivexcontrols" xr:uid="{00000000-0004-0000-0200-000025010000}"/>
    <hyperlink ref="K149" r:id="rId295" location="windows-components--internet-explorer--internet-control-panel--security-page--trusted-sites-zone-1" xr:uid="{00000000-0004-0000-0200-000026010000}"/>
    <hyperlink ref="L149" r:id="rId296" location="trustedsiteszoneinitializeandscriptactivexcontrols" xr:uid="{00000000-0004-0000-0200-000027010000}"/>
    <hyperlink ref="K150" r:id="rId297" location="windows-components--internet-explorer--internet-control-panel--security-page--trusted-sites-zone-1" xr:uid="{00000000-0004-0000-0200-000028010000}"/>
    <hyperlink ref="L150" r:id="rId298" location="trustedsiteszonejavapermissions" xr:uid="{00000000-0004-0000-0200-000029010000}"/>
    <hyperlink ref="K151" r:id="rId299" location="windows-components--internet-explorer-1" xr:uid="{00000000-0004-0000-0200-00002A010000}"/>
    <hyperlink ref="L151" r:id="rId300" location="disablebypassofsmartscreenwarningsaboutuncommonfiles" xr:uid="{00000000-0004-0000-0200-00002B010000}"/>
    <hyperlink ref="K152" r:id="rId301" location="windows-components--internet-explorer--security-features--add-on-management-1" xr:uid="{00000000-0004-0000-0200-00002C010000}"/>
    <hyperlink ref="L152" r:id="rId302" location="removerunthistimebuttonforoutdatedactivexcontrols" xr:uid="{00000000-0004-0000-0200-00002D010000}"/>
    <hyperlink ref="K153" r:id="rId303" location="windows-components--internet-explorer--security-features--add-on-management-1" xr:uid="{00000000-0004-0000-0200-00002E010000}"/>
    <hyperlink ref="L153" r:id="rId304" location="donotblockoutdatedactivexcontrols" xr:uid="{00000000-0004-0000-0200-00002F010000}"/>
    <hyperlink ref="K154" r:id="rId305" location="windows-components--internet-explorer--security-features-1" xr:uid="{00000000-0004-0000-0200-000030010000}"/>
    <hyperlink ref="L154" r:id="rId306" location="allowfallbacktossl3" xr:uid="{00000000-0004-0000-0200-000031010000}"/>
    <hyperlink ref="K155" r:id="rId307" location="windows-components--internet-explorer--security-features--consistent-mime-handling-1" xr:uid="{00000000-0004-0000-0200-000032010000}"/>
    <hyperlink ref="L155" r:id="rId308" location="consistentmimehandlinginternetexplorerprocesses" xr:uid="{00000000-0004-0000-0200-000033010000}"/>
    <hyperlink ref="K156" r:id="rId309" location="windows-components--internet-explorer--security-features--mime-sniffing-safety-feature-1" xr:uid="{00000000-0004-0000-0200-000034010000}"/>
    <hyperlink ref="L156" r:id="rId310" location="mimesniffingsafetyfeatureinternetexplorerprocesses" xr:uid="{00000000-0004-0000-0200-000035010000}"/>
    <hyperlink ref="K157" r:id="rId311" location="windows-components--internet-explorer--security-features--mk-protocol-security-restriction-1" xr:uid="{00000000-0004-0000-0200-000036010000}"/>
    <hyperlink ref="L157" r:id="rId312" location="mkprotocolsecurityrestrictioninternetexplorerprocesses" xr:uid="{00000000-0004-0000-0200-000037010000}"/>
    <hyperlink ref="K158" r:id="rId313" location="windows-components--internet-explorer--security-features--notification-bar-1" xr:uid="{00000000-0004-0000-0200-000038010000}"/>
    <hyperlink ref="L158" r:id="rId314" location="notificationbarinternetexplorerprocesses" xr:uid="{00000000-0004-0000-0200-000039010000}"/>
    <hyperlink ref="K159" r:id="rId315" location="windows-components--internet-explorer--security-features--protection-from-zone-elevation-1" xr:uid="{00000000-0004-0000-0200-00003A010000}"/>
    <hyperlink ref="L159" r:id="rId316" location="protectionfromzoneelevationinternetexplorerprocesses" xr:uid="{00000000-0004-0000-0200-00003B010000}"/>
    <hyperlink ref="K160" r:id="rId317" location="windows-components--internet-explorer--security-features--restrict-activex-install-1" xr:uid="{00000000-0004-0000-0200-00003C010000}"/>
    <hyperlink ref="L160" r:id="rId318" location="restrictactivexinstallinternetexplorerprocesses" xr:uid="{00000000-0004-0000-0200-00003D010000}"/>
    <hyperlink ref="K161" r:id="rId319" location="windows-components--internet-explorer--security-features--restrict-file-download-1" xr:uid="{00000000-0004-0000-0200-00003E010000}"/>
    <hyperlink ref="L161" r:id="rId320" location="restrictfiledownloadinternetexplorerprocesses" xr:uid="{00000000-0004-0000-0200-00003F010000}"/>
    <hyperlink ref="K162" r:id="rId321" location="windows-components--internet-explorer--security-features--scripted-window-security-restrictions-1" xr:uid="{00000000-0004-0000-0200-000040010000}"/>
    <hyperlink ref="L162" r:id="rId322" location="scriptedwindowsecurityrestrictionsinternetexplorerprocesses" xr:uid="{00000000-0004-0000-0200-000041010000}"/>
    <hyperlink ref="K163" r:id="rId323" location="windows-components--internet-explorer-1" xr:uid="{00000000-0004-0000-0200-000042010000}"/>
    <hyperlink ref="L163" r:id="rId324" location="preventmanagingsmartscreenfilter" xr:uid="{00000000-0004-0000-0200-000043010000}"/>
    <hyperlink ref="K164" r:id="rId325" location="windows-components--internet-explorer-1" xr:uid="{00000000-0004-0000-0200-000044010000}"/>
    <hyperlink ref="L164" r:id="rId326" location="preventperuserinstallationofactivexcontrols" xr:uid="{00000000-0004-0000-0200-000045010000}"/>
    <hyperlink ref="K165" r:id="rId327" location="windows-components--internet-explorer-1" xr:uid="{00000000-0004-0000-0200-000046010000}"/>
    <hyperlink ref="L165" r:id="rId328" location="donotallowuserstoaddsites" xr:uid="{00000000-0004-0000-0200-000047010000}"/>
    <hyperlink ref="K166" r:id="rId329" location="windows-components--internet-explorer-1" xr:uid="{00000000-0004-0000-0200-000048010000}"/>
    <hyperlink ref="L166" r:id="rId330" location="donotallowuserstochangepolicies" xr:uid="{00000000-0004-0000-0200-000049010000}"/>
    <hyperlink ref="K167" r:id="rId331" location="windows-components--internet-explorer-1" xr:uid="{00000000-0004-0000-0200-00004A010000}"/>
    <hyperlink ref="L167" r:id="rId332" location="securityzonesuseonlymachinesettings" xr:uid="{00000000-0004-0000-0200-00004B010000}"/>
    <hyperlink ref="K168" r:id="rId333" location="windows-components--internet-explorer-1" xr:uid="{00000000-0004-0000-0200-00004C010000}"/>
    <hyperlink ref="L168" r:id="rId334" location="specifyuseofactivexinstallerservice" xr:uid="{00000000-0004-0000-0200-00004D010000}"/>
    <hyperlink ref="K169" r:id="rId335" location="windows-components--internet-explorer-1" xr:uid="{00000000-0004-0000-0200-00004E010000}"/>
    <hyperlink ref="L169" r:id="rId336" location="disablecrashdetection" xr:uid="{00000000-0004-0000-0200-00004F010000}"/>
    <hyperlink ref="K170" r:id="rId337" location="windows-components--internet-explorer-1" xr:uid="{00000000-0004-0000-0200-000050010000}"/>
    <hyperlink ref="L170" r:id="rId338" location="disablesecuritysettingscheck" xr:uid="{00000000-0004-0000-0200-000051010000}"/>
    <hyperlink ref="K171" r:id="rId339" location="windows-components--internet-explorer-1" xr:uid="{00000000-0004-0000-0200-000052010000}"/>
    <hyperlink ref="L171" r:id="rId340" location="allowautocomplete" xr:uid="{00000000-0004-0000-0200-000053010000}"/>
    <hyperlink ref="K172" r:id="rId341" location="windows-components--microsoft-defender-antivirus-1" xr:uid="{00000000-0004-0000-0200-000054010000}"/>
    <hyperlink ref="L172" r:id="rId342" location="disableroutinelytakingaction" xr:uid="{00000000-0004-0000-0200-000055010000}"/>
    <hyperlink ref="K173" r:id="rId343" location="windows-components--microsoft-defender-antivirus--maps-1" xr:uid="{00000000-0004-0000-0200-000056010000}"/>
    <hyperlink ref="L173" r:id="rId344" location="disableblockatfirstseen" xr:uid="{00000000-0004-0000-0200-000057010000}"/>
    <hyperlink ref="K174" r:id="rId345" location="windows-components--microsoft-defender-antivirus--real-time-protection-1" xr:uid="{00000000-0004-0000-0200-000058010000}"/>
    <hyperlink ref="L174" r:id="rId346" location="realtimeprotection-disablescanonrealtimeenable" xr:uid="{00000000-0004-0000-0200-000059010000}"/>
    <hyperlink ref="K175" r:id="rId347" location="windows-components--microsoft-defender-antivirus--scan" xr:uid="{00000000-0004-0000-0200-00005A010000}"/>
    <hyperlink ref="L175" r:id="rId348" location="scan-disablepackedexescanning" xr:uid="{00000000-0004-0000-0200-00005B010000}"/>
    <hyperlink ref="K176" r:id="rId349" location="windows-components--remote-desktop-services--remote-desktop-connection-client-1" xr:uid="{00000000-0004-0000-0200-00005C010000}"/>
    <hyperlink ref="L176" r:id="rId350" location="donotallowpasswordsaving" xr:uid="{00000000-0004-0000-0200-00005D010000}"/>
    <hyperlink ref="K177" r:id="rId351" location="windows-components--remote-desktop-services--remote-desktop-session-host--device-and-resource-redirection-1" xr:uid="{00000000-0004-0000-0200-00005E010000}"/>
    <hyperlink ref="L177" r:id="rId352" location="donotallowdriveredirection" xr:uid="{00000000-0004-0000-0200-00005F010000}"/>
    <hyperlink ref="K178" r:id="rId353" location="windows-components--remote-desktop-services--remote-desktop-session-host--security-1" xr:uid="{00000000-0004-0000-0200-000060010000}"/>
    <hyperlink ref="L178" r:id="rId354" location="promptforpassworduponconnection" xr:uid="{00000000-0004-0000-0200-000061010000}"/>
    <hyperlink ref="K179" r:id="rId355" location="windows-components--remote-desktop-services--remote-desktop-session-host--security-1" xr:uid="{00000000-0004-0000-0200-000062010000}"/>
    <hyperlink ref="L179" r:id="rId356" location="requiresecurerpccommunication" xr:uid="{00000000-0004-0000-0200-000063010000}"/>
    <hyperlink ref="K180" r:id="rId357" location="windows-components--remote-desktop-services--remote-desktop-session-host--security-1" xr:uid="{00000000-0004-0000-0200-000064010000}"/>
    <hyperlink ref="L180" r:id="rId358" location="clientconnectionencryptionlevel" xr:uid="{00000000-0004-0000-0200-000065010000}"/>
    <hyperlink ref="K181" r:id="rId359" location="windows-components--rss-feeds-1" xr:uid="{00000000-0004-0000-0200-000066010000}"/>
    <hyperlink ref="L181" r:id="rId360" location="disableenclosuredownloading" xr:uid="{00000000-0004-0000-0200-000067010000}"/>
    <hyperlink ref="K182" r:id="rId361" location="windows-components--windows-logon-options-1" xr:uid="{00000000-0004-0000-0200-000068010000}"/>
    <hyperlink ref="L182" r:id="rId362" location="enablemprnotifications" xr:uid="{00000000-0004-0000-0200-000069010000}"/>
    <hyperlink ref="K183" r:id="rId363" location="windows-components--windows-logon-options-1" xr:uid="{00000000-0004-0000-0200-00006A010000}"/>
    <hyperlink ref="L183" r:id="rId364" location="allowautomaticrestartsignon" xr:uid="{00000000-0004-0000-0200-00006B010000}"/>
    <hyperlink ref="K184" r:id="rId365" location="windows-components--windows-powershell-1" xr:uid="{00000000-0004-0000-0200-00006C010000}"/>
    <hyperlink ref="L184" r:id="rId366" location="turnonpowershellscriptblocklogging" xr:uid="{00000000-0004-0000-0200-00006D010000}"/>
    <hyperlink ref="K185" r:id="rId367" location="windows-components--windows-remote-management-winrm--winrm-client-1" xr:uid="{00000000-0004-0000-0200-00006E010000}"/>
    <hyperlink ref="L185" r:id="rId368" location="allowbasicauthentication-service" xr:uid="{00000000-0004-0000-0200-00006F010000}"/>
    <hyperlink ref="K186" r:id="rId369" location="windows-components--windows-remote-management-winrm--winrm-client-1" xr:uid="{00000000-0004-0000-0200-000070010000}"/>
    <hyperlink ref="L186" r:id="rId370" location="allowunencryptedtraffic-client" xr:uid="{00000000-0004-0000-0200-000071010000}"/>
    <hyperlink ref="K187" r:id="rId371" location="windows-components--windows-remote-management-winrm--winrm-client-1" xr:uid="{00000000-0004-0000-0200-000072010000}"/>
    <hyperlink ref="L187" r:id="rId372" location="disallowdigestauthentication" xr:uid="{00000000-0004-0000-0200-000073010000}"/>
    <hyperlink ref="K188" r:id="rId373" location="windows-components--windows-remote-management-winrm--winrm-service-1" xr:uid="{00000000-0004-0000-0200-000074010000}"/>
    <hyperlink ref="L188" r:id="rId374" location="allowbasicauthentication-service" xr:uid="{00000000-0004-0000-0200-000075010000}"/>
    <hyperlink ref="K189" r:id="rId375" location="windows-components--windows-remote-management-winrm--winrm-service-1" xr:uid="{00000000-0004-0000-0200-000076010000}"/>
    <hyperlink ref="L189" r:id="rId376" location="allowunencryptedtraffic-service" xr:uid="{00000000-0004-0000-0200-000077010000}"/>
    <hyperlink ref="K190" r:id="rId377" location="windows-components--windows-remote-management-winrm--winrm-service-1" xr:uid="{00000000-0004-0000-0200-000078010000}"/>
    <hyperlink ref="L190" r:id="rId378" location="disallowstoringofrunascredentials" xr:uid="{00000000-0004-0000-0200-000079010000}"/>
    <hyperlink ref="K191" r:id="rId379" location="auditing-1" xr:uid="{00000000-0004-0000-0200-00007A010000}"/>
    <hyperlink ref="L191" r:id="rId380" location="accountlogon_auditcredentialvalidation" xr:uid="{00000000-0004-0000-0200-00007B010000}"/>
    <hyperlink ref="K192" r:id="rId381" location="auditing-1" xr:uid="{00000000-0004-0000-0200-00007C010000}"/>
    <hyperlink ref="L192" r:id="rId382" location="accountlogonlogoff_auditaccountlockout" xr:uid="{00000000-0004-0000-0200-00007D010000}"/>
    <hyperlink ref="K193" r:id="rId383" location="auditing-1" xr:uid="{00000000-0004-0000-0200-00007E010000}"/>
    <hyperlink ref="L193" r:id="rId384" location="accountlogonlogoff_auditgroupmembership" xr:uid="{00000000-0004-0000-0200-00007F010000}"/>
    <hyperlink ref="K194" r:id="rId385" location="auditing-1" xr:uid="{00000000-0004-0000-0200-000080010000}"/>
    <hyperlink ref="L194" r:id="rId386" location="accountlogonlogoff_auditlogon" xr:uid="{00000000-0004-0000-0200-000081010000}"/>
    <hyperlink ref="K195" r:id="rId387" location="auditing-1" xr:uid="{00000000-0004-0000-0200-000082010000}"/>
    <hyperlink ref="L195" r:id="rId388" location="policychange_auditauthenticationpolicychange" xr:uid="{00000000-0004-0000-0200-000083010000}"/>
    <hyperlink ref="K196" r:id="rId389" location="auditing-1" xr:uid="{00000000-0004-0000-0200-000084010000}"/>
    <hyperlink ref="L196" r:id="rId390" location="policychange_auditpolicychange" xr:uid="{00000000-0004-0000-0200-000085010000}"/>
    <hyperlink ref="K197" r:id="rId391" location="auditing-1" xr:uid="{00000000-0004-0000-0200-000086010000}"/>
    <hyperlink ref="L197" r:id="rId392" location="objectaccess_auditfileshare" xr:uid="{00000000-0004-0000-0200-000087010000}"/>
    <hyperlink ref="K198" r:id="rId393" location="auditing-1" xr:uid="{00000000-0004-0000-0200-000088010000}"/>
    <hyperlink ref="L198" r:id="rId394" location="accountlogonlogoff_auditotherlogonlogoffevents" xr:uid="{00000000-0004-0000-0200-000089010000}"/>
    <hyperlink ref="K199" r:id="rId395" location="auditing-1" xr:uid="{00000000-0004-0000-0200-00008A010000}"/>
    <hyperlink ref="L199" r:id="rId396" location="accountmanagement_auditsecuritygroupmanagement" xr:uid="{00000000-0004-0000-0200-00008B010000}"/>
    <hyperlink ref="K200" r:id="rId397" location="auditing-1" xr:uid="{00000000-0004-0000-0200-00008C010000}"/>
    <hyperlink ref="L200" r:id="rId398" location="system_auditsecuritysystemextension" xr:uid="{00000000-0004-0000-0200-00008D010000}"/>
    <hyperlink ref="K201" r:id="rId399" location="auditing-1" xr:uid="{00000000-0004-0000-0200-00008E010000}"/>
    <hyperlink ref="L201" r:id="rId400" location="accountlogonlogoff_auditspeciallogon" xr:uid="{00000000-0004-0000-0200-00008F010000}"/>
    <hyperlink ref="K202" r:id="rId401" location="auditing-1" xr:uid="{00000000-0004-0000-0200-000090010000}"/>
    <hyperlink ref="L202" r:id="rId402" location="accountmanagement_audituseraccountmanagement" xr:uid="{00000000-0004-0000-0200-000091010000}"/>
    <hyperlink ref="K203" r:id="rId403" location="auditing-1" xr:uid="{00000000-0004-0000-0200-000092010000}"/>
    <hyperlink ref="L203" r:id="rId404" location="detailedtracking_auditpnpactivity" xr:uid="{00000000-0004-0000-0200-000093010000}"/>
    <hyperlink ref="K204" r:id="rId405" location="auditing-1" xr:uid="{00000000-0004-0000-0200-000094010000}"/>
    <hyperlink ref="L204" r:id="rId406" location="detailedtracking_auditprocesscreation" xr:uid="{00000000-0004-0000-0200-000095010000}"/>
    <hyperlink ref="K205" r:id="rId407" location="auditing-1" xr:uid="{00000000-0004-0000-0200-000096010000}"/>
    <hyperlink ref="L205" r:id="rId408" location="objectaccess_auditdetailedfileshare" xr:uid="{00000000-0004-0000-0200-000097010000}"/>
    <hyperlink ref="K206" r:id="rId409" location="auditing-1" xr:uid="{00000000-0004-0000-0200-000098010000}"/>
    <hyperlink ref="L206" r:id="rId410" location="objectaccess_auditotherobjectaccessevents" xr:uid="{00000000-0004-0000-0200-000099010000}"/>
    <hyperlink ref="K207" r:id="rId411" location="auditing-1" xr:uid="{00000000-0004-0000-0200-00009A010000}"/>
    <hyperlink ref="L207" r:id="rId412" location="objectaccess_auditremovablestorage" xr:uid="{00000000-0004-0000-0200-00009B010000}"/>
    <hyperlink ref="K208" r:id="rId413" location="auditing-1" xr:uid="{00000000-0004-0000-0200-00009C010000}"/>
    <hyperlink ref="L208" r:id="rId414" location="policychange_auditmpssvcrulelevelpolicychange" xr:uid="{00000000-0004-0000-0200-00009D010000}"/>
    <hyperlink ref="K209" r:id="rId415" location="auditing-1" xr:uid="{00000000-0004-0000-0200-00009E010000}"/>
    <hyperlink ref="L209" r:id="rId416" location="policychange_auditotherpolicychangeevents" xr:uid="{00000000-0004-0000-0200-00009F010000}"/>
    <hyperlink ref="K210" r:id="rId417" location="auditing-1" xr:uid="{00000000-0004-0000-0200-0000A0010000}"/>
    <hyperlink ref="L210" r:id="rId418" location="privilegeuse_auditsensitiveprivilegeuse" xr:uid="{00000000-0004-0000-0200-0000A1010000}"/>
    <hyperlink ref="K211" r:id="rId419" location="auditing-1" xr:uid="{00000000-0004-0000-0200-0000A2010000}"/>
    <hyperlink ref="L211" r:id="rId420" location="system_auditothersystemevents" xr:uid="{00000000-0004-0000-0200-0000A3010000}"/>
    <hyperlink ref="K212" r:id="rId421" location="auditing-1" xr:uid="{00000000-0004-0000-0200-0000A4010000}"/>
    <hyperlink ref="L212" r:id="rId422" location="system_auditsecuritystatechange" xr:uid="{00000000-0004-0000-0200-0000A5010000}"/>
    <hyperlink ref="K213" r:id="rId423" location="auditing-1" xr:uid="{00000000-0004-0000-0200-0000A6010000}"/>
    <hyperlink ref="L213" r:id="rId424" location="system_auditsystemintegrity" xr:uid="{00000000-0004-0000-0200-0000A7010000}"/>
    <hyperlink ref="K214" r:id="rId425" location="browser-1" xr:uid="{00000000-0004-0000-0200-0000A8010000}"/>
    <hyperlink ref="L214" r:id="rId426" location="allowpasswordmanager" xr:uid="{00000000-0004-0000-0200-0000A9010000}"/>
    <hyperlink ref="K215" r:id="rId427" location="browser-1" xr:uid="{00000000-0004-0000-0200-0000AA010000}"/>
    <hyperlink ref="L215" r:id="rId428" location="allowsmartscreen" xr:uid="{00000000-0004-0000-0200-0000AB010000}"/>
    <hyperlink ref="K216" r:id="rId429" location="browser-1" xr:uid="{00000000-0004-0000-0200-0000AC010000}"/>
    <hyperlink ref="L216" r:id="rId430" location="preventcerterroroverrides" xr:uid="{00000000-0004-0000-0200-0000AD010000}"/>
    <hyperlink ref="K217" r:id="rId431" location="browser-1" xr:uid="{00000000-0004-0000-0200-0000AE010000}"/>
    <hyperlink ref="L217" r:id="rId432" location="preventsmartscreenpromptoverride" xr:uid="{00000000-0004-0000-0200-0000AF010000}"/>
    <hyperlink ref="K218" r:id="rId433" location="browser-1" xr:uid="{00000000-0004-0000-0200-0000B0010000}"/>
    <hyperlink ref="L218" r:id="rId434" location="preventsmartscreenpromptoverrideforfiles" xr:uid="{00000000-0004-0000-0200-0000B1010000}"/>
    <hyperlink ref="K219" r:id="rId435" location="data-protection-1" xr:uid="{00000000-0004-0000-0200-0000B2010000}"/>
    <hyperlink ref="L219" r:id="rId436" location="allowdirectmemoryaccess" xr:uid="{00000000-0004-0000-0200-0000B3010000}"/>
    <hyperlink ref="K220" r:id="rId437" location="defender-1" xr:uid="{00000000-0004-0000-0200-0000B4010000}"/>
    <hyperlink ref="L220" r:id="rId438" location="allowarchivescanning" xr:uid="{00000000-0004-0000-0200-0000B5010000}"/>
    <hyperlink ref="K221" r:id="rId439" location="defender-1" xr:uid="{00000000-0004-0000-0200-0000B6010000}"/>
    <hyperlink ref="L221" r:id="rId440" location="allowbehaviormonitoring" xr:uid="{00000000-0004-0000-0200-0000B7010000}"/>
    <hyperlink ref="K222" r:id="rId441" location="defender-1" xr:uid="{00000000-0004-0000-0200-0000B8010000}"/>
    <hyperlink ref="L222" r:id="rId442" location="allowcloudprotection" xr:uid="{00000000-0004-0000-0200-0000B9010000}"/>
    <hyperlink ref="K223" r:id="rId443" location="defender-1" xr:uid="{00000000-0004-0000-0200-0000BA010000}"/>
    <hyperlink ref="L223" r:id="rId444" location="allowfullscanremovabledrivescanning" xr:uid="{00000000-0004-0000-0200-0000BB010000}"/>
    <hyperlink ref="K224" r:id="rId445" location="defender-1" xr:uid="{00000000-0004-0000-0200-0000BC010000}"/>
    <hyperlink ref="L224" r:id="rId446" location="allowonaccessprotection" xr:uid="{00000000-0004-0000-0200-0000BD010000}"/>
    <hyperlink ref="K225" r:id="rId447" location="defender-1" xr:uid="{00000000-0004-0000-0200-0000BE010000}"/>
    <hyperlink ref="L225" r:id="rId448" location="allowrealtimemonitoring" xr:uid="{00000000-0004-0000-0200-0000BF010000}"/>
    <hyperlink ref="K226" r:id="rId449" location="defender-1" xr:uid="{00000000-0004-0000-0200-0000C0010000}"/>
    <hyperlink ref="L226" r:id="rId450" location="allowioavprotection" xr:uid="{00000000-0004-0000-0200-0000C1010000}"/>
    <hyperlink ref="K227" r:id="rId451" location="defender-1" xr:uid="{00000000-0004-0000-0200-0000C2010000}"/>
    <hyperlink ref="L227" r:id="rId452" xr:uid="{00000000-0004-0000-0200-0000C3010000}"/>
    <hyperlink ref="K228" r:id="rId453" location="defender-1" xr:uid="{00000000-0004-0000-0200-0000C4010000}"/>
    <hyperlink ref="L228" r:id="rId454" xr:uid="{00000000-0004-0000-0200-0000C5010000}"/>
    <hyperlink ref="K229" r:id="rId455" location="defender-1" xr:uid="{00000000-0004-0000-0200-0000C6010000}"/>
    <hyperlink ref="L229" r:id="rId456" xr:uid="{00000000-0004-0000-0200-0000C7010000}"/>
    <hyperlink ref="K230" r:id="rId457" location="defender-1" xr:uid="{00000000-0004-0000-0200-0000C8010000}"/>
    <hyperlink ref="L230" r:id="rId458" xr:uid="{00000000-0004-0000-0200-0000C9010000}"/>
    <hyperlink ref="K231" r:id="rId459" location="defender-1" xr:uid="{00000000-0004-0000-0200-0000CA010000}"/>
    <hyperlink ref="L231" r:id="rId460" xr:uid="{00000000-0004-0000-0200-0000CB010000}"/>
    <hyperlink ref="K232" r:id="rId461" location="defender-1" xr:uid="{00000000-0004-0000-0200-0000CC010000}"/>
    <hyperlink ref="L232" r:id="rId462" xr:uid="{00000000-0004-0000-0200-0000CD010000}"/>
    <hyperlink ref="K233" r:id="rId463" location="defender-1" xr:uid="{00000000-0004-0000-0200-0000CE010000}"/>
    <hyperlink ref="L233" r:id="rId464" xr:uid="{00000000-0004-0000-0200-0000CF010000}"/>
    <hyperlink ref="K234" r:id="rId465" location="defender-1" xr:uid="{00000000-0004-0000-0200-0000D0010000}"/>
    <hyperlink ref="L234" r:id="rId466" xr:uid="{00000000-0004-0000-0200-0000D1010000}"/>
    <hyperlink ref="K235" r:id="rId467" location="defender-1" xr:uid="{00000000-0004-0000-0200-0000D2010000}"/>
    <hyperlink ref="L235" r:id="rId468" xr:uid="{00000000-0004-0000-0200-0000D3010000}"/>
    <hyperlink ref="K236" r:id="rId469" location="defender-1" xr:uid="{00000000-0004-0000-0200-0000D4010000}"/>
    <hyperlink ref="L236" r:id="rId470" xr:uid="{00000000-0004-0000-0200-0000D5010000}"/>
    <hyperlink ref="K237" r:id="rId471" location="defender-1" xr:uid="{00000000-0004-0000-0200-0000D6010000}"/>
    <hyperlink ref="L237" r:id="rId472" xr:uid="{00000000-0004-0000-0200-0000D7010000}"/>
    <hyperlink ref="K238" r:id="rId473" location="defender-1" xr:uid="{00000000-0004-0000-0200-0000D8010000}"/>
    <hyperlink ref="L238" r:id="rId474" xr:uid="{00000000-0004-0000-0200-0000D9010000}"/>
    <hyperlink ref="K239" r:id="rId475" location="defender-1" xr:uid="{00000000-0004-0000-0200-0000DA010000}"/>
    <hyperlink ref="L239" r:id="rId476" location="cloudblocklevel" xr:uid="{00000000-0004-0000-0200-0000DB010000}"/>
    <hyperlink ref="K240" r:id="rId477" location="defender-1" xr:uid="{00000000-0004-0000-0200-0000DC010000}"/>
    <hyperlink ref="L240" r:id="rId478" location="cloudextendedtimeout" xr:uid="{00000000-0004-0000-0200-0000DD010000}"/>
    <hyperlink ref="K241" r:id="rId479" location="defender-1" xr:uid="{00000000-0004-0000-0200-0000DE010000}"/>
    <hyperlink ref="L241" r:id="rId480" location="configurationdisablelocaladminmerge" xr:uid="{00000000-0004-0000-0200-0000DF010000}"/>
    <hyperlink ref="K242" r:id="rId481" location="defender-1" xr:uid="{00000000-0004-0000-0200-0000E0010000}"/>
    <hyperlink ref="L242" r:id="rId482" location="configurationenablefilehashcomputation" xr:uid="{00000000-0004-0000-0200-0000E1010000}"/>
    <hyperlink ref="K243" r:id="rId483" location="defender-1" xr:uid="{00000000-0004-0000-0200-0000E2010000}"/>
    <hyperlink ref="L243" r:id="rId484" location="enablenetworkprotection" xr:uid="{00000000-0004-0000-0200-0000E3010000}"/>
    <hyperlink ref="K244" r:id="rId485" location="defender-1" xr:uid="{00000000-0004-0000-0200-0000E4010000}"/>
    <hyperlink ref="L244" r:id="rId486" location="configurationhideexclusionsfromlocaladmins" xr:uid="{00000000-0004-0000-0200-0000E5010000}"/>
    <hyperlink ref="K245" r:id="rId487" location="defender-1" xr:uid="{00000000-0004-0000-0200-0000E6010000}"/>
    <hyperlink ref="L245" r:id="rId488" location="puaprotection" xr:uid="{00000000-0004-0000-0200-0000E7010000}"/>
    <hyperlink ref="K246" r:id="rId489" location="defender-1" xr:uid="{00000000-0004-0000-0200-0000E8010000}"/>
    <hyperlink ref="K247" r:id="rId490" location="defender-1" xr:uid="{00000000-0004-0000-0200-0000E9010000}"/>
    <hyperlink ref="L247" r:id="rId491" location="submitsamplesconsent" xr:uid="{00000000-0004-0000-0200-0000EA010000}"/>
    <hyperlink ref="K248" r:id="rId492" location="defender-1" xr:uid="{00000000-0004-0000-0200-0000EB010000}"/>
    <hyperlink ref="L248" r:id="rId493" location="configurationenableconvertwarntoblock" xr:uid="{00000000-0004-0000-0200-0000EC010000}"/>
    <hyperlink ref="K249" r:id="rId494" location="defender-1" xr:uid="{00000000-0004-0000-0200-0000ED010000}"/>
    <hyperlink ref="L249" r:id="rId495" location="configurationoobeenablertpandsigupdate" xr:uid="{00000000-0004-0000-0200-0000EE010000}"/>
    <hyperlink ref="K250" r:id="rId496" location="defender-1" xr:uid="{00000000-0004-0000-0200-0000EF010000}"/>
    <hyperlink ref="L250" r:id="rId497" location="configurationpassiveremediation" xr:uid="{00000000-0004-0000-0200-0000F0010000}"/>
    <hyperlink ref="K251" r:id="rId498" location="defender-1" xr:uid="{00000000-0004-0000-0200-0000F1010000}"/>
    <hyperlink ref="L251" r:id="rId499" location="configurationquickscanincludeexclusions" xr:uid="{00000000-0004-0000-0200-0000F2010000}"/>
    <hyperlink ref="K252" r:id="rId500" location="device-guard-1" xr:uid="{00000000-0004-0000-0200-0000F3010000}"/>
    <hyperlink ref="L252" r:id="rId501" location="configuresystemguardlaunch" xr:uid="{00000000-0004-0000-0200-0000F4010000}"/>
    <hyperlink ref="K253" r:id="rId502" location="device-guard-1" xr:uid="{00000000-0004-0000-0200-0000F5010000}"/>
    <hyperlink ref="L253" r:id="rId503" location="lsacfgflags" xr:uid="{00000000-0004-0000-0200-0000F6010000}"/>
    <hyperlink ref="K254" r:id="rId504" location="device-guard-1" xr:uid="{00000000-0004-0000-0200-0000F7010000}"/>
    <hyperlink ref="L254" r:id="rId505" location="enablevirtualizationbasedsecurity" xr:uid="{00000000-0004-0000-0200-0000F8010000}"/>
    <hyperlink ref="K255" r:id="rId506" location="device-guard-1" xr:uid="{00000000-0004-0000-0200-0000F9010000}"/>
    <hyperlink ref="L255" r:id="rId507" location="requireplatformsecurityfeatures" xr:uid="{00000000-0004-0000-0200-0000FA010000}"/>
    <hyperlink ref="K256" r:id="rId508" location="device-guard-1" xr:uid="{00000000-0004-0000-0200-0000FB010000}"/>
    <hyperlink ref="L256" r:id="rId509" location="machineidentityisolation" xr:uid="{00000000-0004-0000-0200-0000FC010000}"/>
    <hyperlink ref="K257" r:id="rId510" location="device-lock-1" xr:uid="{00000000-0004-0000-0200-0000FD010000}"/>
    <hyperlink ref="L257" r:id="rId511" location="devicepasswordhistory" xr:uid="{00000000-0004-0000-0200-0000FE010000}"/>
    <hyperlink ref="K258" r:id="rId512" location="device-lock-1" xr:uid="{00000000-0004-0000-0200-0000FF010000}"/>
    <hyperlink ref="L258" r:id="rId513" location="mindevicepasswordlength" xr:uid="{00000000-0004-0000-0200-000000020000}"/>
    <hyperlink ref="K259" r:id="rId514" location="dma-guard-1" xr:uid="{00000000-0004-0000-0200-000001020000}"/>
    <hyperlink ref="L259" r:id="rId515" location="deviceenumerationpolicy" xr:uid="{00000000-0004-0000-0200-000002020000}"/>
    <hyperlink ref="K260" r:id="rId516" location="experience-1" xr:uid="{00000000-0004-0000-0200-000003020000}"/>
    <hyperlink ref="L260" r:id="rId517" location="allowwindowsconsumerfeatures" xr:uid="{00000000-0004-0000-0200-000004020000}"/>
    <hyperlink ref="K261" r:id="rId518" location="experience-1" xr:uid="{00000000-0004-0000-0200-000005020000}"/>
    <hyperlink ref="L261" r:id="rId519" location="allowthirdpartysuggestionsinwindowsspotlight" xr:uid="{00000000-0004-0000-0200-000006020000}"/>
    <hyperlink ref="K262" r:id="rId520" location="firewall-1" xr:uid="{00000000-0004-0000-0200-000007020000}"/>
    <hyperlink ref="L262" r:id="rId521" location="mdmstoredomainprofileenablelogsuccessconnections" xr:uid="{00000000-0004-0000-0200-000008020000}"/>
    <hyperlink ref="K263" r:id="rId522" location="firewall-1" xr:uid="{00000000-0004-0000-0200-000009020000}"/>
    <hyperlink ref="L263" r:id="rId523" location="mdmstoredomainprofiledefaultoutboundaction" xr:uid="{00000000-0004-0000-0200-00000A020000}"/>
    <hyperlink ref="K264" r:id="rId524" location="firewall-1" xr:uid="{00000000-0004-0000-0200-00000B020000}"/>
    <hyperlink ref="L264" r:id="rId525" location="mdmstoredomainprofileenablelogdroppedpackets" xr:uid="{00000000-0004-0000-0200-00000C020000}"/>
    <hyperlink ref="K265" r:id="rId526" location="firewall-1" xr:uid="{00000000-0004-0000-0200-00000D020000}"/>
    <hyperlink ref="L265" r:id="rId527" location="mdmstoredomainprofiledisableinboundnotifications" xr:uid="{00000000-0004-0000-0200-00000E020000}"/>
    <hyperlink ref="K266" r:id="rId528" location="firewall-1" xr:uid="{00000000-0004-0000-0200-00000F020000}"/>
    <hyperlink ref="L266" r:id="rId529" location="mdmstoredomainprofilelogmaxfilesize" xr:uid="{00000000-0004-0000-0200-000010020000}"/>
    <hyperlink ref="K267" r:id="rId530" location="firewall-1" xr:uid="{00000000-0004-0000-0200-000011020000}"/>
    <hyperlink ref="L267" r:id="rId531" location="mdmstoredomainprofiledefaultinboundaction" xr:uid="{00000000-0004-0000-0200-000012020000}"/>
    <hyperlink ref="K268" r:id="rId532" location="firewall-1" xr:uid="{00000000-0004-0000-0200-000013020000}"/>
    <hyperlink ref="L268" r:id="rId533" location="mdmstoreprivateprofilelogmaxfilesize" xr:uid="{00000000-0004-0000-0200-000014020000}"/>
    <hyperlink ref="K269" r:id="rId534" location="firewall-1" xr:uid="{00000000-0004-0000-0200-000015020000}"/>
    <hyperlink ref="L269" r:id="rId535" location="mdmstoreprivateprofiledefaultinboundaction" xr:uid="{00000000-0004-0000-0200-000016020000}"/>
    <hyperlink ref="K270" r:id="rId536" location="firewall-1" xr:uid="{00000000-0004-0000-0200-000017020000}"/>
    <hyperlink ref="L270" r:id="rId537" location="mdmstoreprivateprofileenablelogsuccessconnections" xr:uid="{00000000-0004-0000-0200-000018020000}"/>
    <hyperlink ref="K271" r:id="rId538" location="firewall-1" xr:uid="{00000000-0004-0000-0200-000019020000}"/>
    <hyperlink ref="L271" r:id="rId539" location="mdmstoreprivateprofileenablelogdroppedpackets" xr:uid="{00000000-0004-0000-0200-00001A020000}"/>
    <hyperlink ref="K272" r:id="rId540" location="firewall-1" xr:uid="{00000000-0004-0000-0200-00001B020000}"/>
    <hyperlink ref="L272" r:id="rId541" location="mdmstoreprivateprofiledefaultoutboundaction" xr:uid="{00000000-0004-0000-0200-00001C020000}"/>
    <hyperlink ref="K273" r:id="rId542" location="firewall-1" xr:uid="{00000000-0004-0000-0200-00001D020000}"/>
    <hyperlink ref="L273" r:id="rId543" location="mdmstoreprivateprofiledisableinboundnotifications" xr:uid="{00000000-0004-0000-0200-00001E020000}"/>
    <hyperlink ref="K274" r:id="rId544" location="firewall-1" xr:uid="{00000000-0004-0000-0200-00001F020000}"/>
    <hyperlink ref="L274" r:id="rId545" location="mdmstorepublicprofileenablelogdroppedpackets" xr:uid="{00000000-0004-0000-0200-000020020000}"/>
    <hyperlink ref="K275" r:id="rId546" location="firewall-1" xr:uid="{00000000-0004-0000-0200-000021020000}"/>
    <hyperlink ref="L275" r:id="rId547" location="mdmstorepublicprofilelogmaxfilesize" xr:uid="{00000000-0004-0000-0200-000022020000}"/>
    <hyperlink ref="K276" r:id="rId548" location="firewall-1" xr:uid="{00000000-0004-0000-0200-000023020000}"/>
    <hyperlink ref="L276" r:id="rId549" location="mdmstorepublicprofiledefaultoutboundaction" xr:uid="{00000000-0004-0000-0200-000024020000}"/>
    <hyperlink ref="K277" r:id="rId550" location="firewall-1" xr:uid="{00000000-0004-0000-0200-000025020000}"/>
    <hyperlink ref="L277" r:id="rId551" location="mdmstorepublicprofiledisableinboundnotifications" xr:uid="{00000000-0004-0000-0200-000026020000}"/>
    <hyperlink ref="K278" r:id="rId552" location="firewall-1" xr:uid="{00000000-0004-0000-0200-000027020000}"/>
    <hyperlink ref="L278" r:id="rId553" location="mdmstorepublicprofiledefaultinboundaction" xr:uid="{00000000-0004-0000-0200-000028020000}"/>
    <hyperlink ref="K279" r:id="rId554" location="firewall-1" xr:uid="{00000000-0004-0000-0200-000029020000}"/>
    <hyperlink ref="L279" r:id="rId555" location="mdmstorepublicprofileallowlocalpolicymerge" xr:uid="{00000000-0004-0000-0200-00002A020000}"/>
    <hyperlink ref="K280" r:id="rId556" location="firewall-1" xr:uid="{00000000-0004-0000-0200-00002B020000}"/>
    <hyperlink ref="L280" r:id="rId557" location="mdmstorepublicprofileenablelogsuccessconnections" xr:uid="{00000000-0004-0000-0200-00002C020000}"/>
    <hyperlink ref="K281" r:id="rId558" location="firewall-1" xr:uid="{00000000-0004-0000-0200-00002D020000}"/>
    <hyperlink ref="L281" r:id="rId559" location="mdmstorepublicprofileallowlocalipsecpolicymerge" xr:uid="{00000000-0004-0000-0200-00002E020000}"/>
    <hyperlink ref="K282" r:id="rId560" location="lanman-server-1" xr:uid="{00000000-0004-0000-0200-00002F020000}"/>
    <hyperlink ref="L282" r:id="rId561" location="auditclientdoesnotsupportencryption" xr:uid="{00000000-0004-0000-0200-000030020000}"/>
    <hyperlink ref="K283" r:id="rId562" location="lanman-server-1" xr:uid="{00000000-0004-0000-0200-000031020000}"/>
    <hyperlink ref="L283" r:id="rId563" location="auditclientdoesnotsupportsigning" xr:uid="{00000000-0004-0000-0200-000032020000}"/>
    <hyperlink ref="K284" r:id="rId564" location="lanman-server-1" xr:uid="{00000000-0004-0000-0200-000033020000}"/>
    <hyperlink ref="L284" r:id="rId565" location="auditinsecureguestlogon" xr:uid="{00000000-0004-0000-0200-000034020000}"/>
    <hyperlink ref="K285" r:id="rId566" location="lanman-server-1" xr:uid="{00000000-0004-0000-0200-000035020000}"/>
    <hyperlink ref="L285" r:id="rId567" location="authratelimiterdelayinms" xr:uid="{00000000-0004-0000-0200-000036020000}"/>
    <hyperlink ref="K286" r:id="rId568" location="lanman-server-1" xr:uid="{00000000-0004-0000-0200-000037020000}"/>
    <hyperlink ref="L286" r:id="rId569" location="enableauthratelimiter" xr:uid="{00000000-0004-0000-0200-000038020000}"/>
    <hyperlink ref="K287" r:id="rId570" location="lanman-server-1" xr:uid="{00000000-0004-0000-0200-000039020000}"/>
    <hyperlink ref="L287" r:id="rId571" location="maxsmb2dialect" xr:uid="{00000000-0004-0000-0200-00003A020000}"/>
    <hyperlink ref="K288" r:id="rId572" location="lanman-server-1" xr:uid="{00000000-0004-0000-0200-00003B020000}"/>
    <hyperlink ref="L288" r:id="rId573" location="minsmb2dialect" xr:uid="{00000000-0004-0000-0200-00003C020000}"/>
    <hyperlink ref="K289" r:id="rId574" location="lanman-server-1" xr:uid="{00000000-0004-0000-0200-00003D020000}"/>
    <hyperlink ref="L289" r:id="rId575" location="enablemailslots" xr:uid="{00000000-0004-0000-0200-00003E020000}"/>
    <hyperlink ref="K290" r:id="rId576" location="lanman-workstation-1" xr:uid="{00000000-0004-0000-0200-00003F020000}"/>
    <hyperlink ref="L290" r:id="rId577" location="enableinsecureguestlogons" xr:uid="{00000000-0004-0000-0200-000040020000}"/>
    <hyperlink ref="K291" r:id="rId578" location="lanman-workstation-1" xr:uid="{00000000-0004-0000-0200-000041020000}"/>
    <hyperlink ref="L291" r:id="rId579" location="auditinsecureguestlogon" xr:uid="{00000000-0004-0000-0200-000042020000}"/>
    <hyperlink ref="K292" r:id="rId580" location="lanman-workstation-1" xr:uid="{00000000-0004-0000-0200-000043020000}"/>
    <hyperlink ref="L292" r:id="rId581" location="auditserverdoesnotsupportencryption" xr:uid="{00000000-0004-0000-0200-000044020000}"/>
    <hyperlink ref="K293" r:id="rId582" location="lanman-workstation-1" xr:uid="{00000000-0004-0000-0200-000045020000}"/>
    <hyperlink ref="L293" r:id="rId583" location="auditserverdoesnotsupportsigning" xr:uid="{00000000-0004-0000-0200-000046020000}"/>
    <hyperlink ref="K294" r:id="rId584" location="lanman-workstation-1" xr:uid="{00000000-0004-0000-0200-000047020000}"/>
    <hyperlink ref="L294" r:id="rId585" location="maxsmb2dialect" xr:uid="{00000000-0004-0000-0200-000048020000}"/>
    <hyperlink ref="K295" r:id="rId586" location="lanman-workstation-1" xr:uid="{00000000-0004-0000-0200-000049020000}"/>
    <hyperlink ref="L295" r:id="rId587" location="minsmb2dialect" xr:uid="{00000000-0004-0000-0200-00004A020000}"/>
    <hyperlink ref="K296" r:id="rId588" location="lanman-workstation-1" xr:uid="{00000000-0004-0000-0200-00004B020000}"/>
    <hyperlink ref="L296" r:id="rId589" location="requireencryption" xr:uid="{00000000-0004-0000-0200-00004C020000}"/>
    <hyperlink ref="K297" r:id="rId590" location="lanman-workstation-1" xr:uid="{00000000-0004-0000-0200-00004D020000}"/>
    <hyperlink ref="L297" r:id="rId591" location="enablemailslots" xr:uid="{00000000-0004-0000-0200-00004E020000}"/>
    <hyperlink ref="K298" r:id="rId592" location="local-policies-security-options-1" xr:uid="{00000000-0004-0000-0200-00004F020000}"/>
    <hyperlink ref="L298" r:id="rId593" location="accounts_limitlocalaccountuseofblankpasswordstoconsolelogononly" xr:uid="{00000000-0004-0000-0200-000050020000}"/>
    <hyperlink ref="K299" r:id="rId594" location="local-policies-security-options-1" xr:uid="{00000000-0004-0000-0200-000051020000}"/>
    <hyperlink ref="L299" r:id="rId595" location="interactivelogon_machineinactivitylimit" xr:uid="{00000000-0004-0000-0200-000052020000}"/>
    <hyperlink ref="K300" r:id="rId596" location="local-policies-security-options-1" xr:uid="{00000000-0004-0000-0200-000053020000}"/>
    <hyperlink ref="L300" r:id="rId597" location="interactivelogon_smartcardremovalbehavior" xr:uid="{00000000-0004-0000-0200-000054020000}"/>
    <hyperlink ref="K301" r:id="rId598" location="local-policies-security-options-1" xr:uid="{00000000-0004-0000-0200-000055020000}"/>
    <hyperlink ref="L301" r:id="rId599" location="microsoftnetworkclient_digitallysigncommunicationsalways" xr:uid="{00000000-0004-0000-0200-000056020000}"/>
    <hyperlink ref="K302" r:id="rId600" location="local-policies-security-options-1" xr:uid="{00000000-0004-0000-0200-000057020000}"/>
    <hyperlink ref="L302" r:id="rId601" location="microsoftnetworkclient_sendunencryptedpasswordtothirdpartysmbservers" xr:uid="{00000000-0004-0000-0200-000058020000}"/>
    <hyperlink ref="K303" r:id="rId602" location="local-policies-security-options-1" xr:uid="{00000000-0004-0000-0200-000059020000}"/>
    <hyperlink ref="L303" r:id="rId603" location="microsoftnetworkserver_digitallysigncommunicationsalways" xr:uid="{00000000-0004-0000-0200-00005A020000}"/>
    <hyperlink ref="K304" r:id="rId604" location="local-policies-security-options-1" xr:uid="{00000000-0004-0000-0200-00005B020000}"/>
    <hyperlink ref="L304" r:id="rId605" location="networkaccess_donotallowanonymousenumerationofsamaccounts" xr:uid="{00000000-0004-0000-0200-00005C020000}"/>
    <hyperlink ref="K305" r:id="rId606" location="local-policies-security-options-1" xr:uid="{00000000-0004-0000-0200-00005D020000}"/>
    <hyperlink ref="L305" r:id="rId607" location="networkaccess_donotallowanonymousenumerationofsamaccountsandshares" xr:uid="{00000000-0004-0000-0200-00005E020000}"/>
    <hyperlink ref="K306" r:id="rId608" location="local-policies-security-options-1" xr:uid="{00000000-0004-0000-0200-00005F020000}"/>
    <hyperlink ref="L306" r:id="rId609" location="networkaccess-restrictanonymousaccesstonamedpipesandshares" xr:uid="{00000000-0004-0000-0200-000060020000}"/>
    <hyperlink ref="K307" r:id="rId610" location="local-policies-security-options-1" xr:uid="{00000000-0004-0000-0200-000061020000}"/>
    <hyperlink ref="L307" r:id="rId611" location="networkaccess_restrictclientsallowedtomakeremotecallstosam" xr:uid="{00000000-0004-0000-0200-000062020000}"/>
    <hyperlink ref="K308" r:id="rId612" location="local-policies-security-options-1" xr:uid="{00000000-0004-0000-0200-000063020000}"/>
    <hyperlink ref="L308" r:id="rId613" location="networksecurity_donotstorelanmanagerhashvalueonnextpasswordchange" xr:uid="{00000000-0004-0000-0200-000064020000}"/>
    <hyperlink ref="K309" r:id="rId614" location="local-policies-security-options-1" xr:uid="{00000000-0004-0000-0200-000065020000}"/>
    <hyperlink ref="L309" r:id="rId615" location="networksecurity_lanmanagerauthenticationlevel" xr:uid="{00000000-0004-0000-0200-000066020000}"/>
    <hyperlink ref="K310" r:id="rId616" location="local-policies-security-options-1" xr:uid="{00000000-0004-0000-0200-000067020000}"/>
    <hyperlink ref="L310" r:id="rId617" location="networksecurity_minimumsessionsecurityforntlmsspbasedclients" xr:uid="{00000000-0004-0000-0200-000068020000}"/>
    <hyperlink ref="K311" r:id="rId618" location="local-policies-security-options-1" xr:uid="{00000000-0004-0000-0200-000069020000}"/>
    <hyperlink ref="L311" r:id="rId619" location="networksecurity_minimumsessionsecurityforntlmsspbasedservers" xr:uid="{00000000-0004-0000-0200-00006A020000}"/>
    <hyperlink ref="K312" r:id="rId620" location="local-policies-security-options-1" xr:uid="{00000000-0004-0000-0200-00006B020000}"/>
    <hyperlink ref="L312" r:id="rId621" location="useraccountcontrol_behavioroftheelevationpromptforadministrators" xr:uid="{00000000-0004-0000-0200-00006C020000}"/>
    <hyperlink ref="K313" r:id="rId622" location="local-policies-security-options-1" xr:uid="{00000000-0004-0000-0200-00006D020000}"/>
    <hyperlink ref="L313" r:id="rId623" location="useraccountcontrol_behavioroftheelevationpromptforstandardusers" xr:uid="{00000000-0004-0000-0200-00006E020000}"/>
    <hyperlink ref="K314" r:id="rId624" location="local-policies-security-options-1" xr:uid="{00000000-0004-0000-0200-00006F020000}"/>
    <hyperlink ref="L314" r:id="rId625" location="useraccountcontrol-detectapplicationinstallationsandpromptforelevation" xr:uid="{00000000-0004-0000-0200-000070020000}"/>
    <hyperlink ref="K315" r:id="rId626" location="local-policies-security-options-1" xr:uid="{00000000-0004-0000-0200-000071020000}"/>
    <hyperlink ref="L315" r:id="rId627" location="useraccountcontrol-onlyelevateuiaccessapplicationsthatareinstalledinsecurelocations" xr:uid="{00000000-0004-0000-0200-000072020000}"/>
    <hyperlink ref="K316" r:id="rId628" location="local-policies-security-options-1" xr:uid="{00000000-0004-0000-0200-000073020000}"/>
    <hyperlink ref="L316" r:id="rId629" location="useraccountcontrol_runalladministratorsinadminapprovalmode" xr:uid="{00000000-0004-0000-0200-000074020000}"/>
    <hyperlink ref="K317" r:id="rId630" location="local-policies-security-options-1" xr:uid="{00000000-0004-0000-0200-000075020000}"/>
    <hyperlink ref="L317" r:id="rId631" location="useraccountcontrol_useadminapprovalmode" xr:uid="{00000000-0004-0000-0200-000076020000}"/>
    <hyperlink ref="K318" r:id="rId632" location="local-policies-security-options-1" xr:uid="{00000000-0004-0000-0200-000077020000}"/>
    <hyperlink ref="L318" r:id="rId633" location="useraccountcontrol_virtualizefileandregistrywritefailurestoperuserlocations" xr:uid="{00000000-0004-0000-0200-000078020000}"/>
    <hyperlink ref="K319" r:id="rId634" location="local-security-authority-1" xr:uid="{00000000-0004-0000-0200-000079020000}"/>
    <hyperlink ref="L319" r:id="rId635" location="configurelsaprotectedprocess" xr:uid="{00000000-0004-0000-0200-00007A020000}"/>
    <hyperlink ref="K320" r:id="rId636" location="microsoft-app-store-1" xr:uid="{00000000-0004-0000-0200-00007B020000}"/>
    <hyperlink ref="L320" r:id="rId637" location="allowgamedvr" xr:uid="{00000000-0004-0000-0200-00007C020000}"/>
    <hyperlink ref="K321" r:id="rId638" location="microsoft-app-store-1" xr:uid="{00000000-0004-0000-0200-00007D020000}"/>
    <hyperlink ref="L321" r:id="rId639" location="msiallowusercontroloverinstall" xr:uid="{00000000-0004-0000-0200-00007E020000}"/>
    <hyperlink ref="K322" r:id="rId640" location="microsoft-app-store-1" xr:uid="{00000000-0004-0000-0200-00007F020000}"/>
    <hyperlink ref="L322" r:id="rId641" location="msialwaysinstallwithelevatedprivileges" xr:uid="{00000000-0004-0000-0200-000080020000}"/>
    <hyperlink ref="K323" r:id="rId642" location="smartscreen-settings-1" xr:uid="{00000000-0004-0000-0200-000081020000}"/>
    <hyperlink ref="K324" r:id="rId643" location="smartscreen-settings-1" xr:uid="{00000000-0004-0000-0200-000082020000}"/>
    <hyperlink ref="K325" r:id="rId644" location="privacy-1" xr:uid="{00000000-0004-0000-0200-000083020000}"/>
    <hyperlink ref="L325" r:id="rId645" location="letappsactivatewithvoiceabovelock" xr:uid="{00000000-0004-0000-0200-000084020000}"/>
    <hyperlink ref="K326" r:id="rId646" location="search-1" xr:uid="{00000000-0004-0000-0200-000085020000}"/>
    <hyperlink ref="L326" r:id="rId647" location="allowindexingencryptedstoresoritems" xr:uid="{00000000-0004-0000-0200-000086020000}"/>
    <hyperlink ref="K327" r:id="rId648" location="smart-screen-1" xr:uid="{00000000-0004-0000-0200-000087020000}"/>
    <hyperlink ref="L327" r:id="rId649" location="enablesmartscreeninshell" xr:uid="{00000000-0004-0000-0200-000088020000}"/>
    <hyperlink ref="K328" r:id="rId650" location="enhanced-phishing-protection-1" xr:uid="{00000000-0004-0000-0200-000089020000}"/>
    <hyperlink ref="K329" r:id="rId651" location="enhanced-phishing-protection-1" xr:uid="{00000000-0004-0000-0200-00008A020000}"/>
    <hyperlink ref="K330" r:id="rId652" location="enhanced-phishing-protection-1" xr:uid="{00000000-0004-0000-0200-00008B020000}"/>
    <hyperlink ref="K331" r:id="rId653" location="enhanced-phishing-protection-1" xr:uid="{00000000-0004-0000-0200-00008C020000}"/>
    <hyperlink ref="K332" r:id="rId654" location="smart-screen-1" xr:uid="{00000000-0004-0000-0200-00008D020000}"/>
    <hyperlink ref="L332" r:id="rId655" location="preventoverrideforfilesinshell" xr:uid="{00000000-0004-0000-0200-00008E020000}"/>
    <hyperlink ref="K333" r:id="rId656" location="system-services-1" xr:uid="{00000000-0004-0000-0200-00008F020000}"/>
    <hyperlink ref="L333" r:id="rId657" location="configurexboxaccessorymanagementservicestartupmode" xr:uid="{00000000-0004-0000-0200-000090020000}"/>
    <hyperlink ref="K334" r:id="rId658" location="system-services-1" xr:uid="{00000000-0004-0000-0200-000091020000}"/>
    <hyperlink ref="L334" r:id="rId659" location="configurexboxliveauthmanagerservicestartupmode" xr:uid="{00000000-0004-0000-0200-000092020000}"/>
    <hyperlink ref="K335" r:id="rId660" location="system-services-1" xr:uid="{00000000-0004-0000-0200-000093020000}"/>
    <hyperlink ref="L335" r:id="rId661" location="configurexboxlivegamesaveservicestartupmode" xr:uid="{00000000-0004-0000-0200-000094020000}"/>
    <hyperlink ref="K336" r:id="rId662" location="system-services-1" xr:uid="{00000000-0004-0000-0200-000095020000}"/>
    <hyperlink ref="L336" r:id="rId663" location="configurexboxlivenetworkingservicestartupmode" xr:uid="{00000000-0004-0000-0200-000096020000}"/>
    <hyperlink ref="K337" r:id="rId664" location="task-scheduler-1" xr:uid="{00000000-0004-0000-0200-000097020000}"/>
    <hyperlink ref="L337" r:id="rId665" location="enablexboxgamesavetask" xr:uid="{00000000-0004-0000-0200-000098020000}"/>
    <hyperlink ref="K338" r:id="rId666" location="user-rights-1" xr:uid="{00000000-0004-0000-0200-000099020000}"/>
    <hyperlink ref="L338" r:id="rId667" location="accessfromnetwork" xr:uid="{00000000-0004-0000-0200-00009A020000}"/>
    <hyperlink ref="K339" r:id="rId668" location="user-rights-1" xr:uid="{00000000-0004-0000-0200-00009B020000}"/>
    <hyperlink ref="L339" r:id="rId669" location="allowlocallogon" xr:uid="{00000000-0004-0000-0200-00009C020000}"/>
    <hyperlink ref="K340" r:id="rId670" location="user-rights-1" xr:uid="{00000000-0004-0000-0200-00009D020000}"/>
    <hyperlink ref="L340" r:id="rId671" location="backupfilesanddirectories" xr:uid="{00000000-0004-0000-0200-00009E020000}"/>
    <hyperlink ref="K341" r:id="rId672" location="user-rights-1" xr:uid="{00000000-0004-0000-0200-00009F020000}"/>
    <hyperlink ref="L341" r:id="rId673" location="createglobalobjects" xr:uid="{00000000-0004-0000-0200-0000A0020000}"/>
    <hyperlink ref="K342" r:id="rId674" location="user-rights-1" xr:uid="{00000000-0004-0000-0200-0000A1020000}"/>
    <hyperlink ref="L342" r:id="rId675" location="createpagefile" xr:uid="{00000000-0004-0000-0200-0000A2020000}"/>
    <hyperlink ref="K343" r:id="rId676" location="user-rights-1" xr:uid="{00000000-0004-0000-0200-0000A3020000}"/>
    <hyperlink ref="L343" r:id="rId677" location="debugprograms" xr:uid="{00000000-0004-0000-0200-0000A4020000}"/>
    <hyperlink ref="K344" r:id="rId678" location="user-rights-1" xr:uid="{00000000-0004-0000-0200-0000A5020000}"/>
    <hyperlink ref="L344" r:id="rId679" location="denyaccessfromnetwork" xr:uid="{00000000-0004-0000-0200-0000A6020000}"/>
    <hyperlink ref="K345" r:id="rId680" location="user-rights-1" xr:uid="{00000000-0004-0000-0200-0000A7020000}"/>
    <hyperlink ref="L345" r:id="rId681" location="denyremotedesktopserviceslogon" xr:uid="{00000000-0004-0000-0200-0000A8020000}"/>
    <hyperlink ref="K346" r:id="rId682" location="user-rights-1" xr:uid="{00000000-0004-0000-0200-0000A9020000}"/>
    <hyperlink ref="L346" r:id="rId683" location="impersonateclient" xr:uid="{00000000-0004-0000-0200-0000AA020000}"/>
    <hyperlink ref="K347" r:id="rId684" location="user-rights-1" xr:uid="{00000000-0004-0000-0200-0000AB020000}"/>
    <hyperlink ref="L347" r:id="rId685" location="loadunloaddevicedrivers" xr:uid="{00000000-0004-0000-0200-0000AC020000}"/>
    <hyperlink ref="K348" r:id="rId686" location="user-rights-1" xr:uid="{00000000-0004-0000-0200-0000AD020000}"/>
    <hyperlink ref="L348" r:id="rId687" location="manageauditingandsecuritylog" xr:uid="{00000000-0004-0000-0200-0000AE020000}"/>
    <hyperlink ref="K349" r:id="rId688" location="user-rights-1" xr:uid="{00000000-0004-0000-0200-0000AF020000}"/>
    <hyperlink ref="L349" r:id="rId689" location="managevolume" xr:uid="{00000000-0004-0000-0200-0000B0020000}"/>
    <hyperlink ref="K350" r:id="rId690" location="user-rights-1" xr:uid="{00000000-0004-0000-0200-0000B1020000}"/>
    <hyperlink ref="L350" r:id="rId691" location="modifyfirmwareenvironment" xr:uid="{00000000-0004-0000-0200-0000B2020000}"/>
    <hyperlink ref="K351" r:id="rId692" location="user-rights-1" xr:uid="{00000000-0004-0000-0200-0000B3020000}"/>
    <hyperlink ref="L351" r:id="rId693" location="profilesingleprocess" xr:uid="{00000000-0004-0000-0200-0000B4020000}"/>
    <hyperlink ref="K352" r:id="rId694" location="user-rights-1" xr:uid="{00000000-0004-0000-0200-0000B5020000}"/>
    <hyperlink ref="L352" r:id="rId695" location="remoteshutdown" xr:uid="{00000000-0004-0000-0200-0000B6020000}"/>
    <hyperlink ref="K353" r:id="rId696" location="user-rights-1" xr:uid="{00000000-0004-0000-0200-0000B7020000}"/>
    <hyperlink ref="L353" r:id="rId697" location="restorefilesanddirectories" xr:uid="{00000000-0004-0000-0200-0000B8020000}"/>
    <hyperlink ref="K354" r:id="rId698" location="user-rights-1" xr:uid="{00000000-0004-0000-0200-0000B9020000}"/>
    <hyperlink ref="L354" r:id="rId699" location="takeownership" xr:uid="{00000000-0004-0000-0200-0000BA020000}"/>
    <hyperlink ref="K355" r:id="rId700" location="virtualization-based-technology-1" xr:uid="{00000000-0004-0000-0200-0000BB020000}"/>
    <hyperlink ref="L355" r:id="rId701" location="hypervisorenforcedcodeintegrity" xr:uid="{00000000-0004-0000-0200-0000BC020000}"/>
    <hyperlink ref="K356" r:id="rId702" location="wi-fi-settings-1" xr:uid="{00000000-0004-0000-0200-0000BD020000}"/>
    <hyperlink ref="L356" r:id="rId703" location="allowautoconnecttowifisensehotspots" xr:uid="{00000000-0004-0000-0200-0000BE020000}"/>
    <hyperlink ref="K357" r:id="rId704" location="wi-fi-settings-1" xr:uid="{00000000-0004-0000-0200-0000BF020000}"/>
    <hyperlink ref="L357" r:id="rId705" location="allowinternetsharing" xr:uid="{00000000-0004-0000-0200-0000C0020000}"/>
    <hyperlink ref="K358" r:id="rId706" location="windows-hello-for-business-1" xr:uid="{00000000-0004-0000-0200-0000C1020000}"/>
    <hyperlink ref="L358" r:id="rId707" location="devicebiometricsfacialfeaturesuseenhancedantispoofing" xr:uid="{00000000-0004-0000-0200-0000C2020000}"/>
    <hyperlink ref="K359" r:id="rId708" location="windows-ink-workspace-1" xr:uid="{00000000-0004-0000-0200-0000C3020000}"/>
    <hyperlink ref="L359" r:id="rId709" location="allowwindowsinkworkspace" xr:uid="{00000000-0004-0000-0200-0000C4020000}"/>
    <hyperlink ref="K360" r:id="rId710" location="laps-1" xr:uid="{00000000-0004-0000-0200-0000C5020000}"/>
    <hyperlink ref="L360" r:id="rId711" location="policiesbackupdirectory" xr:uid="{00000000-0004-0000-0200-0000C6020000}"/>
    <hyperlink ref="K361" r:id="rId712" location="kerberos-1" xr:uid="{00000000-0004-0000-0200-0000C7020000}"/>
    <hyperlink ref="L361" r:id="rId713" location="pkinithashalgorithmsha256" xr:uid="{00000000-0004-0000-0200-0000C8020000}"/>
    <hyperlink ref="K362" r:id="rId714" location="kerberos-1" xr:uid="{00000000-0004-0000-0200-0000C9020000}"/>
    <hyperlink ref="L362" r:id="rId715" location="pkinithashalgorithmsha384" xr:uid="{00000000-0004-0000-0200-0000CA020000}"/>
    <hyperlink ref="K363" r:id="rId716" location="kerberos-1" xr:uid="{00000000-0004-0000-0200-0000CB020000}"/>
    <hyperlink ref="L363" r:id="rId717" location="pkinithashalgorithmsha512" xr:uid="{00000000-0004-0000-0200-0000CC020000}"/>
    <hyperlink ref="K364" r:id="rId718" location="kerberos-1" xr:uid="{00000000-0004-0000-0200-0000CD020000}"/>
    <hyperlink ref="L364" r:id="rId719" location="pkinithashalgorithmsha1" xr:uid="{00000000-0004-0000-0200-0000CE020000}"/>
    <hyperlink ref="K365" r:id="rId720" location="sudo-1" xr:uid="{00000000-0004-0000-0200-0000CF020000}"/>
    <hyperlink ref="L365" r:id="rId721" xr:uid="{00000000-0004-0000-0200-0000D0020000}"/>
    <hyperlink ref="A369" r:id="rId722" xr:uid="{00000000-0004-0000-0200-0000D1020000}"/>
  </hyperlinks>
  <pageMargins left="0.7" right="0.7" top="0.75" bottom="0.75" header="0.3" footer="0.3"/>
  <tableParts count="1">
    <tablePart r:id="rId72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20" customWidth="1"/>
    <col min="2" max="2" width="10" style="20" customWidth="1"/>
    <col min="3" max="3" width="30" style="20" customWidth="1"/>
    <col min="4" max="6" width="12" style="20" customWidth="1"/>
    <col min="7" max="7" width="40" style="20" customWidth="1"/>
    <col min="8" max="9" width="15" style="20" customWidth="1"/>
    <col min="10" max="11" width="30" style="20" customWidth="1"/>
    <col min="12" max="12" width="13" style="20" customWidth="1"/>
    <col min="13" max="13" width="20" style="20" customWidth="1"/>
    <col min="14" max="14" width="40" style="20" customWidth="1"/>
    <col min="15" max="15" width="25" style="20" customWidth="1"/>
    <col min="16" max="16" width="20" style="20" customWidth="1"/>
    <col min="17" max="17" width="15" style="20" customWidth="1"/>
    <col min="18" max="18" width="40" style="20" customWidth="1"/>
    <col min="19" max="19" width="16" style="20" customWidth="1"/>
    <col min="20" max="20" width="40" style="20" customWidth="1"/>
    <col min="21" max="21" width="9.1796875" style="20" customWidth="1"/>
    <col min="22" max="16384" width="9.1796875" style="20"/>
  </cols>
  <sheetData>
    <row r="1" spans="2:20" ht="5" customHeight="1" x14ac:dyDescent="0.35"/>
    <row r="2" spans="2:20" ht="30" customHeight="1" x14ac:dyDescent="0.35">
      <c r="B2" s="283" t="s">
        <v>3001</v>
      </c>
      <c r="C2" s="283" t="s">
        <v>3001</v>
      </c>
      <c r="D2" s="283" t="s">
        <v>3001</v>
      </c>
      <c r="E2" s="283" t="s">
        <v>3001</v>
      </c>
      <c r="F2" s="283" t="s">
        <v>3001</v>
      </c>
      <c r="G2" s="283" t="s">
        <v>3001</v>
      </c>
      <c r="H2" s="287" t="s">
        <v>3002</v>
      </c>
      <c r="I2" s="287" t="s">
        <v>3002</v>
      </c>
      <c r="J2" s="287" t="s">
        <v>3002</v>
      </c>
      <c r="K2" s="287" t="s">
        <v>3002</v>
      </c>
      <c r="L2" s="287" t="s">
        <v>3002</v>
      </c>
      <c r="M2" s="286" t="s">
        <v>3003</v>
      </c>
      <c r="N2" s="286" t="s">
        <v>3003</v>
      </c>
      <c r="O2" s="288" t="s">
        <v>3004</v>
      </c>
      <c r="P2" s="288" t="s">
        <v>3004</v>
      </c>
      <c r="Q2" s="284" t="s">
        <v>20</v>
      </c>
      <c r="R2" s="284" t="s">
        <v>20</v>
      </c>
      <c r="S2" s="284" t="s">
        <v>20</v>
      </c>
      <c r="T2" s="285" t="s">
        <v>3005</v>
      </c>
    </row>
    <row r="3" spans="2:20" ht="35" customHeight="1" x14ac:dyDescent="0.35">
      <c r="B3" s="71" t="s">
        <v>3006</v>
      </c>
      <c r="C3" s="71" t="s">
        <v>3007</v>
      </c>
      <c r="D3" s="71" t="s">
        <v>3008</v>
      </c>
      <c r="E3" s="71" t="s">
        <v>3009</v>
      </c>
      <c r="F3" s="71" t="s">
        <v>3010</v>
      </c>
      <c r="G3" s="71" t="s">
        <v>9</v>
      </c>
      <c r="H3" s="72" t="s">
        <v>3011</v>
      </c>
      <c r="I3" s="72" t="s">
        <v>3012</v>
      </c>
      <c r="J3" s="72" t="s">
        <v>3013</v>
      </c>
      <c r="K3" s="72" t="s">
        <v>3014</v>
      </c>
      <c r="L3" s="72" t="s">
        <v>2947</v>
      </c>
      <c r="M3" s="73" t="s">
        <v>3015</v>
      </c>
      <c r="N3" s="73" t="s">
        <v>3016</v>
      </c>
      <c r="O3" s="74" t="s">
        <v>3017</v>
      </c>
      <c r="P3" s="74" t="s">
        <v>3018</v>
      </c>
      <c r="Q3" s="75" t="s">
        <v>20</v>
      </c>
      <c r="R3" s="75" t="s">
        <v>3019</v>
      </c>
      <c r="S3" s="75" t="s">
        <v>3020</v>
      </c>
      <c r="T3" s="76" t="s">
        <v>3021</v>
      </c>
    </row>
    <row r="4" spans="2:20" ht="60" customHeight="1" x14ac:dyDescent="0.35">
      <c r="B4" s="77" t="s">
        <v>3022</v>
      </c>
      <c r="C4" s="77" t="s">
        <v>3023</v>
      </c>
      <c r="D4" s="77" t="s">
        <v>3024</v>
      </c>
      <c r="E4" s="77" t="s">
        <v>3025</v>
      </c>
      <c r="F4" s="77" t="s">
        <v>3026</v>
      </c>
      <c r="G4" s="77" t="s">
        <v>3027</v>
      </c>
      <c r="H4" s="77" t="s">
        <v>3028</v>
      </c>
      <c r="I4" s="77" t="s">
        <v>3029</v>
      </c>
      <c r="J4" s="77" t="s">
        <v>3030</v>
      </c>
      <c r="K4" s="77" t="s">
        <v>3031</v>
      </c>
      <c r="L4" s="77" t="s">
        <v>3032</v>
      </c>
      <c r="M4" s="77" t="s">
        <v>3033</v>
      </c>
      <c r="N4" s="77" t="s">
        <v>3034</v>
      </c>
      <c r="O4" s="77" t="s">
        <v>3035</v>
      </c>
      <c r="P4" s="77" t="s">
        <v>3036</v>
      </c>
      <c r="Q4" s="77" t="s">
        <v>3037</v>
      </c>
      <c r="R4" s="77" t="s">
        <v>3038</v>
      </c>
      <c r="S4" s="77" t="s">
        <v>3039</v>
      </c>
      <c r="T4" s="77" t="s">
        <v>3040</v>
      </c>
    </row>
    <row r="5" spans="2:20" ht="60" customHeight="1" x14ac:dyDescent="0.35">
      <c r="B5" s="39" t="s">
        <v>3041</v>
      </c>
      <c r="C5" s="78"/>
      <c r="D5" s="79"/>
      <c r="E5" s="79" t="s">
        <v>28</v>
      </c>
      <c r="F5" s="79" t="str">
        <f>IF(E5&lt;&gt;"", IFERROR(VLOOKUP(E5, Dashboard!$B29:$F34, 5, FALSE), ""), "")</f>
        <v/>
      </c>
      <c r="G5" s="80"/>
      <c r="H5" s="67"/>
      <c r="I5" s="67"/>
      <c r="J5" s="80"/>
      <c r="K5" s="80"/>
      <c r="L5" s="41"/>
      <c r="M5" s="41"/>
      <c r="N5" s="80"/>
      <c r="O5" s="80"/>
      <c r="P5" s="41"/>
      <c r="Q5" s="41" t="s">
        <v>28</v>
      </c>
      <c r="R5" s="80"/>
      <c r="S5" s="67"/>
      <c r="T5" s="80"/>
    </row>
    <row r="6" spans="2:20" ht="60" customHeight="1" x14ac:dyDescent="0.35">
      <c r="B6" s="39" t="s">
        <v>3042</v>
      </c>
      <c r="C6" s="78"/>
      <c r="D6" s="79"/>
      <c r="E6" s="79" t="s">
        <v>28</v>
      </c>
      <c r="F6" s="79" t="str">
        <f>IF(E6&lt;&gt;"", IFERROR(VLOOKUP(E6, Dashboard!$B29:$F34, 5, FALSE), ""), "")</f>
        <v/>
      </c>
      <c r="G6" s="80"/>
      <c r="H6" s="67"/>
      <c r="I6" s="67"/>
      <c r="J6" s="80"/>
      <c r="K6" s="80"/>
      <c r="L6" s="41"/>
      <c r="M6" s="41"/>
      <c r="N6" s="80"/>
      <c r="O6" s="80"/>
      <c r="P6" s="41"/>
      <c r="Q6" s="41" t="s">
        <v>28</v>
      </c>
      <c r="R6" s="80"/>
      <c r="S6" s="67"/>
      <c r="T6" s="80"/>
    </row>
    <row r="7" spans="2:20" ht="60" customHeight="1" x14ac:dyDescent="0.35">
      <c r="B7" s="39" t="s">
        <v>3043</v>
      </c>
      <c r="C7" s="78"/>
      <c r="D7" s="79"/>
      <c r="E7" s="79" t="s">
        <v>28</v>
      </c>
      <c r="F7" s="79" t="str">
        <f>IF(E7&lt;&gt;"", IFERROR(VLOOKUP(E7, Dashboard!$B29:$F34, 5, FALSE), ""), "")</f>
        <v/>
      </c>
      <c r="G7" s="80"/>
      <c r="H7" s="67"/>
      <c r="I7" s="67"/>
      <c r="J7" s="80"/>
      <c r="K7" s="80"/>
      <c r="L7" s="41"/>
      <c r="M7" s="41"/>
      <c r="N7" s="80"/>
      <c r="O7" s="80"/>
      <c r="P7" s="41"/>
      <c r="Q7" s="41" t="s">
        <v>28</v>
      </c>
      <c r="R7" s="80"/>
      <c r="S7" s="67"/>
      <c r="T7" s="80"/>
    </row>
    <row r="8" spans="2:20" ht="60" customHeight="1" x14ac:dyDescent="0.35">
      <c r="B8" s="39" t="s">
        <v>3044</v>
      </c>
      <c r="C8" s="78"/>
      <c r="D8" s="79"/>
      <c r="E8" s="79" t="s">
        <v>28</v>
      </c>
      <c r="F8" s="79" t="str">
        <f>IF(E8&lt;&gt;"", IFERROR(VLOOKUP(E8, Dashboard!$B29:$F34, 5, FALSE), ""), "")</f>
        <v/>
      </c>
      <c r="G8" s="80"/>
      <c r="H8" s="67"/>
      <c r="I8" s="67"/>
      <c r="J8" s="80"/>
      <c r="K8" s="80"/>
      <c r="L8" s="41"/>
      <c r="M8" s="41"/>
      <c r="N8" s="80"/>
      <c r="O8" s="80"/>
      <c r="P8" s="41"/>
      <c r="Q8" s="41" t="s">
        <v>28</v>
      </c>
      <c r="R8" s="80"/>
      <c r="S8" s="67"/>
      <c r="T8" s="80"/>
    </row>
    <row r="9" spans="2:20" ht="60" customHeight="1" x14ac:dyDescent="0.35">
      <c r="B9" s="39" t="s">
        <v>3045</v>
      </c>
      <c r="C9" s="78"/>
      <c r="D9" s="79"/>
      <c r="E9" s="79" t="s">
        <v>28</v>
      </c>
      <c r="F9" s="79" t="str">
        <f>IF(E9&lt;&gt;"", IFERROR(VLOOKUP(E9, Dashboard!$B29:$F34, 5, FALSE), ""), "")</f>
        <v/>
      </c>
      <c r="G9" s="80"/>
      <c r="H9" s="67"/>
      <c r="I9" s="67"/>
      <c r="J9" s="80"/>
      <c r="K9" s="80"/>
      <c r="L9" s="41"/>
      <c r="M9" s="41"/>
      <c r="N9" s="80"/>
      <c r="O9" s="80"/>
      <c r="P9" s="41"/>
      <c r="Q9" s="41" t="s">
        <v>28</v>
      </c>
      <c r="R9" s="80"/>
      <c r="S9" s="67"/>
      <c r="T9" s="80"/>
    </row>
    <row r="10" spans="2:20" ht="60" customHeight="1" x14ac:dyDescent="0.35">
      <c r="B10" s="39" t="s">
        <v>3046</v>
      </c>
      <c r="C10" s="78"/>
      <c r="D10" s="79"/>
      <c r="E10" s="79" t="s">
        <v>28</v>
      </c>
      <c r="F10" s="79" t="str">
        <f>IF(E10&lt;&gt;"", IFERROR(VLOOKUP(E10, Dashboard!$B29:$F34, 5, FALSE), ""), "")</f>
        <v/>
      </c>
      <c r="G10" s="80"/>
      <c r="H10" s="67"/>
      <c r="I10" s="67"/>
      <c r="J10" s="80"/>
      <c r="K10" s="80"/>
      <c r="L10" s="41"/>
      <c r="M10" s="41"/>
      <c r="N10" s="80"/>
      <c r="O10" s="80"/>
      <c r="P10" s="41"/>
      <c r="Q10" s="41" t="s">
        <v>28</v>
      </c>
      <c r="R10" s="80"/>
      <c r="S10" s="67"/>
      <c r="T10" s="80"/>
    </row>
    <row r="11" spans="2:20" ht="60" customHeight="1" x14ac:dyDescent="0.35">
      <c r="B11" s="39" t="s">
        <v>3047</v>
      </c>
      <c r="C11" s="78"/>
      <c r="D11" s="79"/>
      <c r="E11" s="79" t="s">
        <v>28</v>
      </c>
      <c r="F11" s="79" t="str">
        <f>IF(E11&lt;&gt;"", IFERROR(VLOOKUP(E11, Dashboard!$B29:$F34, 5, FALSE), ""), "")</f>
        <v/>
      </c>
      <c r="G11" s="80"/>
      <c r="H11" s="67"/>
      <c r="I11" s="67"/>
      <c r="J11" s="80"/>
      <c r="K11" s="80"/>
      <c r="L11" s="41"/>
      <c r="M11" s="41"/>
      <c r="N11" s="80"/>
      <c r="O11" s="80"/>
      <c r="P11" s="41"/>
      <c r="Q11" s="41" t="s">
        <v>28</v>
      </c>
      <c r="R11" s="80"/>
      <c r="S11" s="67"/>
      <c r="T11" s="80"/>
    </row>
    <row r="12" spans="2:20" ht="60" customHeight="1" x14ac:dyDescent="0.35">
      <c r="B12" s="39" t="s">
        <v>3048</v>
      </c>
      <c r="C12" s="78"/>
      <c r="D12" s="79"/>
      <c r="E12" s="79" t="s">
        <v>28</v>
      </c>
      <c r="F12" s="79" t="str">
        <f>IF(E12&lt;&gt;"", IFERROR(VLOOKUP(E12, Dashboard!$B29:$F34, 5, FALSE), ""), "")</f>
        <v/>
      </c>
      <c r="G12" s="80"/>
      <c r="H12" s="67"/>
      <c r="I12" s="67"/>
      <c r="J12" s="80"/>
      <c r="K12" s="80"/>
      <c r="L12" s="41"/>
      <c r="M12" s="41"/>
      <c r="N12" s="80"/>
      <c r="O12" s="80"/>
      <c r="P12" s="41"/>
      <c r="Q12" s="41" t="s">
        <v>28</v>
      </c>
      <c r="R12" s="80"/>
      <c r="S12" s="67"/>
      <c r="T12" s="80"/>
    </row>
    <row r="13" spans="2:20" ht="60" customHeight="1" x14ac:dyDescent="0.35">
      <c r="B13" s="39" t="s">
        <v>3049</v>
      </c>
      <c r="C13" s="78"/>
      <c r="D13" s="79"/>
      <c r="E13" s="79" t="s">
        <v>28</v>
      </c>
      <c r="F13" s="79" t="str">
        <f>IF(E13&lt;&gt;"", IFERROR(VLOOKUP(E13, Dashboard!$B29:$F34, 5, FALSE), ""), "")</f>
        <v/>
      </c>
      <c r="G13" s="80"/>
      <c r="H13" s="67"/>
      <c r="I13" s="67"/>
      <c r="J13" s="80"/>
      <c r="K13" s="80"/>
      <c r="L13" s="41"/>
      <c r="M13" s="41"/>
      <c r="N13" s="80"/>
      <c r="O13" s="80"/>
      <c r="P13" s="41"/>
      <c r="Q13" s="41" t="s">
        <v>28</v>
      </c>
      <c r="R13" s="80"/>
      <c r="S13" s="67"/>
      <c r="T13" s="80"/>
    </row>
    <row r="14" spans="2:20" ht="60" customHeight="1" x14ac:dyDescent="0.35">
      <c r="B14" s="39" t="s">
        <v>3050</v>
      </c>
      <c r="C14" s="78"/>
      <c r="D14" s="79"/>
      <c r="E14" s="79" t="s">
        <v>28</v>
      </c>
      <c r="F14" s="79" t="str">
        <f>IF(E14&lt;&gt;"", IFERROR(VLOOKUP(E14, Dashboard!$B29:$F34, 5, FALSE), ""), "")</f>
        <v/>
      </c>
      <c r="G14" s="80"/>
      <c r="H14" s="67"/>
      <c r="I14" s="67"/>
      <c r="J14" s="80"/>
      <c r="K14" s="80"/>
      <c r="L14" s="41"/>
      <c r="M14" s="41"/>
      <c r="N14" s="80"/>
      <c r="O14" s="80"/>
      <c r="P14" s="41"/>
      <c r="Q14" s="41" t="s">
        <v>28</v>
      </c>
      <c r="R14" s="80"/>
      <c r="S14" s="67"/>
      <c r="T14" s="80"/>
    </row>
    <row r="15" spans="2:20" ht="60" customHeight="1" x14ac:dyDescent="0.35">
      <c r="B15" s="39" t="s">
        <v>3051</v>
      </c>
      <c r="C15" s="78"/>
      <c r="D15" s="79"/>
      <c r="E15" s="79" t="s">
        <v>28</v>
      </c>
      <c r="F15" s="79" t="str">
        <f>IF(E15&lt;&gt;"", IFERROR(VLOOKUP(E15, Dashboard!$B29:$F34, 5, FALSE), ""), "")</f>
        <v/>
      </c>
      <c r="G15" s="80"/>
      <c r="H15" s="67"/>
      <c r="I15" s="67"/>
      <c r="J15" s="80"/>
      <c r="K15" s="80"/>
      <c r="L15" s="41"/>
      <c r="M15" s="41"/>
      <c r="N15" s="80"/>
      <c r="O15" s="80"/>
      <c r="P15" s="41"/>
      <c r="Q15" s="41" t="s">
        <v>28</v>
      </c>
      <c r="R15" s="80"/>
      <c r="S15" s="67"/>
      <c r="T15" s="80"/>
    </row>
    <row r="16" spans="2:20" ht="60" customHeight="1" x14ac:dyDescent="0.35">
      <c r="B16" s="39" t="s">
        <v>3052</v>
      </c>
      <c r="C16" s="78"/>
      <c r="D16" s="79"/>
      <c r="E16" s="79" t="s">
        <v>28</v>
      </c>
      <c r="F16" s="79" t="str">
        <f>IF(E16&lt;&gt;"", IFERROR(VLOOKUP(E16, Dashboard!$B29:$F34, 5, FALSE), ""), "")</f>
        <v/>
      </c>
      <c r="G16" s="80"/>
      <c r="H16" s="67"/>
      <c r="I16" s="67"/>
      <c r="J16" s="80"/>
      <c r="K16" s="80"/>
      <c r="L16" s="41"/>
      <c r="M16" s="41"/>
      <c r="N16" s="80"/>
      <c r="O16" s="80"/>
      <c r="P16" s="41"/>
      <c r="Q16" s="41" t="s">
        <v>28</v>
      </c>
      <c r="R16" s="80"/>
      <c r="S16" s="67"/>
      <c r="T16" s="80"/>
    </row>
    <row r="17" spans="2:20" ht="60" customHeight="1" x14ac:dyDescent="0.35">
      <c r="B17" s="39" t="s">
        <v>3053</v>
      </c>
      <c r="C17" s="78"/>
      <c r="D17" s="79"/>
      <c r="E17" s="79" t="s">
        <v>28</v>
      </c>
      <c r="F17" s="79" t="str">
        <f>IF(E17&lt;&gt;"", IFERROR(VLOOKUP(E17, Dashboard!$B29:$F34, 5, FALSE), ""), "")</f>
        <v/>
      </c>
      <c r="G17" s="80"/>
      <c r="H17" s="67"/>
      <c r="I17" s="67"/>
      <c r="J17" s="80"/>
      <c r="K17" s="80"/>
      <c r="L17" s="41"/>
      <c r="M17" s="41"/>
      <c r="N17" s="80"/>
      <c r="O17" s="80"/>
      <c r="P17" s="41"/>
      <c r="Q17" s="41" t="s">
        <v>28</v>
      </c>
      <c r="R17" s="80"/>
      <c r="S17" s="67"/>
      <c r="T17" s="80"/>
    </row>
    <row r="18" spans="2:20" ht="60" customHeight="1" x14ac:dyDescent="0.35">
      <c r="B18" s="39" t="s">
        <v>3054</v>
      </c>
      <c r="C18" s="78"/>
      <c r="D18" s="79"/>
      <c r="E18" s="79" t="s">
        <v>28</v>
      </c>
      <c r="F18" s="79" t="str">
        <f>IF(E18&lt;&gt;"", IFERROR(VLOOKUP(E18, Dashboard!$B29:$F34, 5, FALSE), ""), "")</f>
        <v/>
      </c>
      <c r="G18" s="80"/>
      <c r="H18" s="67"/>
      <c r="I18" s="67"/>
      <c r="J18" s="80"/>
      <c r="K18" s="80"/>
      <c r="L18" s="41"/>
      <c r="M18" s="41"/>
      <c r="N18" s="80"/>
      <c r="O18" s="80"/>
      <c r="P18" s="41"/>
      <c r="Q18" s="41" t="s">
        <v>28</v>
      </c>
      <c r="R18" s="80"/>
      <c r="S18" s="67"/>
      <c r="T18" s="80"/>
    </row>
    <row r="19" spans="2:20" ht="60" customHeight="1" x14ac:dyDescent="0.35">
      <c r="B19" s="39" t="s">
        <v>3055</v>
      </c>
      <c r="C19" s="78"/>
      <c r="D19" s="79"/>
      <c r="E19" s="79" t="s">
        <v>28</v>
      </c>
      <c r="F19" s="79" t="str">
        <f>IF(E19&lt;&gt;"", IFERROR(VLOOKUP(E19, Dashboard!$B29:$F34, 5, FALSE), ""), "")</f>
        <v/>
      </c>
      <c r="G19" s="80"/>
      <c r="H19" s="67"/>
      <c r="I19" s="67"/>
      <c r="J19" s="80"/>
      <c r="K19" s="80"/>
      <c r="L19" s="41"/>
      <c r="M19" s="41"/>
      <c r="N19" s="80"/>
      <c r="O19" s="80"/>
      <c r="P19" s="41"/>
      <c r="Q19" s="41" t="s">
        <v>28</v>
      </c>
      <c r="R19" s="80"/>
      <c r="S19" s="67"/>
      <c r="T19" s="80"/>
    </row>
    <row r="20" spans="2:20" ht="60" customHeight="1" x14ac:dyDescent="0.35">
      <c r="B20" s="39" t="s">
        <v>3056</v>
      </c>
      <c r="C20" s="78"/>
      <c r="D20" s="79"/>
      <c r="E20" s="79" t="s">
        <v>28</v>
      </c>
      <c r="F20" s="79" t="str">
        <f>IF(E20&lt;&gt;"", IFERROR(VLOOKUP(E20, Dashboard!$B29:$F34, 5, FALSE), ""), "")</f>
        <v/>
      </c>
      <c r="G20" s="80"/>
      <c r="H20" s="67"/>
      <c r="I20" s="67"/>
      <c r="J20" s="80"/>
      <c r="K20" s="80"/>
      <c r="L20" s="41"/>
      <c r="M20" s="41"/>
      <c r="N20" s="80"/>
      <c r="O20" s="80"/>
      <c r="P20" s="41"/>
      <c r="Q20" s="41" t="s">
        <v>28</v>
      </c>
      <c r="R20" s="80"/>
      <c r="S20" s="67"/>
      <c r="T20" s="80"/>
    </row>
    <row r="21" spans="2:20" ht="60" customHeight="1" x14ac:dyDescent="0.35">
      <c r="B21" s="39" t="s">
        <v>3057</v>
      </c>
      <c r="C21" s="78"/>
      <c r="D21" s="79"/>
      <c r="E21" s="79" t="s">
        <v>28</v>
      </c>
      <c r="F21" s="79" t="str">
        <f>IF(E21&lt;&gt;"", IFERROR(VLOOKUP(E21, Dashboard!$B29:$F34, 5, FALSE), ""), "")</f>
        <v/>
      </c>
      <c r="G21" s="80"/>
      <c r="H21" s="67"/>
      <c r="I21" s="67"/>
      <c r="J21" s="80"/>
      <c r="K21" s="80"/>
      <c r="L21" s="41"/>
      <c r="M21" s="41"/>
      <c r="N21" s="80"/>
      <c r="O21" s="80"/>
      <c r="P21" s="41"/>
      <c r="Q21" s="41" t="s">
        <v>28</v>
      </c>
      <c r="R21" s="80"/>
      <c r="S21" s="67"/>
      <c r="T21" s="80"/>
    </row>
    <row r="22" spans="2:20" ht="60" customHeight="1" x14ac:dyDescent="0.35">
      <c r="B22" s="39" t="s">
        <v>3058</v>
      </c>
      <c r="C22" s="78"/>
      <c r="D22" s="79"/>
      <c r="E22" s="79" t="s">
        <v>28</v>
      </c>
      <c r="F22" s="79" t="str">
        <f>IF(E22&lt;&gt;"", IFERROR(VLOOKUP(E22, Dashboard!$B29:$F34, 5, FALSE), ""), "")</f>
        <v/>
      </c>
      <c r="G22" s="80"/>
      <c r="H22" s="67"/>
      <c r="I22" s="67"/>
      <c r="J22" s="80"/>
      <c r="K22" s="80"/>
      <c r="L22" s="41"/>
      <c r="M22" s="41"/>
      <c r="N22" s="80"/>
      <c r="O22" s="80"/>
      <c r="P22" s="41"/>
      <c r="Q22" s="41" t="s">
        <v>28</v>
      </c>
      <c r="R22" s="80"/>
      <c r="S22" s="67"/>
      <c r="T22" s="80"/>
    </row>
    <row r="23" spans="2:20" ht="60" customHeight="1" x14ac:dyDescent="0.35">
      <c r="B23" s="39" t="s">
        <v>3059</v>
      </c>
      <c r="C23" s="78"/>
      <c r="D23" s="79"/>
      <c r="E23" s="79" t="s">
        <v>28</v>
      </c>
      <c r="F23" s="79" t="str">
        <f>IF(E23&lt;&gt;"", IFERROR(VLOOKUP(E23, Dashboard!$B29:$F34, 5, FALSE), ""), "")</f>
        <v/>
      </c>
      <c r="G23" s="80"/>
      <c r="H23" s="67"/>
      <c r="I23" s="67"/>
      <c r="J23" s="80"/>
      <c r="K23" s="80"/>
      <c r="L23" s="41"/>
      <c r="M23" s="41"/>
      <c r="N23" s="80"/>
      <c r="O23" s="80"/>
      <c r="P23" s="41"/>
      <c r="Q23" s="41" t="s">
        <v>28</v>
      </c>
      <c r="R23" s="80"/>
      <c r="S23" s="67"/>
      <c r="T23" s="80"/>
    </row>
    <row r="24" spans="2:20" ht="60" customHeight="1" x14ac:dyDescent="0.35">
      <c r="B24" s="39" t="s">
        <v>3060</v>
      </c>
      <c r="C24" s="78"/>
      <c r="D24" s="79"/>
      <c r="E24" s="79" t="s">
        <v>28</v>
      </c>
      <c r="F24" s="79" t="str">
        <f>IF(E24&lt;&gt;"", IFERROR(VLOOKUP(E24, Dashboard!$B29:$F34, 5, FALSE), ""), "")</f>
        <v/>
      </c>
      <c r="G24" s="80"/>
      <c r="H24" s="67"/>
      <c r="I24" s="67"/>
      <c r="J24" s="80"/>
      <c r="K24" s="80"/>
      <c r="L24" s="41"/>
      <c r="M24" s="41"/>
      <c r="N24" s="80"/>
      <c r="O24" s="80"/>
      <c r="P24" s="41"/>
      <c r="Q24" s="41" t="s">
        <v>28</v>
      </c>
      <c r="R24" s="80"/>
      <c r="S24" s="67"/>
      <c r="T24" s="80"/>
    </row>
    <row r="25" spans="2:20" ht="60" customHeight="1" x14ac:dyDescent="0.35">
      <c r="B25" s="39" t="s">
        <v>3061</v>
      </c>
      <c r="C25" s="78"/>
      <c r="D25" s="79"/>
      <c r="E25" s="79" t="s">
        <v>28</v>
      </c>
      <c r="F25" s="79" t="str">
        <f>IF(E25&lt;&gt;"", IFERROR(VLOOKUP(E25, Dashboard!$B29:$F34, 5, FALSE), ""), "")</f>
        <v/>
      </c>
      <c r="G25" s="80"/>
      <c r="H25" s="67"/>
      <c r="I25" s="67"/>
      <c r="J25" s="80"/>
      <c r="K25" s="80"/>
      <c r="L25" s="41"/>
      <c r="M25" s="41"/>
      <c r="N25" s="80"/>
      <c r="O25" s="80"/>
      <c r="P25" s="41"/>
      <c r="Q25" s="41" t="s">
        <v>28</v>
      </c>
      <c r="R25" s="80"/>
      <c r="S25" s="67"/>
      <c r="T25" s="80"/>
    </row>
    <row r="26" spans="2:20" ht="60" customHeight="1" x14ac:dyDescent="0.35">
      <c r="B26" s="39" t="s">
        <v>3062</v>
      </c>
      <c r="C26" s="78"/>
      <c r="D26" s="79"/>
      <c r="E26" s="79" t="s">
        <v>28</v>
      </c>
      <c r="F26" s="79" t="str">
        <f>IF(E26&lt;&gt;"", IFERROR(VLOOKUP(E26, Dashboard!$B29:$F34, 5, FALSE), ""), "")</f>
        <v/>
      </c>
      <c r="G26" s="80"/>
      <c r="H26" s="67"/>
      <c r="I26" s="67"/>
      <c r="J26" s="80"/>
      <c r="K26" s="80"/>
      <c r="L26" s="41"/>
      <c r="M26" s="41"/>
      <c r="N26" s="80"/>
      <c r="O26" s="80"/>
      <c r="P26" s="41"/>
      <c r="Q26" s="41" t="s">
        <v>28</v>
      </c>
      <c r="R26" s="80"/>
      <c r="S26" s="67"/>
      <c r="T26" s="80"/>
    </row>
    <row r="27" spans="2:20" ht="60" customHeight="1" x14ac:dyDescent="0.35">
      <c r="B27" s="39" t="s">
        <v>3063</v>
      </c>
      <c r="C27" s="78"/>
      <c r="D27" s="79"/>
      <c r="E27" s="79" t="s">
        <v>28</v>
      </c>
      <c r="F27" s="79" t="str">
        <f>IF(E27&lt;&gt;"", IFERROR(VLOOKUP(E27, Dashboard!$B29:$F34, 5, FALSE), ""), "")</f>
        <v/>
      </c>
      <c r="G27" s="80"/>
      <c r="H27" s="67"/>
      <c r="I27" s="67"/>
      <c r="J27" s="80"/>
      <c r="K27" s="80"/>
      <c r="L27" s="41"/>
      <c r="M27" s="41"/>
      <c r="N27" s="80"/>
      <c r="O27" s="80"/>
      <c r="P27" s="41"/>
      <c r="Q27" s="41" t="s">
        <v>28</v>
      </c>
      <c r="R27" s="80"/>
      <c r="S27" s="67"/>
      <c r="T27" s="80"/>
    </row>
    <row r="28" spans="2:20" ht="60" customHeight="1" x14ac:dyDescent="0.35">
      <c r="B28" s="39" t="s">
        <v>3064</v>
      </c>
      <c r="C28" s="78"/>
      <c r="D28" s="79"/>
      <c r="E28" s="79" t="s">
        <v>28</v>
      </c>
      <c r="F28" s="79" t="str">
        <f>IF(E28&lt;&gt;"", IFERROR(VLOOKUP(E28, Dashboard!$B29:$F34, 5, FALSE), ""), "")</f>
        <v/>
      </c>
      <c r="G28" s="80"/>
      <c r="H28" s="67"/>
      <c r="I28" s="67"/>
      <c r="J28" s="80"/>
      <c r="K28" s="80"/>
      <c r="L28" s="41"/>
      <c r="M28" s="41"/>
      <c r="N28" s="80"/>
      <c r="O28" s="80"/>
      <c r="P28" s="41"/>
      <c r="Q28" s="41" t="s">
        <v>28</v>
      </c>
      <c r="R28" s="80"/>
      <c r="S28" s="67"/>
      <c r="T28" s="80"/>
    </row>
    <row r="29" spans="2:20" ht="60" customHeight="1" x14ac:dyDescent="0.35">
      <c r="B29" s="39" t="s">
        <v>3065</v>
      </c>
      <c r="C29" s="78"/>
      <c r="D29" s="79"/>
      <c r="E29" s="79" t="s">
        <v>28</v>
      </c>
      <c r="F29" s="79" t="str">
        <f>IF(E29&lt;&gt;"", IFERROR(VLOOKUP(E29, Dashboard!$B29:$F34, 5, FALSE), ""), "")</f>
        <v/>
      </c>
      <c r="G29" s="80"/>
      <c r="H29" s="67"/>
      <c r="I29" s="67"/>
      <c r="J29" s="80"/>
      <c r="K29" s="80"/>
      <c r="L29" s="41"/>
      <c r="M29" s="41"/>
      <c r="N29" s="80"/>
      <c r="O29" s="80"/>
      <c r="P29" s="41"/>
      <c r="Q29" s="41" t="s">
        <v>28</v>
      </c>
      <c r="R29" s="80"/>
      <c r="S29" s="67"/>
      <c r="T29" s="80"/>
    </row>
    <row r="30" spans="2:20" ht="60" customHeight="1" x14ac:dyDescent="0.35">
      <c r="B30" s="39" t="s">
        <v>3066</v>
      </c>
      <c r="C30" s="78"/>
      <c r="D30" s="79"/>
      <c r="E30" s="79" t="s">
        <v>28</v>
      </c>
      <c r="F30" s="79" t="str">
        <f>IF(E30&lt;&gt;"", IFERROR(VLOOKUP(E30, Dashboard!$B29:$F34, 5, FALSE), ""), "")</f>
        <v/>
      </c>
      <c r="G30" s="80"/>
      <c r="H30" s="67"/>
      <c r="I30" s="67"/>
      <c r="J30" s="80"/>
      <c r="K30" s="80"/>
      <c r="L30" s="41"/>
      <c r="M30" s="41"/>
      <c r="N30" s="80"/>
      <c r="O30" s="80"/>
      <c r="P30" s="41"/>
      <c r="Q30" s="41" t="s">
        <v>28</v>
      </c>
      <c r="R30" s="80"/>
      <c r="S30" s="67"/>
      <c r="T30" s="80"/>
    </row>
    <row r="31" spans="2:20" ht="60" customHeight="1" x14ac:dyDescent="0.35">
      <c r="B31" s="39" t="s">
        <v>3067</v>
      </c>
      <c r="C31" s="78"/>
      <c r="D31" s="79"/>
      <c r="E31" s="79" t="s">
        <v>28</v>
      </c>
      <c r="F31" s="79" t="str">
        <f>IF(E31&lt;&gt;"", IFERROR(VLOOKUP(E31, Dashboard!$B29:$F34, 5, FALSE), ""), "")</f>
        <v/>
      </c>
      <c r="G31" s="80"/>
      <c r="H31" s="67"/>
      <c r="I31" s="67"/>
      <c r="J31" s="80"/>
      <c r="K31" s="80"/>
      <c r="L31" s="41"/>
      <c r="M31" s="41"/>
      <c r="N31" s="80"/>
      <c r="O31" s="80"/>
      <c r="P31" s="41"/>
      <c r="Q31" s="41" t="s">
        <v>28</v>
      </c>
      <c r="R31" s="80"/>
      <c r="S31" s="67"/>
      <c r="T31" s="80"/>
    </row>
    <row r="32" spans="2:20" ht="60" customHeight="1" x14ac:dyDescent="0.35">
      <c r="B32" s="39" t="s">
        <v>3068</v>
      </c>
      <c r="C32" s="78"/>
      <c r="D32" s="79"/>
      <c r="E32" s="79" t="s">
        <v>28</v>
      </c>
      <c r="F32" s="79" t="str">
        <f>IF(E32&lt;&gt;"", IFERROR(VLOOKUP(E32, Dashboard!$B29:$F34, 5, FALSE), ""), "")</f>
        <v/>
      </c>
      <c r="G32" s="80"/>
      <c r="H32" s="67"/>
      <c r="I32" s="67"/>
      <c r="J32" s="80"/>
      <c r="K32" s="80"/>
      <c r="L32" s="41"/>
      <c r="M32" s="41"/>
      <c r="N32" s="80"/>
      <c r="O32" s="80"/>
      <c r="P32" s="41"/>
      <c r="Q32" s="41" t="s">
        <v>28</v>
      </c>
      <c r="R32" s="80"/>
      <c r="S32" s="67"/>
      <c r="T32" s="80"/>
    </row>
    <row r="33" spans="2:20" ht="60" customHeight="1" x14ac:dyDescent="0.35">
      <c r="B33" s="39" t="s">
        <v>3069</v>
      </c>
      <c r="C33" s="78"/>
      <c r="D33" s="79"/>
      <c r="E33" s="79" t="s">
        <v>28</v>
      </c>
      <c r="F33" s="79" t="str">
        <f>IF(E33&lt;&gt;"", IFERROR(VLOOKUP(E33, Dashboard!$B29:$F34, 5, FALSE), ""), "")</f>
        <v/>
      </c>
      <c r="G33" s="80"/>
      <c r="H33" s="67"/>
      <c r="I33" s="67"/>
      <c r="J33" s="80"/>
      <c r="K33" s="80"/>
      <c r="L33" s="41"/>
      <c r="M33" s="41"/>
      <c r="N33" s="80"/>
      <c r="O33" s="80"/>
      <c r="P33" s="41"/>
      <c r="Q33" s="41" t="s">
        <v>28</v>
      </c>
      <c r="R33" s="80"/>
      <c r="S33" s="67"/>
      <c r="T33" s="80"/>
    </row>
    <row r="34" spans="2:20" ht="60" customHeight="1" x14ac:dyDescent="0.35">
      <c r="B34" s="39" t="s">
        <v>3070</v>
      </c>
      <c r="C34" s="78"/>
      <c r="D34" s="79"/>
      <c r="E34" s="79" t="s">
        <v>28</v>
      </c>
      <c r="F34" s="79" t="str">
        <f>IF(E34&lt;&gt;"", IFERROR(VLOOKUP(E34, Dashboard!$B29:$F34, 5, FALSE), ""), "")</f>
        <v/>
      </c>
      <c r="G34" s="80"/>
      <c r="H34" s="67"/>
      <c r="I34" s="67"/>
      <c r="J34" s="80"/>
      <c r="K34" s="80"/>
      <c r="L34" s="41"/>
      <c r="M34" s="41"/>
      <c r="N34" s="80"/>
      <c r="O34" s="80"/>
      <c r="P34" s="41"/>
      <c r="Q34" s="41" t="s">
        <v>28</v>
      </c>
      <c r="R34" s="80"/>
      <c r="S34" s="67"/>
      <c r="T34" s="80"/>
    </row>
    <row r="35" spans="2:20" ht="60" customHeight="1" x14ac:dyDescent="0.35">
      <c r="B35" s="39" t="s">
        <v>3071</v>
      </c>
      <c r="C35" s="78"/>
      <c r="D35" s="79"/>
      <c r="E35" s="79" t="s">
        <v>28</v>
      </c>
      <c r="F35" s="79" t="str">
        <f>IF(E35&lt;&gt;"", IFERROR(VLOOKUP(E35, Dashboard!$B29:$F34, 5, FALSE), ""), "")</f>
        <v/>
      </c>
      <c r="G35" s="80"/>
      <c r="H35" s="67"/>
      <c r="I35" s="67"/>
      <c r="J35" s="80"/>
      <c r="K35" s="80"/>
      <c r="L35" s="41"/>
      <c r="M35" s="41"/>
      <c r="N35" s="80"/>
      <c r="O35" s="80"/>
      <c r="P35" s="41"/>
      <c r="Q35" s="41" t="s">
        <v>28</v>
      </c>
      <c r="R35" s="80"/>
      <c r="S35" s="67"/>
      <c r="T35" s="80"/>
    </row>
    <row r="36" spans="2:20" ht="60" customHeight="1" x14ac:dyDescent="0.35">
      <c r="B36" s="39" t="s">
        <v>3072</v>
      </c>
      <c r="C36" s="78"/>
      <c r="D36" s="79"/>
      <c r="E36" s="79" t="s">
        <v>28</v>
      </c>
      <c r="F36" s="79" t="str">
        <f>IF(E36&lt;&gt;"", IFERROR(VLOOKUP(E36, Dashboard!$B29:$F34, 5, FALSE), ""), "")</f>
        <v/>
      </c>
      <c r="G36" s="80"/>
      <c r="H36" s="67"/>
      <c r="I36" s="67"/>
      <c r="J36" s="80"/>
      <c r="K36" s="80"/>
      <c r="L36" s="41"/>
      <c r="M36" s="41"/>
      <c r="N36" s="80"/>
      <c r="O36" s="80"/>
      <c r="P36" s="41"/>
      <c r="Q36" s="41" t="s">
        <v>28</v>
      </c>
      <c r="R36" s="80"/>
      <c r="S36" s="67"/>
      <c r="T36" s="80"/>
    </row>
    <row r="37" spans="2:20" ht="60" customHeight="1" x14ac:dyDescent="0.35">
      <c r="B37" s="39" t="s">
        <v>3073</v>
      </c>
      <c r="C37" s="78"/>
      <c r="D37" s="79"/>
      <c r="E37" s="79" t="s">
        <v>28</v>
      </c>
      <c r="F37" s="79" t="str">
        <f>IF(E37&lt;&gt;"", IFERROR(VLOOKUP(E37, Dashboard!$B29:$F34, 5, FALSE), ""), "")</f>
        <v/>
      </c>
      <c r="G37" s="80"/>
      <c r="H37" s="67"/>
      <c r="I37" s="67"/>
      <c r="J37" s="80"/>
      <c r="K37" s="80"/>
      <c r="L37" s="41"/>
      <c r="M37" s="41"/>
      <c r="N37" s="80"/>
      <c r="O37" s="80"/>
      <c r="P37" s="41"/>
      <c r="Q37" s="41" t="s">
        <v>28</v>
      </c>
      <c r="R37" s="80"/>
      <c r="S37" s="67"/>
      <c r="T37" s="80"/>
    </row>
    <row r="38" spans="2:20" ht="60" customHeight="1" x14ac:dyDescent="0.35">
      <c r="B38" s="39" t="s">
        <v>3074</v>
      </c>
      <c r="C38" s="78"/>
      <c r="D38" s="79"/>
      <c r="E38" s="79" t="s">
        <v>28</v>
      </c>
      <c r="F38" s="79" t="str">
        <f>IF(E38&lt;&gt;"", IFERROR(VLOOKUP(E38, Dashboard!$B29:$F34, 5, FALSE), ""), "")</f>
        <v/>
      </c>
      <c r="G38" s="80"/>
      <c r="H38" s="67"/>
      <c r="I38" s="67"/>
      <c r="J38" s="80"/>
      <c r="K38" s="80"/>
      <c r="L38" s="41"/>
      <c r="M38" s="41"/>
      <c r="N38" s="80"/>
      <c r="O38" s="80"/>
      <c r="P38" s="41"/>
      <c r="Q38" s="41" t="s">
        <v>28</v>
      </c>
      <c r="R38" s="80"/>
      <c r="S38" s="67"/>
      <c r="T38" s="80"/>
    </row>
    <row r="39" spans="2:20" ht="60" customHeight="1" x14ac:dyDescent="0.35">
      <c r="B39" s="39" t="s">
        <v>3075</v>
      </c>
      <c r="C39" s="78"/>
      <c r="D39" s="79"/>
      <c r="E39" s="79" t="s">
        <v>28</v>
      </c>
      <c r="F39" s="79" t="str">
        <f>IF(E39&lt;&gt;"", IFERROR(VLOOKUP(E39, Dashboard!$B29:$F34, 5, FALSE), ""), "")</f>
        <v/>
      </c>
      <c r="G39" s="80"/>
      <c r="H39" s="67"/>
      <c r="I39" s="67"/>
      <c r="J39" s="80"/>
      <c r="K39" s="80"/>
      <c r="L39" s="41"/>
      <c r="M39" s="41"/>
      <c r="N39" s="80"/>
      <c r="O39" s="80"/>
      <c r="P39" s="41"/>
      <c r="Q39" s="41" t="s">
        <v>28</v>
      </c>
      <c r="R39" s="80"/>
      <c r="S39" s="67"/>
      <c r="T39" s="80"/>
    </row>
    <row r="40" spans="2:20" ht="60" customHeight="1" x14ac:dyDescent="0.35">
      <c r="B40" s="39" t="s">
        <v>3076</v>
      </c>
      <c r="C40" s="78"/>
      <c r="D40" s="79"/>
      <c r="E40" s="79" t="s">
        <v>28</v>
      </c>
      <c r="F40" s="79" t="str">
        <f>IF(E40&lt;&gt;"", IFERROR(VLOOKUP(E40, Dashboard!$B29:$F34, 5, FALSE), ""), "")</f>
        <v/>
      </c>
      <c r="G40" s="80"/>
      <c r="H40" s="67"/>
      <c r="I40" s="67"/>
      <c r="J40" s="80"/>
      <c r="K40" s="80"/>
      <c r="L40" s="41"/>
      <c r="M40" s="41"/>
      <c r="N40" s="80"/>
      <c r="O40" s="80"/>
      <c r="P40" s="41"/>
      <c r="Q40" s="41" t="s">
        <v>28</v>
      </c>
      <c r="R40" s="80"/>
      <c r="S40" s="67"/>
      <c r="T40" s="80"/>
    </row>
    <row r="41" spans="2:20" ht="60" customHeight="1" x14ac:dyDescent="0.35">
      <c r="B41" s="39" t="s">
        <v>3077</v>
      </c>
      <c r="C41" s="78"/>
      <c r="D41" s="79"/>
      <c r="E41" s="79" t="s">
        <v>28</v>
      </c>
      <c r="F41" s="79" t="str">
        <f>IF(E41&lt;&gt;"", IFERROR(VLOOKUP(E41, Dashboard!$B29:$F34, 5, FALSE), ""), "")</f>
        <v/>
      </c>
      <c r="G41" s="80"/>
      <c r="H41" s="67"/>
      <c r="I41" s="67"/>
      <c r="J41" s="80"/>
      <c r="K41" s="80"/>
      <c r="L41" s="41"/>
      <c r="M41" s="41"/>
      <c r="N41" s="80"/>
      <c r="O41" s="80"/>
      <c r="P41" s="41"/>
      <c r="Q41" s="41" t="s">
        <v>28</v>
      </c>
      <c r="R41" s="80"/>
      <c r="S41" s="67"/>
      <c r="T41" s="80"/>
    </row>
    <row r="42" spans="2:20" ht="60" customHeight="1" x14ac:dyDescent="0.35">
      <c r="B42" s="39" t="s">
        <v>3078</v>
      </c>
      <c r="C42" s="78"/>
      <c r="D42" s="79"/>
      <c r="E42" s="79" t="s">
        <v>28</v>
      </c>
      <c r="F42" s="79" t="str">
        <f>IF(E42&lt;&gt;"", IFERROR(VLOOKUP(E42, Dashboard!$B29:$F34, 5, FALSE), ""), "")</f>
        <v/>
      </c>
      <c r="G42" s="80"/>
      <c r="H42" s="67"/>
      <c r="I42" s="67"/>
      <c r="J42" s="80"/>
      <c r="K42" s="80"/>
      <c r="L42" s="41"/>
      <c r="M42" s="41"/>
      <c r="N42" s="80"/>
      <c r="O42" s="80"/>
      <c r="P42" s="41"/>
      <c r="Q42" s="41" t="s">
        <v>28</v>
      </c>
      <c r="R42" s="80"/>
      <c r="S42" s="67"/>
      <c r="T42" s="80"/>
    </row>
    <row r="43" spans="2:20" ht="60" customHeight="1" x14ac:dyDescent="0.35">
      <c r="B43" s="39" t="s">
        <v>3079</v>
      </c>
      <c r="C43" s="78"/>
      <c r="D43" s="79"/>
      <c r="E43" s="79" t="s">
        <v>28</v>
      </c>
      <c r="F43" s="79" t="str">
        <f>IF(E43&lt;&gt;"", IFERROR(VLOOKUP(E43, Dashboard!$B29:$F34, 5, FALSE), ""), "")</f>
        <v/>
      </c>
      <c r="G43" s="80"/>
      <c r="H43" s="67"/>
      <c r="I43" s="67"/>
      <c r="J43" s="80"/>
      <c r="K43" s="80"/>
      <c r="L43" s="41"/>
      <c r="M43" s="41"/>
      <c r="N43" s="80"/>
      <c r="O43" s="80"/>
      <c r="P43" s="41"/>
      <c r="Q43" s="41" t="s">
        <v>28</v>
      </c>
      <c r="R43" s="80"/>
      <c r="S43" s="67"/>
      <c r="T43" s="80"/>
    </row>
    <row r="44" spans="2:20" ht="60" customHeight="1" x14ac:dyDescent="0.35">
      <c r="B44" s="39" t="s">
        <v>3080</v>
      </c>
      <c r="C44" s="78"/>
      <c r="D44" s="79"/>
      <c r="E44" s="79" t="s">
        <v>28</v>
      </c>
      <c r="F44" s="79" t="str">
        <f>IF(E44&lt;&gt;"", IFERROR(VLOOKUP(E44, Dashboard!$B29:$F34, 5, FALSE), ""), "")</f>
        <v/>
      </c>
      <c r="G44" s="80"/>
      <c r="H44" s="67"/>
      <c r="I44" s="67"/>
      <c r="J44" s="80"/>
      <c r="K44" s="80"/>
      <c r="L44" s="41"/>
      <c r="M44" s="41"/>
      <c r="N44" s="80"/>
      <c r="O44" s="80"/>
      <c r="P44" s="41"/>
      <c r="Q44" s="41" t="s">
        <v>28</v>
      </c>
      <c r="R44" s="80"/>
      <c r="S44" s="67"/>
      <c r="T44" s="80"/>
    </row>
    <row r="45" spans="2:20" ht="60" customHeight="1" x14ac:dyDescent="0.35">
      <c r="B45" s="39" t="s">
        <v>3081</v>
      </c>
      <c r="C45" s="78"/>
      <c r="D45" s="79"/>
      <c r="E45" s="79" t="s">
        <v>28</v>
      </c>
      <c r="F45" s="79" t="str">
        <f>IF(E45&lt;&gt;"", IFERROR(VLOOKUP(E45, Dashboard!$B29:$F34, 5, FALSE), ""), "")</f>
        <v/>
      </c>
      <c r="G45" s="80"/>
      <c r="H45" s="67"/>
      <c r="I45" s="67"/>
      <c r="J45" s="80"/>
      <c r="K45" s="80"/>
      <c r="L45" s="41"/>
      <c r="M45" s="41"/>
      <c r="N45" s="80"/>
      <c r="O45" s="80"/>
      <c r="P45" s="41"/>
      <c r="Q45" s="41" t="s">
        <v>28</v>
      </c>
      <c r="R45" s="80"/>
      <c r="S45" s="67"/>
      <c r="T45" s="80"/>
    </row>
    <row r="46" spans="2:20" ht="60" customHeight="1" x14ac:dyDescent="0.35">
      <c r="B46" s="39" t="s">
        <v>3082</v>
      </c>
      <c r="C46" s="78"/>
      <c r="D46" s="79"/>
      <c r="E46" s="79" t="s">
        <v>28</v>
      </c>
      <c r="F46" s="79" t="str">
        <f>IF(E46&lt;&gt;"", IFERROR(VLOOKUP(E46, Dashboard!$B29:$F34, 5, FALSE), ""), "")</f>
        <v/>
      </c>
      <c r="G46" s="80"/>
      <c r="H46" s="67"/>
      <c r="I46" s="67"/>
      <c r="J46" s="80"/>
      <c r="K46" s="80"/>
      <c r="L46" s="41"/>
      <c r="M46" s="41"/>
      <c r="N46" s="80"/>
      <c r="O46" s="80"/>
      <c r="P46" s="41"/>
      <c r="Q46" s="41" t="s">
        <v>28</v>
      </c>
      <c r="R46" s="80"/>
      <c r="S46" s="67"/>
      <c r="T46" s="80"/>
    </row>
    <row r="47" spans="2:20" ht="60" customHeight="1" x14ac:dyDescent="0.35">
      <c r="B47" s="39" t="s">
        <v>3083</v>
      </c>
      <c r="C47" s="78"/>
      <c r="D47" s="79"/>
      <c r="E47" s="79" t="s">
        <v>28</v>
      </c>
      <c r="F47" s="79" t="str">
        <f>IF(E47&lt;&gt;"", IFERROR(VLOOKUP(E47, Dashboard!$B29:$F34, 5, FALSE), ""), "")</f>
        <v/>
      </c>
      <c r="G47" s="80"/>
      <c r="H47" s="67"/>
      <c r="I47" s="67"/>
      <c r="J47" s="80"/>
      <c r="K47" s="80"/>
      <c r="L47" s="41"/>
      <c r="M47" s="41"/>
      <c r="N47" s="80"/>
      <c r="O47" s="80"/>
      <c r="P47" s="41"/>
      <c r="Q47" s="41" t="s">
        <v>28</v>
      </c>
      <c r="R47" s="80"/>
      <c r="S47" s="67"/>
      <c r="T47" s="80"/>
    </row>
    <row r="48" spans="2:20" ht="60" customHeight="1" x14ac:dyDescent="0.35">
      <c r="B48" s="39" t="s">
        <v>3084</v>
      </c>
      <c r="C48" s="78"/>
      <c r="D48" s="79"/>
      <c r="E48" s="79" t="s">
        <v>28</v>
      </c>
      <c r="F48" s="79" t="str">
        <f>IF(E48&lt;&gt;"", IFERROR(VLOOKUP(E48, Dashboard!$B29:$F34, 5, FALSE), ""), "")</f>
        <v/>
      </c>
      <c r="G48" s="80"/>
      <c r="H48" s="67"/>
      <c r="I48" s="67"/>
      <c r="J48" s="80"/>
      <c r="K48" s="80"/>
      <c r="L48" s="41"/>
      <c r="M48" s="41"/>
      <c r="N48" s="80"/>
      <c r="O48" s="80"/>
      <c r="P48" s="41"/>
      <c r="Q48" s="41" t="s">
        <v>28</v>
      </c>
      <c r="R48" s="80"/>
      <c r="S48" s="67"/>
      <c r="T48" s="80"/>
    </row>
    <row r="49" spans="2:20" ht="60" customHeight="1" x14ac:dyDescent="0.35">
      <c r="B49" s="39" t="s">
        <v>3085</v>
      </c>
      <c r="C49" s="78"/>
      <c r="D49" s="79"/>
      <c r="E49" s="79" t="s">
        <v>28</v>
      </c>
      <c r="F49" s="79" t="str">
        <f>IF(E49&lt;&gt;"", IFERROR(VLOOKUP(E49, Dashboard!$B29:$F34, 5, FALSE), ""), "")</f>
        <v/>
      </c>
      <c r="G49" s="80"/>
      <c r="H49" s="67"/>
      <c r="I49" s="67"/>
      <c r="J49" s="80"/>
      <c r="K49" s="80"/>
      <c r="L49" s="41"/>
      <c r="M49" s="41"/>
      <c r="N49" s="80"/>
      <c r="O49" s="80"/>
      <c r="P49" s="41"/>
      <c r="Q49" s="41" t="s">
        <v>28</v>
      </c>
      <c r="R49" s="80"/>
      <c r="S49" s="67"/>
      <c r="T49" s="80"/>
    </row>
    <row r="50" spans="2:20" ht="60" customHeight="1" x14ac:dyDescent="0.35">
      <c r="B50" s="39" t="s">
        <v>3086</v>
      </c>
      <c r="C50" s="78"/>
      <c r="D50" s="79"/>
      <c r="E50" s="79" t="s">
        <v>28</v>
      </c>
      <c r="F50" s="79" t="str">
        <f>IF(E50&lt;&gt;"", IFERROR(VLOOKUP(E50, Dashboard!$B29:$F34, 5, FALSE), ""), "")</f>
        <v/>
      </c>
      <c r="G50" s="80"/>
      <c r="H50" s="67"/>
      <c r="I50" s="67"/>
      <c r="J50" s="80"/>
      <c r="K50" s="80"/>
      <c r="L50" s="41"/>
      <c r="M50" s="41"/>
      <c r="N50" s="80"/>
      <c r="O50" s="80"/>
      <c r="P50" s="41"/>
      <c r="Q50" s="41" t="s">
        <v>28</v>
      </c>
      <c r="R50" s="80"/>
      <c r="S50" s="67"/>
      <c r="T50" s="80"/>
    </row>
    <row r="51" spans="2:20" ht="60" customHeight="1" x14ac:dyDescent="0.35">
      <c r="B51" s="39" t="s">
        <v>3087</v>
      </c>
      <c r="C51" s="78"/>
      <c r="D51" s="79"/>
      <c r="E51" s="79" t="s">
        <v>28</v>
      </c>
      <c r="F51" s="79" t="str">
        <f>IF(E51&lt;&gt;"", IFERROR(VLOOKUP(E51, Dashboard!$B29:$F34, 5, FALSE), ""), "")</f>
        <v/>
      </c>
      <c r="G51" s="80"/>
      <c r="H51" s="67"/>
      <c r="I51" s="67"/>
      <c r="J51" s="80"/>
      <c r="K51" s="80"/>
      <c r="L51" s="41"/>
      <c r="M51" s="41"/>
      <c r="N51" s="80"/>
      <c r="O51" s="80"/>
      <c r="P51" s="41"/>
      <c r="Q51" s="41" t="s">
        <v>28</v>
      </c>
      <c r="R51" s="80"/>
      <c r="S51" s="67"/>
      <c r="T51" s="80"/>
    </row>
    <row r="52" spans="2:20" ht="60" customHeight="1" x14ac:dyDescent="0.35">
      <c r="B52" s="39" t="s">
        <v>3088</v>
      </c>
      <c r="C52" s="78"/>
      <c r="D52" s="79"/>
      <c r="E52" s="79" t="s">
        <v>28</v>
      </c>
      <c r="F52" s="79" t="str">
        <f>IF(E52&lt;&gt;"", IFERROR(VLOOKUP(E52, Dashboard!$B29:$F34, 5, FALSE), ""), "")</f>
        <v/>
      </c>
      <c r="G52" s="80"/>
      <c r="H52" s="67"/>
      <c r="I52" s="67"/>
      <c r="J52" s="80"/>
      <c r="K52" s="80"/>
      <c r="L52" s="41"/>
      <c r="M52" s="41"/>
      <c r="N52" s="80"/>
      <c r="O52" s="80"/>
      <c r="P52" s="41"/>
      <c r="Q52" s="41" t="s">
        <v>28</v>
      </c>
      <c r="R52" s="80"/>
      <c r="S52" s="67"/>
      <c r="T52" s="80"/>
    </row>
    <row r="53" spans="2:20" ht="60" customHeight="1" x14ac:dyDescent="0.35">
      <c r="B53" s="39" t="s">
        <v>3089</v>
      </c>
      <c r="C53" s="78"/>
      <c r="D53" s="79"/>
      <c r="E53" s="79" t="s">
        <v>28</v>
      </c>
      <c r="F53" s="79" t="str">
        <f>IF(E53&lt;&gt;"", IFERROR(VLOOKUP(E53, Dashboard!$B29:$F34, 5, FALSE), ""), "")</f>
        <v/>
      </c>
      <c r="G53" s="80"/>
      <c r="H53" s="67"/>
      <c r="I53" s="67"/>
      <c r="J53" s="80"/>
      <c r="K53" s="80"/>
      <c r="L53" s="41"/>
      <c r="M53" s="41"/>
      <c r="N53" s="80"/>
      <c r="O53" s="80"/>
      <c r="P53" s="41"/>
      <c r="Q53" s="41" t="s">
        <v>28</v>
      </c>
      <c r="R53" s="80"/>
      <c r="S53" s="67"/>
      <c r="T53" s="80"/>
    </row>
    <row r="54" spans="2:20" ht="60" customHeight="1" x14ac:dyDescent="0.35">
      <c r="B54" s="39" t="s">
        <v>3090</v>
      </c>
      <c r="C54" s="78"/>
      <c r="D54" s="79"/>
      <c r="E54" s="79" t="s">
        <v>28</v>
      </c>
      <c r="F54" s="79" t="str">
        <f>IF(E54&lt;&gt;"", IFERROR(VLOOKUP(E54, Dashboard!$B29:$F34, 5, FALSE), ""), "")</f>
        <v/>
      </c>
      <c r="G54" s="80"/>
      <c r="H54" s="67"/>
      <c r="I54" s="67"/>
      <c r="J54" s="80"/>
      <c r="K54" s="80"/>
      <c r="L54" s="41"/>
      <c r="M54" s="41"/>
      <c r="N54" s="80"/>
      <c r="O54" s="80"/>
      <c r="P54" s="41"/>
      <c r="Q54" s="41" t="s">
        <v>28</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266" t="s">
        <v>2861</v>
      </c>
      <c r="C58" s="266"/>
      <c r="D58" s="266"/>
      <c r="E58" s="266"/>
      <c r="F58" s="266"/>
      <c r="G58" s="266"/>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4" t="s">
        <v>3091</v>
      </c>
      <c r="B1" s="105" t="s">
        <v>1</v>
      </c>
      <c r="C1" s="105" t="s">
        <v>3092</v>
      </c>
      <c r="D1" s="105" t="s">
        <v>9</v>
      </c>
      <c r="E1" s="105" t="s">
        <v>3093</v>
      </c>
      <c r="F1" s="105" t="s">
        <v>3094</v>
      </c>
      <c r="G1" s="105" t="s">
        <v>3095</v>
      </c>
      <c r="H1" s="105" t="s">
        <v>3096</v>
      </c>
      <c r="I1" s="105" t="s">
        <v>3097</v>
      </c>
      <c r="J1" s="105" t="s">
        <v>3098</v>
      </c>
      <c r="K1" s="105" t="s">
        <v>3099</v>
      </c>
      <c r="L1" s="105" t="s">
        <v>3100</v>
      </c>
      <c r="M1" s="105" t="s">
        <v>3101</v>
      </c>
      <c r="N1" s="105" t="s">
        <v>3102</v>
      </c>
      <c r="O1" s="105" t="s">
        <v>3103</v>
      </c>
      <c r="P1" s="105" t="s">
        <v>3104</v>
      </c>
      <c r="Q1" s="105" t="s">
        <v>3105</v>
      </c>
      <c r="R1" s="105" t="s">
        <v>3106</v>
      </c>
      <c r="S1" s="105" t="s">
        <v>3107</v>
      </c>
      <c r="T1" s="105" t="s">
        <v>3108</v>
      </c>
      <c r="U1" s="105" t="s">
        <v>3109</v>
      </c>
      <c r="V1" s="105" t="s">
        <v>3110</v>
      </c>
      <c r="W1" s="105" t="s">
        <v>3111</v>
      </c>
      <c r="X1" s="105" t="s">
        <v>3112</v>
      </c>
      <c r="Y1" s="105" t="s">
        <v>3113</v>
      </c>
      <c r="Z1" s="105" t="s">
        <v>3114</v>
      </c>
      <c r="AA1" s="105" t="s">
        <v>3115</v>
      </c>
      <c r="AB1" s="105" t="s">
        <v>3116</v>
      </c>
      <c r="AC1" s="105" t="s">
        <v>3117</v>
      </c>
      <c r="AD1" s="105" t="s">
        <v>3118</v>
      </c>
      <c r="AE1" s="105" t="s">
        <v>3119</v>
      </c>
      <c r="AF1" s="105" t="s">
        <v>3120</v>
      </c>
      <c r="AG1" s="105" t="s">
        <v>3121</v>
      </c>
      <c r="AH1" s="105" t="s">
        <v>3122</v>
      </c>
      <c r="AI1" s="105" t="s">
        <v>3123</v>
      </c>
      <c r="AJ1" s="105" t="s">
        <v>3124</v>
      </c>
      <c r="AK1" s="105" t="s">
        <v>3125</v>
      </c>
      <c r="AL1" s="105" t="s">
        <v>3126</v>
      </c>
      <c r="AM1" s="105" t="s">
        <v>3127</v>
      </c>
      <c r="AN1" s="105" t="s">
        <v>3128</v>
      </c>
      <c r="AO1" s="105" t="s">
        <v>3129</v>
      </c>
      <c r="AP1" s="105" t="s">
        <v>3130</v>
      </c>
      <c r="AQ1" s="105" t="s">
        <v>3131</v>
      </c>
      <c r="AR1" s="105" t="s">
        <v>3132</v>
      </c>
      <c r="AS1" s="105" t="s">
        <v>3133</v>
      </c>
      <c r="AT1" s="105" t="s">
        <v>3134</v>
      </c>
      <c r="AU1" s="105" t="s">
        <v>3135</v>
      </c>
      <c r="AV1" s="105" t="s">
        <v>3136</v>
      </c>
      <c r="AW1" s="106" t="s">
        <v>3137</v>
      </c>
    </row>
    <row r="2" spans="1:49" ht="60" customHeight="1" outlineLevel="1" x14ac:dyDescent="0.35">
      <c r="A2" s="98" t="s">
        <v>3138</v>
      </c>
      <c r="B2" s="81">
        <v>1</v>
      </c>
      <c r="C2" s="83" t="s">
        <v>28</v>
      </c>
      <c r="D2" s="85" t="s">
        <v>3139</v>
      </c>
      <c r="E2" s="85" t="s">
        <v>28</v>
      </c>
      <c r="F2" s="81" t="s">
        <v>28</v>
      </c>
      <c r="G2" s="81" t="s">
        <v>28</v>
      </c>
      <c r="H2" s="81"/>
      <c r="I2" s="88" t="str">
        <f>IF(COUNTIF(J2:AW2,"&lt;&gt;")=0,"",SUMPRODUCT(((Recommendations[ImplStatus]="Implemented")+(Recommendations[ImplStatus]="Compensated"))*ISNUMBER(MATCH(Recommendations[Id],J2:AW2,0)))/COUNTIF(J2:AW2,"&lt;&gt;"))</f>
        <v/>
      </c>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101"/>
    </row>
    <row r="3" spans="1:49" ht="60" customHeight="1" x14ac:dyDescent="0.35">
      <c r="A3" s="99" t="s">
        <v>3138</v>
      </c>
      <c r="B3" s="82" t="s">
        <v>3140</v>
      </c>
      <c r="C3" s="84" t="s">
        <v>3141</v>
      </c>
      <c r="D3" s="86" t="s">
        <v>3142</v>
      </c>
      <c r="E3" s="86" t="s">
        <v>3143</v>
      </c>
      <c r="F3" s="87" t="s">
        <v>3144</v>
      </c>
      <c r="G3" s="87" t="s">
        <v>3145</v>
      </c>
      <c r="H3" s="87">
        <v>1</v>
      </c>
      <c r="I3" s="89" t="str">
        <f>IF(COUNTIF(J3:AW3,"&lt;&gt;")=0,"",SUMPRODUCT(((Recommendations[ImplStatus]="Implemented")+(Recommendations[ImplStatus]="Compensated"))*ISNUMBER(MATCH(Recommendations[Id],J3:AW3,0)))/COUNTIF(J3:AW3,"&lt;&gt;"))</f>
        <v/>
      </c>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102"/>
    </row>
    <row r="4" spans="1:49" ht="60" customHeight="1" x14ac:dyDescent="0.35">
      <c r="A4" s="99" t="s">
        <v>3138</v>
      </c>
      <c r="B4" s="82" t="s">
        <v>3146</v>
      </c>
      <c r="C4" s="84" t="s">
        <v>3147</v>
      </c>
      <c r="D4" s="86" t="s">
        <v>3148</v>
      </c>
      <c r="E4" s="86" t="s">
        <v>3149</v>
      </c>
      <c r="F4" s="87" t="s">
        <v>3144</v>
      </c>
      <c r="G4" s="87" t="s">
        <v>3150</v>
      </c>
      <c r="H4" s="87">
        <v>1</v>
      </c>
      <c r="I4" s="89" t="str">
        <f>IF(COUNTIF(J4:AW4,"&lt;&gt;")=0,"",SUMPRODUCT(((Recommendations[ImplStatus]="Implemented")+(Recommendations[ImplStatus]="Compensated"))*ISNUMBER(MATCH(Recommendations[Id],J4:AW4,0)))/COUNTIF(J4:AW4,"&lt;&gt;"))</f>
        <v/>
      </c>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102"/>
    </row>
    <row r="5" spans="1:49" ht="60" customHeight="1" x14ac:dyDescent="0.35">
      <c r="A5" s="99" t="s">
        <v>3138</v>
      </c>
      <c r="B5" s="82" t="s">
        <v>3151</v>
      </c>
      <c r="C5" s="84" t="s">
        <v>3152</v>
      </c>
      <c r="D5" s="86" t="s">
        <v>3153</v>
      </c>
      <c r="E5" s="86" t="s">
        <v>3154</v>
      </c>
      <c r="F5" s="87" t="s">
        <v>3144</v>
      </c>
      <c r="G5" s="87" t="s">
        <v>3155</v>
      </c>
      <c r="H5" s="87">
        <v>2</v>
      </c>
      <c r="I5" s="89" t="str">
        <f>IF(COUNTIF(J5:AW5,"&lt;&gt;")=0,"",SUMPRODUCT(((Recommendations[ImplStatus]="Implemented")+(Recommendations[ImplStatus]="Compensated"))*ISNUMBER(MATCH(Recommendations[Id],J5:AW5,0)))/COUNTIF(J5:AW5,"&lt;&gt;"))</f>
        <v/>
      </c>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102"/>
    </row>
    <row r="6" spans="1:49" ht="60" customHeight="1" x14ac:dyDescent="0.35">
      <c r="A6" s="99" t="s">
        <v>3138</v>
      </c>
      <c r="B6" s="82" t="s">
        <v>3156</v>
      </c>
      <c r="C6" s="84" t="s">
        <v>3157</v>
      </c>
      <c r="D6" s="86" t="s">
        <v>3158</v>
      </c>
      <c r="E6" s="86" t="s">
        <v>3159</v>
      </c>
      <c r="F6" s="87" t="s">
        <v>3144</v>
      </c>
      <c r="G6" s="87" t="s">
        <v>3145</v>
      </c>
      <c r="H6" s="87">
        <v>2</v>
      </c>
      <c r="I6" s="89" t="str">
        <f>IF(COUNTIF(J6:AW6,"&lt;&gt;")=0,"",SUMPRODUCT(((Recommendations[ImplStatus]="Implemented")+(Recommendations[ImplStatus]="Compensated"))*ISNUMBER(MATCH(Recommendations[Id],J6:AW6,0)))/COUNTIF(J6:AW6,"&lt;&gt;"))</f>
        <v/>
      </c>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c r="AV6" s="91"/>
      <c r="AW6" s="102"/>
    </row>
    <row r="7" spans="1:49" ht="60" customHeight="1" x14ac:dyDescent="0.35">
      <c r="A7" s="99" t="s">
        <v>3138</v>
      </c>
      <c r="B7" s="82" t="s">
        <v>3160</v>
      </c>
      <c r="C7" s="84" t="s">
        <v>3161</v>
      </c>
      <c r="D7" s="86" t="s">
        <v>3162</v>
      </c>
      <c r="E7" s="86" t="s">
        <v>3163</v>
      </c>
      <c r="F7" s="87" t="s">
        <v>3144</v>
      </c>
      <c r="G7" s="87" t="s">
        <v>3155</v>
      </c>
      <c r="H7" s="87">
        <v>3</v>
      </c>
      <c r="I7" s="89" t="str">
        <f>IF(COUNTIF(J7:AW7,"&lt;&gt;")=0,"",SUMPRODUCT(((Recommendations[ImplStatus]="Implemented")+(Recommendations[ImplStatus]="Compensated"))*ISNUMBER(MATCH(Recommendations[Id],J7:AW7,0)))/COUNTIF(J7:AW7,"&lt;&gt;"))</f>
        <v/>
      </c>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102"/>
    </row>
    <row r="8" spans="1:49" ht="60" customHeight="1" outlineLevel="1" x14ac:dyDescent="0.35">
      <c r="A8" s="98" t="s">
        <v>3164</v>
      </c>
      <c r="B8" s="81">
        <v>2</v>
      </c>
      <c r="C8" s="83" t="s">
        <v>28</v>
      </c>
      <c r="D8" s="85" t="s">
        <v>3165</v>
      </c>
      <c r="E8" s="85" t="s">
        <v>28</v>
      </c>
      <c r="F8" s="81" t="s">
        <v>28</v>
      </c>
      <c r="G8" s="81" t="s">
        <v>28</v>
      </c>
      <c r="H8" s="81"/>
      <c r="I8" s="88" t="str">
        <f>IF(COUNTIF(J8:AW8,"&lt;&gt;")=0,"",SUMPRODUCT(((Recommendations[ImplStatus]="Implemented")+(Recommendations[ImplStatus]="Compensated"))*ISNUMBER(MATCH(Recommendations[Id],J8:AW8,0)))/COUNTIF(J8:AW8,"&lt;&gt;"))</f>
        <v/>
      </c>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101"/>
    </row>
    <row r="9" spans="1:49" ht="60" customHeight="1" x14ac:dyDescent="0.35">
      <c r="A9" s="99" t="s">
        <v>3164</v>
      </c>
      <c r="B9" s="82" t="s">
        <v>1635</v>
      </c>
      <c r="C9" s="84" t="s">
        <v>3166</v>
      </c>
      <c r="D9" s="86" t="s">
        <v>3167</v>
      </c>
      <c r="E9" s="86" t="s">
        <v>3168</v>
      </c>
      <c r="F9" s="87" t="s">
        <v>3169</v>
      </c>
      <c r="G9" s="87" t="s">
        <v>3145</v>
      </c>
      <c r="H9" s="87">
        <v>1</v>
      </c>
      <c r="I9" s="89" t="str">
        <f>IF(COUNTIF(J9:AW9,"&lt;&gt;")=0,"",SUMPRODUCT(((Recommendations[ImplStatus]="Implemented")+(Recommendations[ImplStatus]="Compensated"))*ISNUMBER(MATCH(Recommendations[Id],J9:AW9,0)))/COUNTIF(J9:AW9,"&lt;&gt;"))</f>
        <v/>
      </c>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102"/>
    </row>
    <row r="10" spans="1:49" ht="60" customHeight="1" x14ac:dyDescent="0.35">
      <c r="A10" s="99" t="s">
        <v>3164</v>
      </c>
      <c r="B10" s="82" t="s">
        <v>1644</v>
      </c>
      <c r="C10" s="84" t="s">
        <v>3170</v>
      </c>
      <c r="D10" s="86" t="s">
        <v>3171</v>
      </c>
      <c r="E10" s="86" t="s">
        <v>3172</v>
      </c>
      <c r="F10" s="87" t="s">
        <v>3169</v>
      </c>
      <c r="G10" s="87" t="s">
        <v>3145</v>
      </c>
      <c r="H10" s="87">
        <v>1</v>
      </c>
      <c r="I10" s="89" t="str">
        <f>IF(COUNTIF(J10:AW10,"&lt;&gt;")=0,"",SUMPRODUCT(((Recommendations[ImplStatus]="Implemented")+(Recommendations[ImplStatus]="Compensated"))*ISNUMBER(MATCH(Recommendations[Id],J10:AW10,0)))/COUNTIF(J10:AW10,"&lt;&gt;"))</f>
        <v/>
      </c>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102"/>
    </row>
    <row r="11" spans="1:49" ht="60" customHeight="1" x14ac:dyDescent="0.35">
      <c r="A11" s="99" t="s">
        <v>3164</v>
      </c>
      <c r="B11" s="82" t="s">
        <v>1652</v>
      </c>
      <c r="C11" s="84" t="s">
        <v>3173</v>
      </c>
      <c r="D11" s="86" t="s">
        <v>3174</v>
      </c>
      <c r="E11" s="86" t="s">
        <v>3175</v>
      </c>
      <c r="F11" s="87" t="s">
        <v>3169</v>
      </c>
      <c r="G11" s="87" t="s">
        <v>3150</v>
      </c>
      <c r="H11" s="87">
        <v>1</v>
      </c>
      <c r="I11" s="89" t="str">
        <f>IF(COUNTIF(J11:AW11,"&lt;&gt;")=0,"",SUMPRODUCT(((Recommendations[ImplStatus]="Implemented")+(Recommendations[ImplStatus]="Compensated"))*ISNUMBER(MATCH(Recommendations[Id],J11:AW11,0)))/COUNTIF(J11:AW11,"&lt;&gt;"))</f>
        <v/>
      </c>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102"/>
    </row>
    <row r="12" spans="1:49" ht="60" customHeight="1" x14ac:dyDescent="0.35">
      <c r="A12" s="99" t="s">
        <v>3164</v>
      </c>
      <c r="B12" s="82" t="s">
        <v>1659</v>
      </c>
      <c r="C12" s="84" t="s">
        <v>3176</v>
      </c>
      <c r="D12" s="86" t="s">
        <v>3177</v>
      </c>
      <c r="E12" s="86" t="s">
        <v>3178</v>
      </c>
      <c r="F12" s="87" t="s">
        <v>3169</v>
      </c>
      <c r="G12" s="87" t="s">
        <v>3155</v>
      </c>
      <c r="H12" s="87">
        <v>2</v>
      </c>
      <c r="I12" s="89" t="str">
        <f>IF(COUNTIF(J12:AW12,"&lt;&gt;")=0,"",SUMPRODUCT(((Recommendations[ImplStatus]="Implemented")+(Recommendations[ImplStatus]="Compensated"))*ISNUMBER(MATCH(Recommendations[Id],J12:AW12,0)))/COUNTIF(J12:AW12,"&lt;&gt;"))</f>
        <v/>
      </c>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102"/>
    </row>
    <row r="13" spans="1:49" ht="60" customHeight="1" x14ac:dyDescent="0.35">
      <c r="A13" s="99" t="s">
        <v>3164</v>
      </c>
      <c r="B13" s="82" t="s">
        <v>1666</v>
      </c>
      <c r="C13" s="84" t="s">
        <v>3179</v>
      </c>
      <c r="D13" s="86" t="s">
        <v>3180</v>
      </c>
      <c r="E13" s="86" t="s">
        <v>3181</v>
      </c>
      <c r="F13" s="87" t="s">
        <v>3169</v>
      </c>
      <c r="G13" s="87" t="s">
        <v>3182</v>
      </c>
      <c r="H13" s="87">
        <v>2</v>
      </c>
      <c r="I13" s="89">
        <f>IF(COUNTIF(J13:AW13,"&lt;&gt;")=0,"",SUMPRODUCT(((Recommendations[ImplStatus]="Implemented")+(Recommendations[ImplStatus]="Compensated"))*ISNUMBER(MATCH(Recommendations[Id],J13:AW13,0)))/COUNTIF(J13:AW13,"&lt;&gt;"))</f>
        <v>0</v>
      </c>
      <c r="J13" s="91" t="s">
        <v>257</v>
      </c>
      <c r="K13" s="91" t="s">
        <v>270</v>
      </c>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102"/>
    </row>
    <row r="14" spans="1:49" ht="60" customHeight="1" x14ac:dyDescent="0.35">
      <c r="A14" s="99" t="s">
        <v>3164</v>
      </c>
      <c r="B14" s="82" t="s">
        <v>1674</v>
      </c>
      <c r="C14" s="84" t="s">
        <v>3183</v>
      </c>
      <c r="D14" s="86" t="s">
        <v>3184</v>
      </c>
      <c r="E14" s="86" t="s">
        <v>3185</v>
      </c>
      <c r="F14" s="87" t="s">
        <v>3169</v>
      </c>
      <c r="G14" s="87" t="s">
        <v>3182</v>
      </c>
      <c r="H14" s="87">
        <v>2</v>
      </c>
      <c r="I14" s="89">
        <f>IF(COUNTIF(J14:AW14,"&lt;&gt;")=0,"",SUMPRODUCT(((Recommendations[ImplStatus]="Implemented")+(Recommendations[ImplStatus]="Compensated"))*ISNUMBER(MATCH(Recommendations[Id],J14:AW14,0)))/COUNTIF(J14:AW14,"&lt;&gt;"))</f>
        <v>0</v>
      </c>
      <c r="J14" s="91" t="s">
        <v>2519</v>
      </c>
      <c r="K14" s="91" t="s">
        <v>2530</v>
      </c>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102"/>
    </row>
    <row r="15" spans="1:49" ht="60" customHeight="1" x14ac:dyDescent="0.35">
      <c r="A15" s="99" t="s">
        <v>3164</v>
      </c>
      <c r="B15" s="82" t="s">
        <v>1681</v>
      </c>
      <c r="C15" s="84" t="s">
        <v>3186</v>
      </c>
      <c r="D15" s="86" t="s">
        <v>3187</v>
      </c>
      <c r="E15" s="86" t="s">
        <v>3188</v>
      </c>
      <c r="F15" s="87" t="s">
        <v>3169</v>
      </c>
      <c r="G15" s="87" t="s">
        <v>3182</v>
      </c>
      <c r="H15" s="87">
        <v>3</v>
      </c>
      <c r="I15" s="89" t="str">
        <f>IF(COUNTIF(J15:AW15,"&lt;&gt;")=0,"",SUMPRODUCT(((Recommendations[ImplStatus]="Implemented")+(Recommendations[ImplStatus]="Compensated"))*ISNUMBER(MATCH(Recommendations[Id],J15:AW15,0)))/COUNTIF(J15:AW15,"&lt;&gt;"))</f>
        <v/>
      </c>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102"/>
    </row>
    <row r="16" spans="1:49" ht="60" customHeight="1" outlineLevel="1" x14ac:dyDescent="0.35">
      <c r="A16" s="98" t="s">
        <v>1852</v>
      </c>
      <c r="B16" s="81">
        <v>3</v>
      </c>
      <c r="C16" s="83" t="s">
        <v>28</v>
      </c>
      <c r="D16" s="85" t="s">
        <v>3189</v>
      </c>
      <c r="E16" s="85" t="s">
        <v>28</v>
      </c>
      <c r="F16" s="81" t="s">
        <v>28</v>
      </c>
      <c r="G16" s="81" t="s">
        <v>28</v>
      </c>
      <c r="H16" s="81"/>
      <c r="I16" s="88" t="str">
        <f>IF(COUNTIF(J16:AW16,"&lt;&gt;")=0,"",SUMPRODUCT(((Recommendations[ImplStatus]="Implemented")+(Recommendations[ImplStatus]="Compensated"))*ISNUMBER(MATCH(Recommendations[Id],J16:AW16,0)))/COUNTIF(J16:AW16,"&lt;&gt;"))</f>
        <v/>
      </c>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101"/>
    </row>
    <row r="17" spans="1:49" ht="60" customHeight="1" x14ac:dyDescent="0.35">
      <c r="A17" s="99" t="s">
        <v>1852</v>
      </c>
      <c r="B17" s="82" t="s">
        <v>1806</v>
      </c>
      <c r="C17" s="84" t="s">
        <v>3190</v>
      </c>
      <c r="D17" s="86" t="s">
        <v>3191</v>
      </c>
      <c r="E17" s="86" t="s">
        <v>3192</v>
      </c>
      <c r="F17" s="87" t="s">
        <v>3193</v>
      </c>
      <c r="G17" s="87" t="s">
        <v>3194</v>
      </c>
      <c r="H17" s="87">
        <v>1</v>
      </c>
      <c r="I17" s="89" t="str">
        <f>IF(COUNTIF(J17:AW17,"&lt;&gt;")=0,"",SUMPRODUCT(((Recommendations[ImplStatus]="Implemented")+(Recommendations[ImplStatus]="Compensated"))*ISNUMBER(MATCH(Recommendations[Id],J17:AW17,0)))/COUNTIF(J17:AW17,"&lt;&gt;"))</f>
        <v/>
      </c>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102"/>
    </row>
    <row r="18" spans="1:49" ht="60" customHeight="1" x14ac:dyDescent="0.35">
      <c r="A18" s="99" t="s">
        <v>1852</v>
      </c>
      <c r="B18" s="82" t="s">
        <v>1818</v>
      </c>
      <c r="C18" s="84" t="s">
        <v>3195</v>
      </c>
      <c r="D18" s="86" t="s">
        <v>3196</v>
      </c>
      <c r="E18" s="86" t="s">
        <v>3197</v>
      </c>
      <c r="F18" s="87" t="s">
        <v>3193</v>
      </c>
      <c r="G18" s="87" t="s">
        <v>3145</v>
      </c>
      <c r="H18" s="87">
        <v>1</v>
      </c>
      <c r="I18" s="89" t="str">
        <f>IF(COUNTIF(J18:AW18,"&lt;&gt;")=0,"",SUMPRODUCT(((Recommendations[ImplStatus]="Implemented")+(Recommendations[ImplStatus]="Compensated"))*ISNUMBER(MATCH(Recommendations[Id],J18:AW18,0)))/COUNTIF(J18:AW18,"&lt;&gt;"))</f>
        <v/>
      </c>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102"/>
    </row>
    <row r="19" spans="1:49" ht="60" customHeight="1" x14ac:dyDescent="0.35">
      <c r="A19" s="99" t="s">
        <v>1852</v>
      </c>
      <c r="B19" s="82" t="s">
        <v>1827</v>
      </c>
      <c r="C19" s="84" t="s">
        <v>3198</v>
      </c>
      <c r="D19" s="86" t="s">
        <v>3199</v>
      </c>
      <c r="E19" s="86" t="s">
        <v>3200</v>
      </c>
      <c r="F19" s="87" t="s">
        <v>3193</v>
      </c>
      <c r="G19" s="87" t="s">
        <v>3182</v>
      </c>
      <c r="H19" s="87">
        <v>1</v>
      </c>
      <c r="I19" s="89" t="str">
        <f>IF(COUNTIF(J19:AW19,"&lt;&gt;")=0,"",SUMPRODUCT(((Recommendations[ImplStatus]="Implemented")+(Recommendations[ImplStatus]="Compensated"))*ISNUMBER(MATCH(Recommendations[Id],J19:AW19,0)))/COUNTIF(J19:AW19,"&lt;&gt;"))</f>
        <v/>
      </c>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102"/>
    </row>
    <row r="20" spans="1:49" ht="60" customHeight="1" x14ac:dyDescent="0.35">
      <c r="A20" s="99" t="s">
        <v>1852</v>
      </c>
      <c r="B20" s="82" t="s">
        <v>1836</v>
      </c>
      <c r="C20" s="84" t="s">
        <v>3201</v>
      </c>
      <c r="D20" s="86" t="s">
        <v>3202</v>
      </c>
      <c r="E20" s="86" t="s">
        <v>3203</v>
      </c>
      <c r="F20" s="87" t="s">
        <v>3193</v>
      </c>
      <c r="G20" s="87" t="s">
        <v>3182</v>
      </c>
      <c r="H20" s="87">
        <v>1</v>
      </c>
      <c r="I20" s="89" t="str">
        <f>IF(COUNTIF(J20:AW20,"&lt;&gt;")=0,"",SUMPRODUCT(((Recommendations[ImplStatus]="Implemented")+(Recommendations[ImplStatus]="Compensated"))*ISNUMBER(MATCH(Recommendations[Id],J20:AW20,0)))/COUNTIF(J20:AW20,"&lt;&gt;"))</f>
        <v/>
      </c>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102"/>
    </row>
    <row r="21" spans="1:49" ht="60" customHeight="1" x14ac:dyDescent="0.35">
      <c r="A21" s="99" t="s">
        <v>1852</v>
      </c>
      <c r="B21" s="82" t="s">
        <v>1844</v>
      </c>
      <c r="C21" s="84" t="s">
        <v>3204</v>
      </c>
      <c r="D21" s="86" t="s">
        <v>3205</v>
      </c>
      <c r="E21" s="86" t="s">
        <v>3206</v>
      </c>
      <c r="F21" s="87" t="s">
        <v>3193</v>
      </c>
      <c r="G21" s="87" t="s">
        <v>3182</v>
      </c>
      <c r="H21" s="87">
        <v>1</v>
      </c>
      <c r="I21" s="89" t="str">
        <f>IF(COUNTIF(J21:AW21,"&lt;&gt;")=0,"",SUMPRODUCT(((Recommendations[ImplStatus]="Implemented")+(Recommendations[ImplStatus]="Compensated"))*ISNUMBER(MATCH(Recommendations[Id],J21:AW21,0)))/COUNTIF(J21:AW21,"&lt;&gt;"))</f>
        <v/>
      </c>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102"/>
    </row>
    <row r="22" spans="1:49" ht="60" customHeight="1" x14ac:dyDescent="0.35">
      <c r="A22" s="99" t="s">
        <v>1852</v>
      </c>
      <c r="B22" s="82" t="s">
        <v>3207</v>
      </c>
      <c r="C22" s="84" t="s">
        <v>3208</v>
      </c>
      <c r="D22" s="86" t="s">
        <v>3209</v>
      </c>
      <c r="E22" s="86" t="s">
        <v>3210</v>
      </c>
      <c r="F22" s="87" t="s">
        <v>3193</v>
      </c>
      <c r="G22" s="87" t="s">
        <v>3182</v>
      </c>
      <c r="H22" s="87">
        <v>1</v>
      </c>
      <c r="I22" s="89">
        <f>IF(COUNTIF(J22:AW22,"&lt;&gt;")=0,"",SUMPRODUCT(((Recommendations[ImplStatus]="Implemented")+(Recommendations[ImplStatus]="Compensated"))*ISNUMBER(MATCH(Recommendations[Id],J22:AW22,0)))/COUNTIF(J22:AW22,"&lt;&gt;"))</f>
        <v>0</v>
      </c>
      <c r="J22" s="91" t="s">
        <v>456</v>
      </c>
      <c r="K22" s="91" t="s">
        <v>2560</v>
      </c>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102"/>
    </row>
    <row r="23" spans="1:49" ht="60" customHeight="1" x14ac:dyDescent="0.35">
      <c r="A23" s="99" t="s">
        <v>1852</v>
      </c>
      <c r="B23" s="82" t="s">
        <v>3211</v>
      </c>
      <c r="C23" s="84" t="s">
        <v>3212</v>
      </c>
      <c r="D23" s="86" t="s">
        <v>3213</v>
      </c>
      <c r="E23" s="86" t="s">
        <v>3214</v>
      </c>
      <c r="F23" s="87" t="s">
        <v>3193</v>
      </c>
      <c r="G23" s="87" t="s">
        <v>3145</v>
      </c>
      <c r="H23" s="87">
        <v>2</v>
      </c>
      <c r="I23" s="89" t="str">
        <f>IF(COUNTIF(J23:AW23,"&lt;&gt;")=0,"",SUMPRODUCT(((Recommendations[ImplStatus]="Implemented")+(Recommendations[ImplStatus]="Compensated"))*ISNUMBER(MATCH(Recommendations[Id],J23:AW23,0)))/COUNTIF(J23:AW23,"&lt;&gt;"))</f>
        <v/>
      </c>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102"/>
    </row>
    <row r="24" spans="1:49" ht="60" customHeight="1" x14ac:dyDescent="0.35">
      <c r="A24" s="99" t="s">
        <v>1852</v>
      </c>
      <c r="B24" s="82" t="s">
        <v>3215</v>
      </c>
      <c r="C24" s="84" t="s">
        <v>3216</v>
      </c>
      <c r="D24" s="86" t="s">
        <v>3217</v>
      </c>
      <c r="E24" s="86" t="s">
        <v>3218</v>
      </c>
      <c r="F24" s="87" t="s">
        <v>3193</v>
      </c>
      <c r="G24" s="87" t="s">
        <v>3145</v>
      </c>
      <c r="H24" s="87">
        <v>2</v>
      </c>
      <c r="I24" s="89" t="str">
        <f>IF(COUNTIF(J24:AW24,"&lt;&gt;")=0,"",SUMPRODUCT(((Recommendations[ImplStatus]="Implemented")+(Recommendations[ImplStatus]="Compensated"))*ISNUMBER(MATCH(Recommendations[Id],J24:AW24,0)))/COUNTIF(J24:AW24,"&lt;&gt;"))</f>
        <v/>
      </c>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102"/>
    </row>
    <row r="25" spans="1:49" ht="60" customHeight="1" x14ac:dyDescent="0.35">
      <c r="A25" s="99" t="s">
        <v>1852</v>
      </c>
      <c r="B25" s="82" t="s">
        <v>3219</v>
      </c>
      <c r="C25" s="84" t="s">
        <v>3220</v>
      </c>
      <c r="D25" s="86" t="s">
        <v>3221</v>
      </c>
      <c r="E25" s="86" t="s">
        <v>3222</v>
      </c>
      <c r="F25" s="87" t="s">
        <v>3193</v>
      </c>
      <c r="G25" s="87" t="s">
        <v>3182</v>
      </c>
      <c r="H25" s="87">
        <v>2</v>
      </c>
      <c r="I25" s="89" t="str">
        <f>IF(COUNTIF(J25:AW25,"&lt;&gt;")=0,"",SUMPRODUCT(((Recommendations[ImplStatus]="Implemented")+(Recommendations[ImplStatus]="Compensated"))*ISNUMBER(MATCH(Recommendations[Id],J25:AW25,0)))/COUNTIF(J25:AW25,"&lt;&gt;"))</f>
        <v/>
      </c>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102"/>
    </row>
    <row r="26" spans="1:49" ht="60" customHeight="1" x14ac:dyDescent="0.35">
      <c r="A26" s="99" t="s">
        <v>1852</v>
      </c>
      <c r="B26" s="82" t="s">
        <v>3223</v>
      </c>
      <c r="C26" s="84" t="s">
        <v>3224</v>
      </c>
      <c r="D26" s="86" t="s">
        <v>3225</v>
      </c>
      <c r="E26" s="86" t="s">
        <v>3226</v>
      </c>
      <c r="F26" s="87" t="s">
        <v>3193</v>
      </c>
      <c r="G26" s="87" t="s">
        <v>3182</v>
      </c>
      <c r="H26" s="87">
        <v>2</v>
      </c>
      <c r="I26" s="89">
        <f>IF(COUNTIF(J26:AW26,"&lt;&gt;")=0,"",SUMPRODUCT(((Recommendations[ImplStatus]="Implemented")+(Recommendations[ImplStatus]="Compensated"))*ISNUMBER(MATCH(Recommendations[Id],J26:AW26,0)))/COUNTIF(J26:AW26,"&lt;&gt;"))</f>
        <v>0</v>
      </c>
      <c r="J26" s="91" t="s">
        <v>77</v>
      </c>
      <c r="K26" s="91" t="s">
        <v>135</v>
      </c>
      <c r="L26" s="91" t="s">
        <v>235</v>
      </c>
      <c r="M26" s="91" t="s">
        <v>610</v>
      </c>
      <c r="N26" s="91" t="s">
        <v>1286</v>
      </c>
      <c r="O26" s="91" t="s">
        <v>1508</v>
      </c>
      <c r="P26" s="91" t="s">
        <v>1519</v>
      </c>
      <c r="Q26" s="91" t="s">
        <v>1530</v>
      </c>
      <c r="R26" s="91" t="s">
        <v>1539</v>
      </c>
      <c r="S26" s="91" t="s">
        <v>1596</v>
      </c>
      <c r="T26" s="91" t="s">
        <v>1601</v>
      </c>
      <c r="U26" s="91" t="s">
        <v>1605</v>
      </c>
      <c r="V26" s="91" t="s">
        <v>1618</v>
      </c>
      <c r="W26" s="91" t="s">
        <v>1621</v>
      </c>
      <c r="X26" s="91" t="s">
        <v>1624</v>
      </c>
      <c r="Y26" s="91" t="s">
        <v>2269</v>
      </c>
      <c r="Z26" s="91" t="s">
        <v>2277</v>
      </c>
      <c r="AA26" s="91" t="s">
        <v>2332</v>
      </c>
      <c r="AB26" s="91" t="s">
        <v>2336</v>
      </c>
      <c r="AC26" s="91" t="s">
        <v>2341</v>
      </c>
      <c r="AD26" s="91" t="s">
        <v>2380</v>
      </c>
      <c r="AE26" s="91" t="s">
        <v>2387</v>
      </c>
      <c r="AF26" s="91" t="s">
        <v>2394</v>
      </c>
      <c r="AG26" s="91" t="s">
        <v>2426</v>
      </c>
      <c r="AH26" s="91" t="s">
        <v>2433</v>
      </c>
      <c r="AI26" s="91" t="s">
        <v>2440</v>
      </c>
      <c r="AJ26" s="91" t="s">
        <v>2447</v>
      </c>
      <c r="AK26" s="91" t="s">
        <v>2824</v>
      </c>
      <c r="AL26" s="91" t="s">
        <v>2837</v>
      </c>
      <c r="AM26" s="91" t="s">
        <v>2843</v>
      </c>
      <c r="AN26" s="91" t="s">
        <v>2849</v>
      </c>
      <c r="AO26" s="91"/>
      <c r="AP26" s="91"/>
      <c r="AQ26" s="91"/>
      <c r="AR26" s="91"/>
      <c r="AS26" s="91"/>
      <c r="AT26" s="91"/>
      <c r="AU26" s="91"/>
      <c r="AV26" s="91"/>
      <c r="AW26" s="102"/>
    </row>
    <row r="27" spans="1:49" ht="60" customHeight="1" x14ac:dyDescent="0.35">
      <c r="A27" s="99" t="s">
        <v>1852</v>
      </c>
      <c r="B27" s="82" t="s">
        <v>3227</v>
      </c>
      <c r="C27" s="84" t="s">
        <v>3228</v>
      </c>
      <c r="D27" s="86" t="s">
        <v>3229</v>
      </c>
      <c r="E27" s="86" t="s">
        <v>3230</v>
      </c>
      <c r="F27" s="87" t="s">
        <v>3193</v>
      </c>
      <c r="G27" s="87" t="s">
        <v>3182</v>
      </c>
      <c r="H27" s="87">
        <v>2</v>
      </c>
      <c r="I27" s="89" t="str">
        <f>IF(COUNTIF(J27:AW27,"&lt;&gt;")=0,"",SUMPRODUCT(((Recommendations[ImplStatus]="Implemented")+(Recommendations[ImplStatus]="Compensated"))*ISNUMBER(MATCH(Recommendations[Id],J27:AW27,0)))/COUNTIF(J27:AW27,"&lt;&gt;"))</f>
        <v/>
      </c>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102"/>
    </row>
    <row r="28" spans="1:49" ht="60" customHeight="1" x14ac:dyDescent="0.35">
      <c r="A28" s="99" t="s">
        <v>1852</v>
      </c>
      <c r="B28" s="82" t="s">
        <v>3231</v>
      </c>
      <c r="C28" s="84" t="s">
        <v>3232</v>
      </c>
      <c r="D28" s="86" t="s">
        <v>3233</v>
      </c>
      <c r="E28" s="86" t="s">
        <v>3234</v>
      </c>
      <c r="F28" s="87" t="s">
        <v>3193</v>
      </c>
      <c r="G28" s="87" t="s">
        <v>3182</v>
      </c>
      <c r="H28" s="87">
        <v>2</v>
      </c>
      <c r="I28" s="89">
        <f>IF(COUNTIF(J28:AW28,"&lt;&gt;")=0,"",SUMPRODUCT(((Recommendations[ImplStatus]="Implemented")+(Recommendations[ImplStatus]="Compensated"))*ISNUMBER(MATCH(Recommendations[Id],J28:AW28,0)))/COUNTIF(J28:AW28,"&lt;&gt;"))</f>
        <v>0</v>
      </c>
      <c r="J28" s="91" t="s">
        <v>1853</v>
      </c>
      <c r="K28" s="91" t="s">
        <v>2107</v>
      </c>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102"/>
    </row>
    <row r="29" spans="1:49" ht="60" customHeight="1" x14ac:dyDescent="0.35">
      <c r="A29" s="99" t="s">
        <v>1852</v>
      </c>
      <c r="B29" s="82" t="s">
        <v>3235</v>
      </c>
      <c r="C29" s="84" t="s">
        <v>3236</v>
      </c>
      <c r="D29" s="86" t="s">
        <v>3237</v>
      </c>
      <c r="E29" s="86" t="s">
        <v>3238</v>
      </c>
      <c r="F29" s="87" t="s">
        <v>3193</v>
      </c>
      <c r="G29" s="87" t="s">
        <v>3182</v>
      </c>
      <c r="H29" s="87">
        <v>3</v>
      </c>
      <c r="I29" s="89" t="str">
        <f>IF(COUNTIF(J29:AW29,"&lt;&gt;")=0,"",SUMPRODUCT(((Recommendations[ImplStatus]="Implemented")+(Recommendations[ImplStatus]="Compensated"))*ISNUMBER(MATCH(Recommendations[Id],J29:AW29,0)))/COUNTIF(J29:AW29,"&lt;&gt;"))</f>
        <v/>
      </c>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102"/>
    </row>
    <row r="30" spans="1:49" ht="60" customHeight="1" x14ac:dyDescent="0.35">
      <c r="A30" s="99" t="s">
        <v>1852</v>
      </c>
      <c r="B30" s="82" t="s">
        <v>3239</v>
      </c>
      <c r="C30" s="84" t="s">
        <v>3240</v>
      </c>
      <c r="D30" s="86" t="s">
        <v>3241</v>
      </c>
      <c r="E30" s="86" t="s">
        <v>3242</v>
      </c>
      <c r="F30" s="87" t="s">
        <v>3193</v>
      </c>
      <c r="G30" s="87" t="s">
        <v>3155</v>
      </c>
      <c r="H30" s="87">
        <v>3</v>
      </c>
      <c r="I30" s="89" t="str">
        <f>IF(COUNTIF(J30:AW30,"&lt;&gt;")=0,"",SUMPRODUCT(((Recommendations[ImplStatus]="Implemented")+(Recommendations[ImplStatus]="Compensated"))*ISNUMBER(MATCH(Recommendations[Id],J30:AW30,0)))/COUNTIF(J30:AW30,"&lt;&gt;"))</f>
        <v/>
      </c>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102"/>
    </row>
    <row r="31" spans="1:49" ht="60" customHeight="1" outlineLevel="1" x14ac:dyDescent="0.35">
      <c r="A31" s="98" t="s">
        <v>3243</v>
      </c>
      <c r="B31" s="81">
        <v>4</v>
      </c>
      <c r="C31" s="83" t="s">
        <v>28</v>
      </c>
      <c r="D31" s="85" t="s">
        <v>3244</v>
      </c>
      <c r="E31" s="85" t="s">
        <v>28</v>
      </c>
      <c r="F31" s="81" t="s">
        <v>28</v>
      </c>
      <c r="G31" s="81" t="s">
        <v>28</v>
      </c>
      <c r="H31" s="81"/>
      <c r="I31" s="88" t="str">
        <f>IF(COUNTIF(J31:AW31,"&lt;&gt;")=0,"",SUMPRODUCT(((Recommendations[ImplStatus]="Implemented")+(Recommendations[ImplStatus]="Compensated"))*ISNUMBER(MATCH(Recommendations[Id],J31:AW31,0)))/COUNTIF(J31:AW31,"&lt;&gt;"))</f>
        <v/>
      </c>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101"/>
    </row>
    <row r="32" spans="1:49" ht="60" customHeight="1" x14ac:dyDescent="0.35">
      <c r="A32" s="99" t="s">
        <v>3243</v>
      </c>
      <c r="B32" s="82" t="s">
        <v>1853</v>
      </c>
      <c r="C32" s="84" t="s">
        <v>3245</v>
      </c>
      <c r="D32" s="86" t="s">
        <v>3246</v>
      </c>
      <c r="E32" s="86" t="s">
        <v>3247</v>
      </c>
      <c r="F32" s="87" t="s">
        <v>3248</v>
      </c>
      <c r="G32" s="87" t="s">
        <v>3194</v>
      </c>
      <c r="H32" s="87">
        <v>1</v>
      </c>
      <c r="I32" s="89">
        <f>IF(COUNTIF(J32:AW32,"&lt;&gt;")=0,"",SUMPRODUCT(((Recommendations[ImplStatus]="Implemented")+(Recommendations[ImplStatus]="Compensated"))*ISNUMBER(MATCH(Recommendations[Id],J32:AW32,0)))/COUNTIF(J32:AW32,"&lt;&gt;"))</f>
        <v>0</v>
      </c>
      <c r="J32" s="91" t="s">
        <v>51</v>
      </c>
      <c r="K32" s="91" t="s">
        <v>107</v>
      </c>
      <c r="L32" s="91" t="s">
        <v>173</v>
      </c>
      <c r="M32" s="91" t="s">
        <v>182</v>
      </c>
      <c r="N32" s="91" t="s">
        <v>185</v>
      </c>
      <c r="O32" s="91" t="s">
        <v>193</v>
      </c>
      <c r="P32" s="91" t="s">
        <v>196</v>
      </c>
      <c r="Q32" s="91" t="s">
        <v>385</v>
      </c>
      <c r="R32" s="91" t="s">
        <v>1508</v>
      </c>
      <c r="S32" s="91" t="s">
        <v>1519</v>
      </c>
      <c r="T32" s="91" t="s">
        <v>1530</v>
      </c>
      <c r="U32" s="91" t="s">
        <v>2243</v>
      </c>
      <c r="V32" s="91" t="s">
        <v>2252</v>
      </c>
      <c r="W32" s="91" t="s">
        <v>2260</v>
      </c>
      <c r="X32" s="91" t="s">
        <v>2296</v>
      </c>
      <c r="Y32" s="91" t="s">
        <v>2309</v>
      </c>
      <c r="Z32" s="91" t="s">
        <v>2401</v>
      </c>
      <c r="AA32" s="91" t="s">
        <v>2408</v>
      </c>
      <c r="AB32" s="91" t="s">
        <v>2415</v>
      </c>
      <c r="AC32" s="91" t="s">
        <v>2419</v>
      </c>
      <c r="AD32" s="91" t="s">
        <v>2684</v>
      </c>
      <c r="AE32" s="91" t="s">
        <v>2691</v>
      </c>
      <c r="AF32" s="91"/>
      <c r="AG32" s="91"/>
      <c r="AH32" s="91"/>
      <c r="AI32" s="91"/>
      <c r="AJ32" s="91"/>
      <c r="AK32" s="91"/>
      <c r="AL32" s="91"/>
      <c r="AM32" s="91"/>
      <c r="AN32" s="91"/>
      <c r="AO32" s="91"/>
      <c r="AP32" s="91"/>
      <c r="AQ32" s="91"/>
      <c r="AR32" s="91"/>
      <c r="AS32" s="91"/>
      <c r="AT32" s="91"/>
      <c r="AU32" s="91"/>
      <c r="AV32" s="91"/>
      <c r="AW32" s="102"/>
    </row>
    <row r="33" spans="1:49" ht="60" customHeight="1" x14ac:dyDescent="0.35">
      <c r="A33" s="99" t="s">
        <v>3243</v>
      </c>
      <c r="B33" s="82" t="s">
        <v>3249</v>
      </c>
      <c r="C33" s="84" t="s">
        <v>3250</v>
      </c>
      <c r="D33" s="86" t="s">
        <v>3251</v>
      </c>
      <c r="E33" s="86" t="s">
        <v>3252</v>
      </c>
      <c r="F33" s="87" t="s">
        <v>3248</v>
      </c>
      <c r="G33" s="87" t="s">
        <v>3194</v>
      </c>
      <c r="H33" s="87">
        <v>1</v>
      </c>
      <c r="I33" s="89">
        <f>IF(COUNTIF(J33:AW33,"&lt;&gt;")=0,"",SUMPRODUCT(((Recommendations[ImplStatus]="Implemented")+(Recommendations[ImplStatus]="Compensated"))*ISNUMBER(MATCH(Recommendations[Id],J33:AW33,0)))/COUNTIF(J33:AW33,"&lt;&gt;"))</f>
        <v>0</v>
      </c>
      <c r="J33" s="91" t="s">
        <v>288</v>
      </c>
      <c r="K33" s="91" t="s">
        <v>293</v>
      </c>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102"/>
    </row>
    <row r="34" spans="1:49" ht="60" customHeight="1" x14ac:dyDescent="0.35">
      <c r="A34" s="99" t="s">
        <v>3243</v>
      </c>
      <c r="B34" s="82" t="s">
        <v>3253</v>
      </c>
      <c r="C34" s="84" t="s">
        <v>3254</v>
      </c>
      <c r="D34" s="86" t="s">
        <v>3255</v>
      </c>
      <c r="E34" s="86" t="s">
        <v>3256</v>
      </c>
      <c r="F34" s="87" t="s">
        <v>3144</v>
      </c>
      <c r="G34" s="87" t="s">
        <v>3182</v>
      </c>
      <c r="H34" s="87">
        <v>1</v>
      </c>
      <c r="I34" s="89">
        <f>IF(COUNTIF(J34:AW34,"&lt;&gt;")=0,"",SUMPRODUCT(((Recommendations[ImplStatus]="Implemented")+(Recommendations[ImplStatus]="Compensated"))*ISNUMBER(MATCH(Recommendations[Id],J34:AW34,0)))/COUNTIF(J34:AW34,"&lt;&gt;"))</f>
        <v>0</v>
      </c>
      <c r="J34" s="91" t="s">
        <v>23</v>
      </c>
      <c r="K34" s="91" t="s">
        <v>41</v>
      </c>
      <c r="L34" s="91" t="s">
        <v>222</v>
      </c>
      <c r="M34" s="91" t="s">
        <v>333</v>
      </c>
      <c r="N34" s="91" t="s">
        <v>346</v>
      </c>
      <c r="O34" s="91" t="s">
        <v>354</v>
      </c>
      <c r="P34" s="91" t="s">
        <v>363</v>
      </c>
      <c r="Q34" s="91" t="s">
        <v>2366</v>
      </c>
      <c r="R34" s="91" t="s">
        <v>2373</v>
      </c>
      <c r="S34" s="91" t="s">
        <v>2547</v>
      </c>
      <c r="T34" s="91" t="s">
        <v>2803</v>
      </c>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102"/>
    </row>
    <row r="35" spans="1:49" ht="60" customHeight="1" x14ac:dyDescent="0.35">
      <c r="A35" s="99" t="s">
        <v>3243</v>
      </c>
      <c r="B35" s="82" t="s">
        <v>3257</v>
      </c>
      <c r="C35" s="84" t="s">
        <v>3258</v>
      </c>
      <c r="D35" s="86" t="s">
        <v>3259</v>
      </c>
      <c r="E35" s="86" t="s">
        <v>3260</v>
      </c>
      <c r="F35" s="87" t="s">
        <v>3144</v>
      </c>
      <c r="G35" s="87" t="s">
        <v>3182</v>
      </c>
      <c r="H35" s="87">
        <v>1</v>
      </c>
      <c r="I35" s="89">
        <f>IF(COUNTIF(J35:AW35,"&lt;&gt;")=0,"",SUMPRODUCT(((Recommendations[ImplStatus]="Implemented")+(Recommendations[ImplStatus]="Compensated"))*ISNUMBER(MATCH(Recommendations[Id],J35:AW35,0)))/COUNTIF(J35:AW35,"&lt;&gt;"))</f>
        <v>0</v>
      </c>
      <c r="J35" s="91" t="s">
        <v>84</v>
      </c>
      <c r="K35" s="91" t="s">
        <v>93</v>
      </c>
      <c r="L35" s="91" t="s">
        <v>100</v>
      </c>
      <c r="M35" s="91" t="s">
        <v>2144</v>
      </c>
      <c r="N35" s="91" t="s">
        <v>2152</v>
      </c>
      <c r="O35" s="91" t="s">
        <v>2160</v>
      </c>
      <c r="P35" s="91" t="s">
        <v>2168</v>
      </c>
      <c r="Q35" s="91" t="s">
        <v>2180</v>
      </c>
      <c r="R35" s="91" t="s">
        <v>2184</v>
      </c>
      <c r="S35" s="91" t="s">
        <v>2196</v>
      </c>
      <c r="T35" s="91" t="s">
        <v>2200</v>
      </c>
      <c r="U35" s="91" t="s">
        <v>2204</v>
      </c>
      <c r="V35" s="91" t="s">
        <v>2208</v>
      </c>
      <c r="W35" s="91" t="s">
        <v>2216</v>
      </c>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102"/>
    </row>
    <row r="36" spans="1:49" ht="60" customHeight="1" x14ac:dyDescent="0.35">
      <c r="A36" s="99" t="s">
        <v>3243</v>
      </c>
      <c r="B36" s="82" t="s">
        <v>3261</v>
      </c>
      <c r="C36" s="84" t="s">
        <v>3262</v>
      </c>
      <c r="D36" s="86" t="s">
        <v>3263</v>
      </c>
      <c r="E36" s="86" t="s">
        <v>3264</v>
      </c>
      <c r="F36" s="87" t="s">
        <v>3144</v>
      </c>
      <c r="G36" s="87" t="s">
        <v>3182</v>
      </c>
      <c r="H36" s="87">
        <v>1</v>
      </c>
      <c r="I36" s="89">
        <f>IF(COUNTIF(J36:AW36,"&lt;&gt;")=0,"",SUMPRODUCT(((Recommendations[ImplStatus]="Implemented")+(Recommendations[ImplStatus]="Compensated"))*ISNUMBER(MATCH(Recommendations[Id],J36:AW36,0)))/COUNTIF(J36:AW36,"&lt;&gt;"))</f>
        <v>0</v>
      </c>
      <c r="J36" s="91" t="s">
        <v>2160</v>
      </c>
      <c r="K36" s="91" t="s">
        <v>2168</v>
      </c>
      <c r="L36" s="91" t="s">
        <v>2204</v>
      </c>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102"/>
    </row>
    <row r="37" spans="1:49" ht="60" customHeight="1" x14ac:dyDescent="0.35">
      <c r="A37" s="99" t="s">
        <v>3243</v>
      </c>
      <c r="B37" s="82" t="s">
        <v>3265</v>
      </c>
      <c r="C37" s="84" t="s">
        <v>3266</v>
      </c>
      <c r="D37" s="86" t="s">
        <v>3267</v>
      </c>
      <c r="E37" s="86" t="s">
        <v>3268</v>
      </c>
      <c r="F37" s="87" t="s">
        <v>3144</v>
      </c>
      <c r="G37" s="87" t="s">
        <v>3182</v>
      </c>
      <c r="H37" s="87">
        <v>1</v>
      </c>
      <c r="I37" s="89" t="str">
        <f>IF(COUNTIF(J37:AW37,"&lt;&gt;")=0,"",SUMPRODUCT(((Recommendations[ImplStatus]="Implemented")+(Recommendations[ImplStatus]="Compensated"))*ISNUMBER(MATCH(Recommendations[Id],J37:AW37,0)))/COUNTIF(J37:AW37,"&lt;&gt;"))</f>
        <v/>
      </c>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102"/>
    </row>
    <row r="38" spans="1:49" ht="60" customHeight="1" x14ac:dyDescent="0.35">
      <c r="A38" s="99" t="s">
        <v>3243</v>
      </c>
      <c r="B38" s="82" t="s">
        <v>3269</v>
      </c>
      <c r="C38" s="84" t="s">
        <v>3270</v>
      </c>
      <c r="D38" s="86" t="s">
        <v>3271</v>
      </c>
      <c r="E38" s="86" t="s">
        <v>3272</v>
      </c>
      <c r="F38" s="87" t="s">
        <v>3273</v>
      </c>
      <c r="G38" s="87" t="s">
        <v>3182</v>
      </c>
      <c r="H38" s="87">
        <v>1</v>
      </c>
      <c r="I38" s="89" t="str">
        <f>IF(COUNTIF(J38:AW38,"&lt;&gt;")=0,"",SUMPRODUCT(((Recommendations[ImplStatus]="Implemented")+(Recommendations[ImplStatus]="Compensated"))*ISNUMBER(MATCH(Recommendations[Id],J38:AW38,0)))/COUNTIF(J38:AW38,"&lt;&gt;"))</f>
        <v/>
      </c>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102"/>
    </row>
    <row r="39" spans="1:49" ht="60" customHeight="1" x14ac:dyDescent="0.35">
      <c r="A39" s="99" t="s">
        <v>3243</v>
      </c>
      <c r="B39" s="82" t="s">
        <v>3274</v>
      </c>
      <c r="C39" s="84" t="s">
        <v>3275</v>
      </c>
      <c r="D39" s="86" t="s">
        <v>3276</v>
      </c>
      <c r="E39" s="86" t="s">
        <v>3277</v>
      </c>
      <c r="F39" s="87" t="s">
        <v>3144</v>
      </c>
      <c r="G39" s="87" t="s">
        <v>3182</v>
      </c>
      <c r="H39" s="87">
        <v>2</v>
      </c>
      <c r="I39" s="89">
        <f>IF(COUNTIF(J39:AW39,"&lt;&gt;")=0,"",SUMPRODUCT(((Recommendations[ImplStatus]="Implemented")+(Recommendations[ImplStatus]="Compensated"))*ISNUMBER(MATCH(Recommendations[Id],J39:AW39,0)))/COUNTIF(J39:AW39,"&lt;&gt;"))</f>
        <v>0</v>
      </c>
      <c r="J39" s="91" t="s">
        <v>59</v>
      </c>
      <c r="K39" s="91" t="s">
        <v>65</v>
      </c>
      <c r="L39" s="91" t="s">
        <v>213</v>
      </c>
      <c r="M39" s="91" t="s">
        <v>371</v>
      </c>
      <c r="N39" s="91" t="s">
        <v>2285</v>
      </c>
      <c r="O39" s="91" t="s">
        <v>2350</v>
      </c>
      <c r="P39" s="91" t="s">
        <v>2507</v>
      </c>
      <c r="Q39" s="91" t="s">
        <v>2604</v>
      </c>
      <c r="R39" s="91" t="s">
        <v>2613</v>
      </c>
      <c r="S39" s="91" t="s">
        <v>2619</v>
      </c>
      <c r="T39" s="91" t="s">
        <v>2625</v>
      </c>
      <c r="U39" s="91" t="s">
        <v>2632</v>
      </c>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102"/>
    </row>
    <row r="40" spans="1:49" ht="60" customHeight="1" x14ac:dyDescent="0.35">
      <c r="A40" s="99" t="s">
        <v>3243</v>
      </c>
      <c r="B40" s="82" t="s">
        <v>3278</v>
      </c>
      <c r="C40" s="84" t="s">
        <v>3279</v>
      </c>
      <c r="D40" s="86" t="s">
        <v>3280</v>
      </c>
      <c r="E40" s="86" t="s">
        <v>3281</v>
      </c>
      <c r="F40" s="87" t="s">
        <v>3144</v>
      </c>
      <c r="G40" s="87" t="s">
        <v>3182</v>
      </c>
      <c r="H40" s="87">
        <v>2</v>
      </c>
      <c r="I40" s="89" t="str">
        <f>IF(COUNTIF(J40:AW40,"&lt;&gt;")=0,"",SUMPRODUCT(((Recommendations[ImplStatus]="Implemented")+(Recommendations[ImplStatus]="Compensated"))*ISNUMBER(MATCH(Recommendations[Id],J40:AW40,0)))/COUNTIF(J40:AW40,"&lt;&gt;"))</f>
        <v/>
      </c>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102"/>
    </row>
    <row r="41" spans="1:49" ht="60" customHeight="1" x14ac:dyDescent="0.35">
      <c r="A41" s="99" t="s">
        <v>3243</v>
      </c>
      <c r="B41" s="82" t="s">
        <v>3282</v>
      </c>
      <c r="C41" s="84" t="s">
        <v>3283</v>
      </c>
      <c r="D41" s="86" t="s">
        <v>3284</v>
      </c>
      <c r="E41" s="86" t="s">
        <v>3285</v>
      </c>
      <c r="F41" s="87" t="s">
        <v>3144</v>
      </c>
      <c r="G41" s="87" t="s">
        <v>3182</v>
      </c>
      <c r="H41" s="87">
        <v>2</v>
      </c>
      <c r="I41" s="89" t="str">
        <f>IF(COUNTIF(J41:AW41,"&lt;&gt;")=0,"",SUMPRODUCT(((Recommendations[ImplStatus]="Implemented")+(Recommendations[ImplStatus]="Compensated"))*ISNUMBER(MATCH(Recommendations[Id],J41:AW41,0)))/COUNTIF(J41:AW41,"&lt;&gt;"))</f>
        <v/>
      </c>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102"/>
    </row>
    <row r="42" spans="1:49" ht="60" customHeight="1" x14ac:dyDescent="0.35">
      <c r="A42" s="99" t="s">
        <v>3243</v>
      </c>
      <c r="B42" s="82" t="s">
        <v>3286</v>
      </c>
      <c r="C42" s="84" t="s">
        <v>3287</v>
      </c>
      <c r="D42" s="86" t="s">
        <v>3288</v>
      </c>
      <c r="E42" s="86" t="s">
        <v>3289</v>
      </c>
      <c r="F42" s="87" t="s">
        <v>3193</v>
      </c>
      <c r="G42" s="87" t="s">
        <v>3182</v>
      </c>
      <c r="H42" s="87">
        <v>2</v>
      </c>
      <c r="I42" s="89" t="str">
        <f>IF(COUNTIF(J42:AW42,"&lt;&gt;")=0,"",SUMPRODUCT(((Recommendations[ImplStatus]="Implemented")+(Recommendations[ImplStatus]="Compensated"))*ISNUMBER(MATCH(Recommendations[Id],J42:AW42,0)))/COUNTIF(J42:AW42,"&lt;&gt;"))</f>
        <v/>
      </c>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102"/>
    </row>
    <row r="43" spans="1:49" ht="60" customHeight="1" x14ac:dyDescent="0.35">
      <c r="A43" s="99" t="s">
        <v>3243</v>
      </c>
      <c r="B43" s="82" t="s">
        <v>3290</v>
      </c>
      <c r="C43" s="84" t="s">
        <v>3291</v>
      </c>
      <c r="D43" s="86" t="s">
        <v>3292</v>
      </c>
      <c r="E43" s="86" t="s">
        <v>3293</v>
      </c>
      <c r="F43" s="87" t="s">
        <v>3193</v>
      </c>
      <c r="G43" s="87" t="s">
        <v>3182</v>
      </c>
      <c r="H43" s="87">
        <v>3</v>
      </c>
      <c r="I43" s="89" t="str">
        <f>IF(COUNTIF(J43:AW43,"&lt;&gt;")=0,"",SUMPRODUCT(((Recommendations[ImplStatus]="Implemented")+(Recommendations[ImplStatus]="Compensated"))*ISNUMBER(MATCH(Recommendations[Id],J43:AW43,0)))/COUNTIF(J43:AW43,"&lt;&gt;"))</f>
        <v/>
      </c>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102"/>
    </row>
    <row r="44" spans="1:49" ht="60" customHeight="1" outlineLevel="1" x14ac:dyDescent="0.35">
      <c r="A44" s="98" t="s">
        <v>3294</v>
      </c>
      <c r="B44" s="81">
        <v>5</v>
      </c>
      <c r="C44" s="83" t="s">
        <v>28</v>
      </c>
      <c r="D44" s="85" t="s">
        <v>3295</v>
      </c>
      <c r="E44" s="85" t="s">
        <v>28</v>
      </c>
      <c r="F44" s="81" t="s">
        <v>28</v>
      </c>
      <c r="G44" s="81" t="s">
        <v>28</v>
      </c>
      <c r="H44" s="81"/>
      <c r="I44" s="88" t="str">
        <f>IF(COUNTIF(J44:AW44,"&lt;&gt;")=0,"",SUMPRODUCT(((Recommendations[ImplStatus]="Implemented")+(Recommendations[ImplStatus]="Compensated"))*ISNUMBER(MATCH(Recommendations[Id],J44:AW44,0)))/COUNTIF(J44:AW44,"&lt;&gt;"))</f>
        <v/>
      </c>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101"/>
    </row>
    <row r="45" spans="1:49" ht="60" customHeight="1" x14ac:dyDescent="0.35">
      <c r="A45" s="99" t="s">
        <v>3294</v>
      </c>
      <c r="B45" s="82" t="s">
        <v>1861</v>
      </c>
      <c r="C45" s="84" t="s">
        <v>3296</v>
      </c>
      <c r="D45" s="86" t="s">
        <v>3297</v>
      </c>
      <c r="E45" s="86" t="s">
        <v>3298</v>
      </c>
      <c r="F45" s="87" t="s">
        <v>3273</v>
      </c>
      <c r="G45" s="87" t="s">
        <v>3145</v>
      </c>
      <c r="H45" s="87">
        <v>1</v>
      </c>
      <c r="I45" s="89">
        <f>IF(COUNTIF(J45:AW45,"&lt;&gt;")=0,"",SUMPRODUCT(((Recommendations[ImplStatus]="Implemented")+(Recommendations[ImplStatus]="Compensated"))*ISNUMBER(MATCH(Recommendations[Id],J45:AW45,0)))/COUNTIF(J45:AW45,"&lt;&gt;"))</f>
        <v>0</v>
      </c>
      <c r="J45" s="91" t="s">
        <v>398</v>
      </c>
      <c r="K45" s="91" t="s">
        <v>1449</v>
      </c>
      <c r="L45" s="91" t="s">
        <v>1806</v>
      </c>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102"/>
    </row>
    <row r="46" spans="1:49" ht="60" customHeight="1" x14ac:dyDescent="0.35">
      <c r="A46" s="99" t="s">
        <v>3294</v>
      </c>
      <c r="B46" s="82" t="s">
        <v>1873</v>
      </c>
      <c r="C46" s="84" t="s">
        <v>3299</v>
      </c>
      <c r="D46" s="86" t="s">
        <v>3300</v>
      </c>
      <c r="E46" s="86" t="s">
        <v>3301</v>
      </c>
      <c r="F46" s="87" t="s">
        <v>3273</v>
      </c>
      <c r="G46" s="87" t="s">
        <v>3182</v>
      </c>
      <c r="H46" s="87">
        <v>1</v>
      </c>
      <c r="I46" s="89">
        <f>IF(COUNTIF(J46:AW46,"&lt;&gt;")=0,"",SUMPRODUCT(((Recommendations[ImplStatus]="Implemented")+(Recommendations[ImplStatus]="Compensated"))*ISNUMBER(MATCH(Recommendations[Id],J46:AW46,0)))/COUNTIF(J46:AW46,"&lt;&gt;"))</f>
        <v>0</v>
      </c>
      <c r="J46" s="91" t="s">
        <v>2093</v>
      </c>
      <c r="K46" s="91" t="s">
        <v>2100</v>
      </c>
      <c r="L46" s="91" t="s">
        <v>2357</v>
      </c>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102"/>
    </row>
    <row r="47" spans="1:49" ht="60" customHeight="1" x14ac:dyDescent="0.35">
      <c r="A47" s="99" t="s">
        <v>3294</v>
      </c>
      <c r="B47" s="82" t="s">
        <v>1884</v>
      </c>
      <c r="C47" s="84" t="s">
        <v>3302</v>
      </c>
      <c r="D47" s="86" t="s">
        <v>3303</v>
      </c>
      <c r="E47" s="86" t="s">
        <v>3304</v>
      </c>
      <c r="F47" s="87" t="s">
        <v>3273</v>
      </c>
      <c r="G47" s="87" t="s">
        <v>3182</v>
      </c>
      <c r="H47" s="87">
        <v>1</v>
      </c>
      <c r="I47" s="89">
        <f>IF(COUNTIF(J47:AW47,"&lt;&gt;")=0,"",SUMPRODUCT(((Recommendations[ImplStatus]="Implemented")+(Recommendations[ImplStatus]="Compensated"))*ISNUMBER(MATCH(Recommendations[Id],J47:AW47,0)))/COUNTIF(J47:AW47,"&lt;&gt;"))</f>
        <v>0</v>
      </c>
      <c r="J47" s="91" t="s">
        <v>2816</v>
      </c>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102"/>
    </row>
    <row r="48" spans="1:49" ht="60" customHeight="1" x14ac:dyDescent="0.35">
      <c r="A48" s="99" t="s">
        <v>3294</v>
      </c>
      <c r="B48" s="82" t="s">
        <v>1892</v>
      </c>
      <c r="C48" s="84" t="s">
        <v>3305</v>
      </c>
      <c r="D48" s="86" t="s">
        <v>3306</v>
      </c>
      <c r="E48" s="86" t="s">
        <v>3307</v>
      </c>
      <c r="F48" s="87" t="s">
        <v>3273</v>
      </c>
      <c r="G48" s="87" t="s">
        <v>3182</v>
      </c>
      <c r="H48" s="87">
        <v>1</v>
      </c>
      <c r="I48" s="89">
        <f>IF(COUNTIF(J48:AW48,"&lt;&gt;")=0,"",SUMPRODUCT(((Recommendations[ImplStatus]="Implemented")+(Recommendations[ImplStatus]="Compensated"))*ISNUMBER(MATCH(Recommendations[Id],J48:AW48,0)))/COUNTIF(J48:AW48,"&lt;&gt;"))</f>
        <v>0</v>
      </c>
      <c r="J48" s="91" t="s">
        <v>51</v>
      </c>
      <c r="K48" s="91" t="s">
        <v>204</v>
      </c>
      <c r="L48" s="91" t="s">
        <v>468</v>
      </c>
      <c r="M48" s="91" t="s">
        <v>1561</v>
      </c>
      <c r="N48" s="91" t="s">
        <v>1573</v>
      </c>
      <c r="O48" s="91" t="s">
        <v>2454</v>
      </c>
      <c r="P48" s="91" t="s">
        <v>2461</v>
      </c>
      <c r="Q48" s="91" t="s">
        <v>2468</v>
      </c>
      <c r="R48" s="91" t="s">
        <v>2472</v>
      </c>
      <c r="S48" s="91" t="s">
        <v>2476</v>
      </c>
      <c r="T48" s="91" t="s">
        <v>2483</v>
      </c>
      <c r="U48" s="91" t="s">
        <v>2490</v>
      </c>
      <c r="V48" s="91" t="s">
        <v>2519</v>
      </c>
      <c r="W48" s="91" t="s">
        <v>2530</v>
      </c>
      <c r="X48" s="91" t="s">
        <v>2640</v>
      </c>
      <c r="Y48" s="91" t="s">
        <v>2649</v>
      </c>
      <c r="Z48" s="91" t="s">
        <v>2656</v>
      </c>
      <c r="AA48" s="91" t="s">
        <v>2663</v>
      </c>
      <c r="AB48" s="91" t="s">
        <v>2670</v>
      </c>
      <c r="AC48" s="91" t="s">
        <v>2677</v>
      </c>
      <c r="AD48" s="91" t="s">
        <v>2698</v>
      </c>
      <c r="AE48" s="91" t="s">
        <v>2705</v>
      </c>
      <c r="AF48" s="91" t="s">
        <v>2712</v>
      </c>
      <c r="AG48" s="91" t="s">
        <v>2719</v>
      </c>
      <c r="AH48" s="91" t="s">
        <v>2726</v>
      </c>
      <c r="AI48" s="91" t="s">
        <v>2733</v>
      </c>
      <c r="AJ48" s="91" t="s">
        <v>2740</v>
      </c>
      <c r="AK48" s="91" t="s">
        <v>2747</v>
      </c>
      <c r="AL48" s="91" t="s">
        <v>2754</v>
      </c>
      <c r="AM48" s="91" t="s">
        <v>2856</v>
      </c>
      <c r="AN48" s="91"/>
      <c r="AO48" s="91"/>
      <c r="AP48" s="91"/>
      <c r="AQ48" s="91"/>
      <c r="AR48" s="91"/>
      <c r="AS48" s="91"/>
      <c r="AT48" s="91"/>
      <c r="AU48" s="91"/>
      <c r="AV48" s="91"/>
      <c r="AW48" s="102"/>
    </row>
    <row r="49" spans="1:49" ht="60" customHeight="1" x14ac:dyDescent="0.35">
      <c r="A49" s="99" t="s">
        <v>3294</v>
      </c>
      <c r="B49" s="82" t="s">
        <v>1901</v>
      </c>
      <c r="C49" s="84" t="s">
        <v>3308</v>
      </c>
      <c r="D49" s="86" t="s">
        <v>3309</v>
      </c>
      <c r="E49" s="86" t="s">
        <v>3310</v>
      </c>
      <c r="F49" s="87" t="s">
        <v>3273</v>
      </c>
      <c r="G49" s="87" t="s">
        <v>3145</v>
      </c>
      <c r="H49" s="87">
        <v>2</v>
      </c>
      <c r="I49" s="89" t="str">
        <f>IF(COUNTIF(J49:AW49,"&lt;&gt;")=0,"",SUMPRODUCT(((Recommendations[ImplStatus]="Implemented")+(Recommendations[ImplStatus]="Compensated"))*ISNUMBER(MATCH(Recommendations[Id],J49:AW49,0)))/COUNTIF(J49:AW49,"&lt;&gt;"))</f>
        <v/>
      </c>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102"/>
    </row>
    <row r="50" spans="1:49" ht="60" customHeight="1" x14ac:dyDescent="0.35">
      <c r="A50" s="99" t="s">
        <v>3294</v>
      </c>
      <c r="B50" s="82" t="s">
        <v>1910</v>
      </c>
      <c r="C50" s="84" t="s">
        <v>3311</v>
      </c>
      <c r="D50" s="86" t="s">
        <v>3312</v>
      </c>
      <c r="E50" s="86" t="s">
        <v>3313</v>
      </c>
      <c r="F50" s="87" t="s">
        <v>3273</v>
      </c>
      <c r="G50" s="87" t="s">
        <v>3194</v>
      </c>
      <c r="H50" s="87">
        <v>2</v>
      </c>
      <c r="I50" s="89" t="str">
        <f>IF(COUNTIF(J50:AW50,"&lt;&gt;")=0,"",SUMPRODUCT(((Recommendations[ImplStatus]="Implemented")+(Recommendations[ImplStatus]="Compensated"))*ISNUMBER(MATCH(Recommendations[Id],J50:AW50,0)))/COUNTIF(J50:AW50,"&lt;&gt;"))</f>
        <v/>
      </c>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102"/>
    </row>
    <row r="51" spans="1:49" ht="60" customHeight="1" outlineLevel="1" x14ac:dyDescent="0.35">
      <c r="A51" s="98" t="s">
        <v>3314</v>
      </c>
      <c r="B51" s="81">
        <v>6</v>
      </c>
      <c r="C51" s="83" t="s">
        <v>28</v>
      </c>
      <c r="D51" s="85" t="s">
        <v>3315</v>
      </c>
      <c r="E51" s="85" t="s">
        <v>28</v>
      </c>
      <c r="F51" s="81" t="s">
        <v>28</v>
      </c>
      <c r="G51" s="81" t="s">
        <v>28</v>
      </c>
      <c r="H51" s="81"/>
      <c r="I51" s="88" t="str">
        <f>IF(COUNTIF(J51:AW51,"&lt;&gt;")=0,"",SUMPRODUCT(((Recommendations[ImplStatus]="Implemented")+(Recommendations[ImplStatus]="Compensated"))*ISNUMBER(MATCH(Recommendations[Id],J51:AW51,0)))/COUNTIF(J51:AW51,"&lt;&gt;"))</f>
        <v/>
      </c>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101"/>
    </row>
    <row r="52" spans="1:49" ht="60" customHeight="1" x14ac:dyDescent="0.35">
      <c r="A52" s="99" t="s">
        <v>3314</v>
      </c>
      <c r="B52" s="82" t="s">
        <v>2055</v>
      </c>
      <c r="C52" s="84" t="s">
        <v>3316</v>
      </c>
      <c r="D52" s="86" t="s">
        <v>3317</v>
      </c>
      <c r="E52" s="86" t="s">
        <v>3318</v>
      </c>
      <c r="F52" s="87" t="s">
        <v>3248</v>
      </c>
      <c r="G52" s="87" t="s">
        <v>3194</v>
      </c>
      <c r="H52" s="87">
        <v>1</v>
      </c>
      <c r="I52" s="89" t="str">
        <f>IF(COUNTIF(J52:AW52,"&lt;&gt;")=0,"",SUMPRODUCT(((Recommendations[ImplStatus]="Implemented")+(Recommendations[ImplStatus]="Compensated"))*ISNUMBER(MATCH(Recommendations[Id],J52:AW52,0)))/COUNTIF(J52:AW52,"&lt;&gt;"))</f>
        <v/>
      </c>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102"/>
    </row>
    <row r="53" spans="1:49" ht="60" customHeight="1" x14ac:dyDescent="0.35">
      <c r="A53" s="99" t="s">
        <v>3314</v>
      </c>
      <c r="B53" s="82" t="s">
        <v>2067</v>
      </c>
      <c r="C53" s="84" t="s">
        <v>3319</v>
      </c>
      <c r="D53" s="86" t="s">
        <v>3320</v>
      </c>
      <c r="E53" s="86" t="s">
        <v>3321</v>
      </c>
      <c r="F53" s="87" t="s">
        <v>3248</v>
      </c>
      <c r="G53" s="87" t="s">
        <v>3194</v>
      </c>
      <c r="H53" s="87">
        <v>1</v>
      </c>
      <c r="I53" s="89" t="str">
        <f>IF(COUNTIF(J53:AW53,"&lt;&gt;")=0,"",SUMPRODUCT(((Recommendations[ImplStatus]="Implemented")+(Recommendations[ImplStatus]="Compensated"))*ISNUMBER(MATCH(Recommendations[Id],J53:AW53,0)))/COUNTIF(J53:AW53,"&lt;&gt;"))</f>
        <v/>
      </c>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102"/>
    </row>
    <row r="54" spans="1:49" ht="60" customHeight="1" x14ac:dyDescent="0.35">
      <c r="A54" s="99" t="s">
        <v>3314</v>
      </c>
      <c r="B54" s="82" t="s">
        <v>2073</v>
      </c>
      <c r="C54" s="84" t="s">
        <v>3322</v>
      </c>
      <c r="D54" s="86" t="s">
        <v>3323</v>
      </c>
      <c r="E54" s="86" t="s">
        <v>3324</v>
      </c>
      <c r="F54" s="87" t="s">
        <v>3273</v>
      </c>
      <c r="G54" s="87" t="s">
        <v>3182</v>
      </c>
      <c r="H54" s="87">
        <v>1</v>
      </c>
      <c r="I54" s="89">
        <f>IF(COUNTIF(J54:AW54,"&lt;&gt;")=0,"",SUMPRODUCT(((Recommendations[ImplStatus]="Implemented")+(Recommendations[ImplStatus]="Compensated"))*ISNUMBER(MATCH(Recommendations[Id],J54:AW54,0)))/COUNTIF(J54:AW54,"&lt;&gt;"))</f>
        <v>0</v>
      </c>
      <c r="J54" s="91" t="s">
        <v>2795</v>
      </c>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102"/>
    </row>
    <row r="55" spans="1:49" ht="60" customHeight="1" x14ac:dyDescent="0.35">
      <c r="A55" s="99" t="s">
        <v>3314</v>
      </c>
      <c r="B55" s="82" t="s">
        <v>2080</v>
      </c>
      <c r="C55" s="84" t="s">
        <v>3325</v>
      </c>
      <c r="D55" s="86" t="s">
        <v>3326</v>
      </c>
      <c r="E55" s="86" t="s">
        <v>3327</v>
      </c>
      <c r="F55" s="87" t="s">
        <v>3273</v>
      </c>
      <c r="G55" s="87" t="s">
        <v>3182</v>
      </c>
      <c r="H55" s="87">
        <v>1</v>
      </c>
      <c r="I55" s="89" t="str">
        <f>IF(COUNTIF(J55:AW55,"&lt;&gt;")=0,"",SUMPRODUCT(((Recommendations[ImplStatus]="Implemented")+(Recommendations[ImplStatus]="Compensated"))*ISNUMBER(MATCH(Recommendations[Id],J55:AW55,0)))/COUNTIF(J55:AW55,"&lt;&gt;"))</f>
        <v/>
      </c>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102"/>
    </row>
    <row r="56" spans="1:49" ht="60" customHeight="1" x14ac:dyDescent="0.35">
      <c r="A56" s="99" t="s">
        <v>3314</v>
      </c>
      <c r="B56" s="82" t="s">
        <v>2086</v>
      </c>
      <c r="C56" s="84" t="s">
        <v>3328</v>
      </c>
      <c r="D56" s="86" t="s">
        <v>3329</v>
      </c>
      <c r="E56" s="86" t="s">
        <v>3330</v>
      </c>
      <c r="F56" s="87" t="s">
        <v>3273</v>
      </c>
      <c r="G56" s="87" t="s">
        <v>3182</v>
      </c>
      <c r="H56" s="87">
        <v>1</v>
      </c>
      <c r="I56" s="89" t="str">
        <f>IF(COUNTIF(J56:AW56,"&lt;&gt;")=0,"",SUMPRODUCT(((Recommendations[ImplStatus]="Implemented")+(Recommendations[ImplStatus]="Compensated"))*ISNUMBER(MATCH(Recommendations[Id],J56:AW56,0)))/COUNTIF(J56:AW56,"&lt;&gt;"))</f>
        <v/>
      </c>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102"/>
    </row>
    <row r="57" spans="1:49" ht="60" customHeight="1" x14ac:dyDescent="0.35">
      <c r="A57" s="99" t="s">
        <v>3314</v>
      </c>
      <c r="B57" s="82" t="s">
        <v>3331</v>
      </c>
      <c r="C57" s="84" t="s">
        <v>3332</v>
      </c>
      <c r="D57" s="86" t="s">
        <v>3333</v>
      </c>
      <c r="E57" s="86" t="s">
        <v>3334</v>
      </c>
      <c r="F57" s="87" t="s">
        <v>3169</v>
      </c>
      <c r="G57" s="87" t="s">
        <v>3145</v>
      </c>
      <c r="H57" s="87">
        <v>2</v>
      </c>
      <c r="I57" s="89" t="str">
        <f>IF(COUNTIF(J57:AW57,"&lt;&gt;")=0,"",SUMPRODUCT(((Recommendations[ImplStatus]="Implemented")+(Recommendations[ImplStatus]="Compensated"))*ISNUMBER(MATCH(Recommendations[Id],J57:AW57,0)))/COUNTIF(J57:AW57,"&lt;&gt;"))</f>
        <v/>
      </c>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102"/>
    </row>
    <row r="58" spans="1:49" ht="60" customHeight="1" x14ac:dyDescent="0.35">
      <c r="A58" s="99" t="s">
        <v>3314</v>
      </c>
      <c r="B58" s="82" t="s">
        <v>3335</v>
      </c>
      <c r="C58" s="84" t="s">
        <v>3336</v>
      </c>
      <c r="D58" s="86" t="s">
        <v>3337</v>
      </c>
      <c r="E58" s="86" t="s">
        <v>3338</v>
      </c>
      <c r="F58" s="87" t="s">
        <v>3273</v>
      </c>
      <c r="G58" s="87" t="s">
        <v>3182</v>
      </c>
      <c r="H58" s="87">
        <v>2</v>
      </c>
      <c r="I58" s="89" t="str">
        <f>IF(COUNTIF(J58:AW58,"&lt;&gt;")=0,"",SUMPRODUCT(((Recommendations[ImplStatus]="Implemented")+(Recommendations[ImplStatus]="Compensated"))*ISNUMBER(MATCH(Recommendations[Id],J58:AW58,0)))/COUNTIF(J58:AW58,"&lt;&gt;"))</f>
        <v/>
      </c>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102"/>
    </row>
    <row r="59" spans="1:49" ht="60" customHeight="1" x14ac:dyDescent="0.35">
      <c r="A59" s="99" t="s">
        <v>3314</v>
      </c>
      <c r="B59" s="82" t="s">
        <v>3339</v>
      </c>
      <c r="C59" s="84" t="s">
        <v>3340</v>
      </c>
      <c r="D59" s="86" t="s">
        <v>3341</v>
      </c>
      <c r="E59" s="86" t="s">
        <v>3342</v>
      </c>
      <c r="F59" s="87" t="s">
        <v>3273</v>
      </c>
      <c r="G59" s="87" t="s">
        <v>3194</v>
      </c>
      <c r="H59" s="87">
        <v>3</v>
      </c>
      <c r="I59" s="89" t="str">
        <f>IF(COUNTIF(J59:AW59,"&lt;&gt;")=0,"",SUMPRODUCT(((Recommendations[ImplStatus]="Implemented")+(Recommendations[ImplStatus]="Compensated"))*ISNUMBER(MATCH(Recommendations[Id],J59:AW59,0)))/COUNTIF(J59:AW59,"&lt;&gt;"))</f>
        <v/>
      </c>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102"/>
    </row>
    <row r="60" spans="1:49" ht="60" customHeight="1" outlineLevel="1" x14ac:dyDescent="0.35">
      <c r="A60" s="98" t="s">
        <v>3343</v>
      </c>
      <c r="B60" s="81">
        <v>7</v>
      </c>
      <c r="C60" s="83" t="s">
        <v>28</v>
      </c>
      <c r="D60" s="85" t="s">
        <v>3344</v>
      </c>
      <c r="E60" s="85" t="s">
        <v>28</v>
      </c>
      <c r="F60" s="81" t="s">
        <v>28</v>
      </c>
      <c r="G60" s="81" t="s">
        <v>28</v>
      </c>
      <c r="H60" s="81"/>
      <c r="I60" s="88" t="str">
        <f>IF(COUNTIF(J60:AW60,"&lt;&gt;")=0,"",SUMPRODUCT(((Recommendations[ImplStatus]="Implemented")+(Recommendations[ImplStatus]="Compensated"))*ISNUMBER(MATCH(Recommendations[Id],J60:AW60,0)))/COUNTIF(J60:AW60,"&lt;&gt;"))</f>
        <v/>
      </c>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101"/>
    </row>
    <row r="61" spans="1:49" ht="60" customHeight="1" x14ac:dyDescent="0.35">
      <c r="A61" s="99" t="s">
        <v>3343</v>
      </c>
      <c r="B61" s="82" t="s">
        <v>3345</v>
      </c>
      <c r="C61" s="84" t="s">
        <v>3346</v>
      </c>
      <c r="D61" s="86" t="s">
        <v>3347</v>
      </c>
      <c r="E61" s="86" t="s">
        <v>3348</v>
      </c>
      <c r="F61" s="87" t="s">
        <v>3248</v>
      </c>
      <c r="G61" s="87" t="s">
        <v>3194</v>
      </c>
      <c r="H61" s="87">
        <v>1</v>
      </c>
      <c r="I61" s="89" t="str">
        <f>IF(COUNTIF(J61:AW61,"&lt;&gt;")=0,"",SUMPRODUCT(((Recommendations[ImplStatus]="Implemented")+(Recommendations[ImplStatus]="Compensated"))*ISNUMBER(MATCH(Recommendations[Id],J61:AW61,0)))/COUNTIF(J61:AW61,"&lt;&gt;"))</f>
        <v/>
      </c>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102"/>
    </row>
    <row r="62" spans="1:49" ht="60" customHeight="1" x14ac:dyDescent="0.35">
      <c r="A62" s="99" t="s">
        <v>3343</v>
      </c>
      <c r="B62" s="82" t="s">
        <v>3349</v>
      </c>
      <c r="C62" s="84" t="s">
        <v>3350</v>
      </c>
      <c r="D62" s="86" t="s">
        <v>3351</v>
      </c>
      <c r="E62" s="86" t="s">
        <v>3352</v>
      </c>
      <c r="F62" s="87" t="s">
        <v>3248</v>
      </c>
      <c r="G62" s="87" t="s">
        <v>3194</v>
      </c>
      <c r="H62" s="87">
        <v>1</v>
      </c>
      <c r="I62" s="89" t="str">
        <f>IF(COUNTIF(J62:AW62,"&lt;&gt;")=0,"",SUMPRODUCT(((Recommendations[ImplStatus]="Implemented")+(Recommendations[ImplStatus]="Compensated"))*ISNUMBER(MATCH(Recommendations[Id],J62:AW62,0)))/COUNTIF(J62:AW62,"&lt;&gt;"))</f>
        <v/>
      </c>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102"/>
    </row>
    <row r="63" spans="1:49" ht="60" customHeight="1" x14ac:dyDescent="0.35">
      <c r="A63" s="99" t="s">
        <v>3343</v>
      </c>
      <c r="B63" s="82" t="s">
        <v>3353</v>
      </c>
      <c r="C63" s="84" t="s">
        <v>3354</v>
      </c>
      <c r="D63" s="86" t="s">
        <v>3355</v>
      </c>
      <c r="E63" s="86" t="s">
        <v>3356</v>
      </c>
      <c r="F63" s="87" t="s">
        <v>3169</v>
      </c>
      <c r="G63" s="87" t="s">
        <v>3182</v>
      </c>
      <c r="H63" s="87">
        <v>1</v>
      </c>
      <c r="I63" s="89" t="str">
        <f>IF(COUNTIF(J63:AW63,"&lt;&gt;")=0,"",SUMPRODUCT(((Recommendations[ImplStatus]="Implemented")+(Recommendations[ImplStatus]="Compensated"))*ISNUMBER(MATCH(Recommendations[Id],J63:AW63,0)))/COUNTIF(J63:AW63,"&lt;&gt;"))</f>
        <v/>
      </c>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102"/>
    </row>
    <row r="64" spans="1:49" ht="60" customHeight="1" x14ac:dyDescent="0.35">
      <c r="A64" s="99" t="s">
        <v>3343</v>
      </c>
      <c r="B64" s="82" t="s">
        <v>3357</v>
      </c>
      <c r="C64" s="84" t="s">
        <v>3358</v>
      </c>
      <c r="D64" s="86" t="s">
        <v>3359</v>
      </c>
      <c r="E64" s="86" t="s">
        <v>3360</v>
      </c>
      <c r="F64" s="87" t="s">
        <v>3169</v>
      </c>
      <c r="G64" s="87" t="s">
        <v>3182</v>
      </c>
      <c r="H64" s="87">
        <v>1</v>
      </c>
      <c r="I64" s="89" t="str">
        <f>IF(COUNTIF(J64:AW64,"&lt;&gt;")=0,"",SUMPRODUCT(((Recommendations[ImplStatus]="Implemented")+(Recommendations[ImplStatus]="Compensated"))*ISNUMBER(MATCH(Recommendations[Id],J64:AW64,0)))/COUNTIF(J64:AW64,"&lt;&gt;"))</f>
        <v/>
      </c>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102"/>
    </row>
    <row r="65" spans="1:49" ht="60" customHeight="1" x14ac:dyDescent="0.35">
      <c r="A65" s="99" t="s">
        <v>3343</v>
      </c>
      <c r="B65" s="82" t="s">
        <v>3361</v>
      </c>
      <c r="C65" s="84" t="s">
        <v>3362</v>
      </c>
      <c r="D65" s="86" t="s">
        <v>3363</v>
      </c>
      <c r="E65" s="86" t="s">
        <v>3364</v>
      </c>
      <c r="F65" s="87" t="s">
        <v>3169</v>
      </c>
      <c r="G65" s="87" t="s">
        <v>3145</v>
      </c>
      <c r="H65" s="87">
        <v>2</v>
      </c>
      <c r="I65" s="89" t="str">
        <f>IF(COUNTIF(J65:AW65,"&lt;&gt;")=0,"",SUMPRODUCT(((Recommendations[ImplStatus]="Implemented")+(Recommendations[ImplStatus]="Compensated"))*ISNUMBER(MATCH(Recommendations[Id],J65:AW65,0)))/COUNTIF(J65:AW65,"&lt;&gt;"))</f>
        <v/>
      </c>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102"/>
    </row>
    <row r="66" spans="1:49" ht="60" customHeight="1" x14ac:dyDescent="0.35">
      <c r="A66" s="99" t="s">
        <v>3343</v>
      </c>
      <c r="B66" s="82" t="s">
        <v>3365</v>
      </c>
      <c r="C66" s="84" t="s">
        <v>3366</v>
      </c>
      <c r="D66" s="86" t="s">
        <v>3367</v>
      </c>
      <c r="E66" s="86" t="s">
        <v>3368</v>
      </c>
      <c r="F66" s="87" t="s">
        <v>3169</v>
      </c>
      <c r="G66" s="87" t="s">
        <v>3145</v>
      </c>
      <c r="H66" s="87">
        <v>2</v>
      </c>
      <c r="I66" s="89" t="str">
        <f>IF(COUNTIF(J66:AW66,"&lt;&gt;")=0,"",SUMPRODUCT(((Recommendations[ImplStatus]="Implemented")+(Recommendations[ImplStatus]="Compensated"))*ISNUMBER(MATCH(Recommendations[Id],J66:AW66,0)))/COUNTIF(J66:AW66,"&lt;&gt;"))</f>
        <v/>
      </c>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102"/>
    </row>
    <row r="67" spans="1:49" ht="60" customHeight="1" x14ac:dyDescent="0.35">
      <c r="A67" s="99" t="s">
        <v>3343</v>
      </c>
      <c r="B67" s="82" t="s">
        <v>3369</v>
      </c>
      <c r="C67" s="84" t="s">
        <v>3370</v>
      </c>
      <c r="D67" s="86" t="s">
        <v>3371</v>
      </c>
      <c r="E67" s="86" t="s">
        <v>3372</v>
      </c>
      <c r="F67" s="87" t="s">
        <v>3169</v>
      </c>
      <c r="G67" s="87" t="s">
        <v>3150</v>
      </c>
      <c r="H67" s="87">
        <v>2</v>
      </c>
      <c r="I67" s="89" t="str">
        <f>IF(COUNTIF(J67:AW67,"&lt;&gt;")=0,"",SUMPRODUCT(((Recommendations[ImplStatus]="Implemented")+(Recommendations[ImplStatus]="Compensated"))*ISNUMBER(MATCH(Recommendations[Id],J67:AW67,0)))/COUNTIF(J67:AW67,"&lt;&gt;"))</f>
        <v/>
      </c>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102"/>
    </row>
    <row r="68" spans="1:49" ht="60" customHeight="1" outlineLevel="1" x14ac:dyDescent="0.35">
      <c r="A68" s="98" t="s">
        <v>3373</v>
      </c>
      <c r="B68" s="81">
        <v>8</v>
      </c>
      <c r="C68" s="83" t="s">
        <v>28</v>
      </c>
      <c r="D68" s="85" t="s">
        <v>3374</v>
      </c>
      <c r="E68" s="85" t="s">
        <v>28</v>
      </c>
      <c r="F68" s="81" t="s">
        <v>28</v>
      </c>
      <c r="G68" s="81" t="s">
        <v>28</v>
      </c>
      <c r="H68" s="81"/>
      <c r="I68" s="88" t="str">
        <f>IF(COUNTIF(J68:AW68,"&lt;&gt;")=0,"",SUMPRODUCT(((Recommendations[ImplStatus]="Implemented")+(Recommendations[ImplStatus]="Compensated"))*ISNUMBER(MATCH(Recommendations[Id],J68:AW68,0)))/COUNTIF(J68:AW68,"&lt;&gt;"))</f>
        <v/>
      </c>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101"/>
    </row>
    <row r="69" spans="1:49" ht="60" customHeight="1" x14ac:dyDescent="0.35">
      <c r="A69" s="99" t="s">
        <v>3373</v>
      </c>
      <c r="B69" s="82" t="s">
        <v>2107</v>
      </c>
      <c r="C69" s="84" t="s">
        <v>3375</v>
      </c>
      <c r="D69" s="86" t="s">
        <v>3376</v>
      </c>
      <c r="E69" s="86" t="s">
        <v>3377</v>
      </c>
      <c r="F69" s="87" t="s">
        <v>3248</v>
      </c>
      <c r="G69" s="87" t="s">
        <v>3194</v>
      </c>
      <c r="H69" s="87">
        <v>1</v>
      </c>
      <c r="I69" s="89" t="str">
        <f>IF(COUNTIF(J69:AW69,"&lt;&gt;")=0,"",SUMPRODUCT(((Recommendations[ImplStatus]="Implemented")+(Recommendations[ImplStatus]="Compensated"))*ISNUMBER(MATCH(Recommendations[Id],J69:AW69,0)))/COUNTIF(J69:AW69,"&lt;&gt;"))</f>
        <v/>
      </c>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102"/>
    </row>
    <row r="70" spans="1:49" ht="60" customHeight="1" x14ac:dyDescent="0.35">
      <c r="A70" s="99" t="s">
        <v>3373</v>
      </c>
      <c r="B70" s="82" t="s">
        <v>3378</v>
      </c>
      <c r="C70" s="84" t="s">
        <v>3379</v>
      </c>
      <c r="D70" s="86" t="s">
        <v>3380</v>
      </c>
      <c r="E70" s="86" t="s">
        <v>3381</v>
      </c>
      <c r="F70" s="87" t="s">
        <v>3193</v>
      </c>
      <c r="G70" s="87" t="s">
        <v>3155</v>
      </c>
      <c r="H70" s="87">
        <v>1</v>
      </c>
      <c r="I70" s="89">
        <f>IF(COUNTIF(J70:AW70,"&lt;&gt;")=0,"",SUMPRODUCT(((Recommendations[ImplStatus]="Implemented")+(Recommendations[ImplStatus]="Compensated"))*ISNUMBER(MATCH(Recommendations[Id],J70:AW70,0)))/COUNTIF(J70:AW70,"&lt;&gt;"))</f>
        <v>0</v>
      </c>
      <c r="J70" s="91" t="s">
        <v>1635</v>
      </c>
      <c r="K70" s="91" t="s">
        <v>1644</v>
      </c>
      <c r="L70" s="91" t="s">
        <v>1652</v>
      </c>
      <c r="M70" s="91" t="s">
        <v>1659</v>
      </c>
      <c r="N70" s="91" t="s">
        <v>1666</v>
      </c>
      <c r="O70" s="91" t="s">
        <v>1674</v>
      </c>
      <c r="P70" s="91" t="s">
        <v>1681</v>
      </c>
      <c r="Q70" s="91" t="s">
        <v>1689</v>
      </c>
      <c r="R70" s="91" t="s">
        <v>1696</v>
      </c>
      <c r="S70" s="91" t="s">
        <v>1704</v>
      </c>
      <c r="T70" s="91" t="s">
        <v>1712</v>
      </c>
      <c r="U70" s="91" t="s">
        <v>1719</v>
      </c>
      <c r="V70" s="91" t="s">
        <v>1726</v>
      </c>
      <c r="W70" s="91" t="s">
        <v>1734</v>
      </c>
      <c r="X70" s="91" t="s">
        <v>1741</v>
      </c>
      <c r="Y70" s="91" t="s">
        <v>1748</v>
      </c>
      <c r="Z70" s="91" t="s">
        <v>1755</v>
      </c>
      <c r="AA70" s="91" t="s">
        <v>1762</v>
      </c>
      <c r="AB70" s="91" t="s">
        <v>1769</v>
      </c>
      <c r="AC70" s="91" t="s">
        <v>1776</v>
      </c>
      <c r="AD70" s="91" t="s">
        <v>1784</v>
      </c>
      <c r="AE70" s="91" t="s">
        <v>1791</v>
      </c>
      <c r="AF70" s="91" t="s">
        <v>1798</v>
      </c>
      <c r="AG70" s="91" t="s">
        <v>2139</v>
      </c>
      <c r="AH70" s="91" t="s">
        <v>2148</v>
      </c>
      <c r="AI70" s="91" t="s">
        <v>2172</v>
      </c>
      <c r="AJ70" s="91" t="s">
        <v>2176</v>
      </c>
      <c r="AK70" s="91" t="s">
        <v>2188</v>
      </c>
      <c r="AL70" s="91" t="s">
        <v>2212</v>
      </c>
      <c r="AM70" s="91" t="s">
        <v>2221</v>
      </c>
      <c r="AN70" s="91" t="s">
        <v>2234</v>
      </c>
      <c r="AO70" s="91" t="s">
        <v>2314</v>
      </c>
      <c r="AP70" s="91" t="s">
        <v>2323</v>
      </c>
      <c r="AQ70" s="91"/>
      <c r="AR70" s="91"/>
      <c r="AS70" s="91"/>
      <c r="AT70" s="91"/>
      <c r="AU70" s="91"/>
      <c r="AV70" s="91"/>
      <c r="AW70" s="102"/>
    </row>
    <row r="71" spans="1:49" ht="60" customHeight="1" x14ac:dyDescent="0.35">
      <c r="A71" s="99" t="s">
        <v>3373</v>
      </c>
      <c r="B71" s="82" t="s">
        <v>3382</v>
      </c>
      <c r="C71" s="84" t="s">
        <v>3383</v>
      </c>
      <c r="D71" s="86" t="s">
        <v>3384</v>
      </c>
      <c r="E71" s="86" t="s">
        <v>3385</v>
      </c>
      <c r="F71" s="87" t="s">
        <v>3193</v>
      </c>
      <c r="G71" s="87" t="s">
        <v>3182</v>
      </c>
      <c r="H71" s="87">
        <v>1</v>
      </c>
      <c r="I71" s="89">
        <f>IF(COUNTIF(J71:AW71,"&lt;&gt;")=0,"",SUMPRODUCT(((Recommendations[ImplStatus]="Implemented")+(Recommendations[ImplStatus]="Compensated"))*ISNUMBER(MATCH(Recommendations[Id],J71:AW71,0)))/COUNTIF(J71:AW71,"&lt;&gt;"))</f>
        <v>0</v>
      </c>
      <c r="J71" s="91" t="s">
        <v>481</v>
      </c>
      <c r="K71" s="91" t="s">
        <v>494</v>
      </c>
      <c r="L71" s="91" t="s">
        <v>505</v>
      </c>
      <c r="M71" s="91" t="s">
        <v>2156</v>
      </c>
      <c r="N71" s="91" t="s">
        <v>2164</v>
      </c>
      <c r="O71" s="91" t="s">
        <v>2192</v>
      </c>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102"/>
    </row>
    <row r="72" spans="1:49" ht="60" customHeight="1" x14ac:dyDescent="0.35">
      <c r="A72" s="99" t="s">
        <v>3373</v>
      </c>
      <c r="B72" s="82" t="s">
        <v>3386</v>
      </c>
      <c r="C72" s="84" t="s">
        <v>3387</v>
      </c>
      <c r="D72" s="86" t="s">
        <v>3388</v>
      </c>
      <c r="E72" s="86" t="s">
        <v>3389</v>
      </c>
      <c r="F72" s="87" t="s">
        <v>3390</v>
      </c>
      <c r="G72" s="87" t="s">
        <v>3182</v>
      </c>
      <c r="H72" s="87">
        <v>2</v>
      </c>
      <c r="I72" s="89" t="str">
        <f>IF(COUNTIF(J72:AW72,"&lt;&gt;")=0,"",SUMPRODUCT(((Recommendations[ImplStatus]="Implemented")+(Recommendations[ImplStatus]="Compensated"))*ISNUMBER(MATCH(Recommendations[Id],J72:AW72,0)))/COUNTIF(J72:AW72,"&lt;&gt;"))</f>
        <v/>
      </c>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102"/>
    </row>
    <row r="73" spans="1:49" ht="60" customHeight="1" x14ac:dyDescent="0.35">
      <c r="A73" s="99" t="s">
        <v>3373</v>
      </c>
      <c r="B73" s="82" t="s">
        <v>3391</v>
      </c>
      <c r="C73" s="84" t="s">
        <v>3392</v>
      </c>
      <c r="D73" s="86" t="s">
        <v>3393</v>
      </c>
      <c r="E73" s="86" t="s">
        <v>3394</v>
      </c>
      <c r="F73" s="87" t="s">
        <v>3193</v>
      </c>
      <c r="G73" s="87" t="s">
        <v>3155</v>
      </c>
      <c r="H73" s="87">
        <v>2</v>
      </c>
      <c r="I73" s="89">
        <f>IF(COUNTIF(J73:AW73,"&lt;&gt;")=0,"",SUMPRODUCT(((Recommendations[ImplStatus]="Implemented")+(Recommendations[ImplStatus]="Compensated"))*ISNUMBER(MATCH(Recommendations[Id],J73:AW73,0)))/COUNTIF(J73:AW73,"&lt;&gt;"))</f>
        <v>0</v>
      </c>
      <c r="J73" s="91" t="s">
        <v>1635</v>
      </c>
      <c r="K73" s="91" t="s">
        <v>1644</v>
      </c>
      <c r="L73" s="91" t="s">
        <v>1659</v>
      </c>
      <c r="M73" s="91" t="s">
        <v>1712</v>
      </c>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102"/>
    </row>
    <row r="74" spans="1:49" ht="60" customHeight="1" x14ac:dyDescent="0.35">
      <c r="A74" s="99" t="s">
        <v>3373</v>
      </c>
      <c r="B74" s="82" t="s">
        <v>3395</v>
      </c>
      <c r="C74" s="84" t="s">
        <v>3396</v>
      </c>
      <c r="D74" s="86" t="s">
        <v>3397</v>
      </c>
      <c r="E74" s="86" t="s">
        <v>3398</v>
      </c>
      <c r="F74" s="87" t="s">
        <v>3193</v>
      </c>
      <c r="G74" s="87" t="s">
        <v>3155</v>
      </c>
      <c r="H74" s="87">
        <v>2</v>
      </c>
      <c r="I74" s="89" t="str">
        <f>IF(COUNTIF(J74:AW74,"&lt;&gt;")=0,"",SUMPRODUCT(((Recommendations[ImplStatus]="Implemented")+(Recommendations[ImplStatus]="Compensated"))*ISNUMBER(MATCH(Recommendations[Id],J74:AW74,0)))/COUNTIF(J74:AW74,"&lt;&gt;"))</f>
        <v/>
      </c>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102"/>
    </row>
    <row r="75" spans="1:49" ht="60" customHeight="1" x14ac:dyDescent="0.35">
      <c r="A75" s="99" t="s">
        <v>3373</v>
      </c>
      <c r="B75" s="82" t="s">
        <v>3399</v>
      </c>
      <c r="C75" s="84" t="s">
        <v>3400</v>
      </c>
      <c r="D75" s="86" t="s">
        <v>3401</v>
      </c>
      <c r="E75" s="86" t="s">
        <v>3402</v>
      </c>
      <c r="F75" s="87" t="s">
        <v>3193</v>
      </c>
      <c r="G75" s="87" t="s">
        <v>3155</v>
      </c>
      <c r="H75" s="87">
        <v>2</v>
      </c>
      <c r="I75" s="89" t="str">
        <f>IF(COUNTIF(J75:AW75,"&lt;&gt;")=0,"",SUMPRODUCT(((Recommendations[ImplStatus]="Implemented")+(Recommendations[ImplStatus]="Compensated"))*ISNUMBER(MATCH(Recommendations[Id],J75:AW75,0)))/COUNTIF(J75:AW75,"&lt;&gt;"))</f>
        <v/>
      </c>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102"/>
    </row>
    <row r="76" spans="1:49" ht="60" customHeight="1" x14ac:dyDescent="0.35">
      <c r="A76" s="99" t="s">
        <v>3373</v>
      </c>
      <c r="B76" s="82" t="s">
        <v>3403</v>
      </c>
      <c r="C76" s="84" t="s">
        <v>3404</v>
      </c>
      <c r="D76" s="86" t="s">
        <v>3405</v>
      </c>
      <c r="E76" s="86" t="s">
        <v>3406</v>
      </c>
      <c r="F76" s="87" t="s">
        <v>3193</v>
      </c>
      <c r="G76" s="87" t="s">
        <v>3155</v>
      </c>
      <c r="H76" s="87">
        <v>2</v>
      </c>
      <c r="I76" s="89">
        <f>IF(COUNTIF(J76:AW76,"&lt;&gt;")=0,"",SUMPRODUCT(((Recommendations[ImplStatus]="Implemented")+(Recommendations[ImplStatus]="Compensated"))*ISNUMBER(MATCH(Recommendations[Id],J76:AW76,0)))/COUNTIF(J76:AW76,"&lt;&gt;"))</f>
        <v>0</v>
      </c>
      <c r="J76" s="91" t="s">
        <v>1583</v>
      </c>
      <c r="K76" s="91" t="s">
        <v>1734</v>
      </c>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102"/>
    </row>
    <row r="77" spans="1:49" ht="60" customHeight="1" x14ac:dyDescent="0.35">
      <c r="A77" s="99" t="s">
        <v>3373</v>
      </c>
      <c r="B77" s="82" t="s">
        <v>3407</v>
      </c>
      <c r="C77" s="84" t="s">
        <v>3408</v>
      </c>
      <c r="D77" s="86" t="s">
        <v>3409</v>
      </c>
      <c r="E77" s="86" t="s">
        <v>3410</v>
      </c>
      <c r="F77" s="87" t="s">
        <v>3193</v>
      </c>
      <c r="G77" s="87" t="s">
        <v>3155</v>
      </c>
      <c r="H77" s="87">
        <v>2</v>
      </c>
      <c r="I77" s="89" t="str">
        <f>IF(COUNTIF(J77:AW77,"&lt;&gt;")=0,"",SUMPRODUCT(((Recommendations[ImplStatus]="Implemented")+(Recommendations[ImplStatus]="Compensated"))*ISNUMBER(MATCH(Recommendations[Id],J77:AW77,0)))/COUNTIF(J77:AW77,"&lt;&gt;"))</f>
        <v/>
      </c>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102"/>
    </row>
    <row r="78" spans="1:49" ht="60" customHeight="1" x14ac:dyDescent="0.35">
      <c r="A78" s="99" t="s">
        <v>3373</v>
      </c>
      <c r="B78" s="82" t="s">
        <v>3411</v>
      </c>
      <c r="C78" s="84" t="s">
        <v>3412</v>
      </c>
      <c r="D78" s="86" t="s">
        <v>3413</v>
      </c>
      <c r="E78" s="86" t="s">
        <v>3414</v>
      </c>
      <c r="F78" s="87" t="s">
        <v>3193</v>
      </c>
      <c r="G78" s="87" t="s">
        <v>3182</v>
      </c>
      <c r="H78" s="87">
        <v>2</v>
      </c>
      <c r="I78" s="89" t="str">
        <f>IF(COUNTIF(J78:AW78,"&lt;&gt;")=0,"",SUMPRODUCT(((Recommendations[ImplStatus]="Implemented")+(Recommendations[ImplStatus]="Compensated"))*ISNUMBER(MATCH(Recommendations[Id],J78:AW78,0)))/COUNTIF(J78:AW78,"&lt;&gt;"))</f>
        <v/>
      </c>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102"/>
    </row>
    <row r="79" spans="1:49" ht="60" customHeight="1" x14ac:dyDescent="0.35">
      <c r="A79" s="99" t="s">
        <v>3373</v>
      </c>
      <c r="B79" s="82" t="s">
        <v>3415</v>
      </c>
      <c r="C79" s="84" t="s">
        <v>3416</v>
      </c>
      <c r="D79" s="86" t="s">
        <v>3417</v>
      </c>
      <c r="E79" s="86" t="s">
        <v>3418</v>
      </c>
      <c r="F79" s="87" t="s">
        <v>3193</v>
      </c>
      <c r="G79" s="87" t="s">
        <v>3155</v>
      </c>
      <c r="H79" s="87">
        <v>2</v>
      </c>
      <c r="I79" s="89" t="str">
        <f>IF(COUNTIF(J79:AW79,"&lt;&gt;")=0,"",SUMPRODUCT(((Recommendations[ImplStatus]="Implemented")+(Recommendations[ImplStatus]="Compensated"))*ISNUMBER(MATCH(Recommendations[Id],J79:AW79,0)))/COUNTIF(J79:AW79,"&lt;&gt;"))</f>
        <v/>
      </c>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102"/>
    </row>
    <row r="80" spans="1:49" ht="60" customHeight="1" x14ac:dyDescent="0.35">
      <c r="A80" s="99" t="s">
        <v>3373</v>
      </c>
      <c r="B80" s="82" t="s">
        <v>3419</v>
      </c>
      <c r="C80" s="84" t="s">
        <v>3420</v>
      </c>
      <c r="D80" s="86" t="s">
        <v>3421</v>
      </c>
      <c r="E80" s="86" t="s">
        <v>3422</v>
      </c>
      <c r="F80" s="87" t="s">
        <v>3193</v>
      </c>
      <c r="G80" s="87" t="s">
        <v>3155</v>
      </c>
      <c r="H80" s="87">
        <v>3</v>
      </c>
      <c r="I80" s="89" t="str">
        <f>IF(COUNTIF(J80:AW80,"&lt;&gt;")=0,"",SUMPRODUCT(((Recommendations[ImplStatus]="Implemented")+(Recommendations[ImplStatus]="Compensated"))*ISNUMBER(MATCH(Recommendations[Id],J80:AW80,0)))/COUNTIF(J80:AW80,"&lt;&gt;"))</f>
        <v/>
      </c>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102"/>
    </row>
    <row r="81" spans="1:49" ht="60" customHeight="1" outlineLevel="1" x14ac:dyDescent="0.35">
      <c r="A81" s="98" t="s">
        <v>3423</v>
      </c>
      <c r="B81" s="81">
        <v>9</v>
      </c>
      <c r="C81" s="83" t="s">
        <v>28</v>
      </c>
      <c r="D81" s="85" t="s">
        <v>3424</v>
      </c>
      <c r="E81" s="85" t="s">
        <v>28</v>
      </c>
      <c r="F81" s="81" t="s">
        <v>28</v>
      </c>
      <c r="G81" s="81" t="s">
        <v>28</v>
      </c>
      <c r="H81" s="81"/>
      <c r="I81" s="88" t="str">
        <f>IF(COUNTIF(J81:AW81,"&lt;&gt;")=0,"",SUMPRODUCT(((Recommendations[ImplStatus]="Implemented")+(Recommendations[ImplStatus]="Compensated"))*ISNUMBER(MATCH(Recommendations[Id],J81:AW81,0)))/COUNTIF(J81:AW81,"&lt;&gt;"))</f>
        <v/>
      </c>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101"/>
    </row>
    <row r="82" spans="1:49" ht="60" customHeight="1" x14ac:dyDescent="0.35">
      <c r="A82" s="99" t="s">
        <v>3423</v>
      </c>
      <c r="B82" s="82" t="s">
        <v>3425</v>
      </c>
      <c r="C82" s="84" t="s">
        <v>3426</v>
      </c>
      <c r="D82" s="86" t="s">
        <v>3427</v>
      </c>
      <c r="E82" s="86" t="s">
        <v>3428</v>
      </c>
      <c r="F82" s="87" t="s">
        <v>3169</v>
      </c>
      <c r="G82" s="87" t="s">
        <v>3182</v>
      </c>
      <c r="H82" s="87">
        <v>1</v>
      </c>
      <c r="I82" s="89" t="str">
        <f>IF(COUNTIF(J82:AW82,"&lt;&gt;")=0,"",SUMPRODUCT(((Recommendations[ImplStatus]="Implemented")+(Recommendations[ImplStatus]="Compensated"))*ISNUMBER(MATCH(Recommendations[Id],J82:AW82,0)))/COUNTIF(J82:AW82,"&lt;&gt;"))</f>
        <v/>
      </c>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102"/>
    </row>
    <row r="83" spans="1:49" ht="60" customHeight="1" x14ac:dyDescent="0.35">
      <c r="A83" s="99" t="s">
        <v>3423</v>
      </c>
      <c r="B83" s="82" t="s">
        <v>3429</v>
      </c>
      <c r="C83" s="84" t="s">
        <v>3430</v>
      </c>
      <c r="D83" s="86" t="s">
        <v>3431</v>
      </c>
      <c r="E83" s="86" t="s">
        <v>3432</v>
      </c>
      <c r="F83" s="87" t="s">
        <v>3144</v>
      </c>
      <c r="G83" s="87" t="s">
        <v>3182</v>
      </c>
      <c r="H83" s="87">
        <v>1</v>
      </c>
      <c r="I83" s="89" t="str">
        <f>IF(COUNTIF(J83:AW83,"&lt;&gt;")=0,"",SUMPRODUCT(((Recommendations[ImplStatus]="Implemented")+(Recommendations[ImplStatus]="Compensated"))*ISNUMBER(MATCH(Recommendations[Id],J83:AW83,0)))/COUNTIF(J83:AW83,"&lt;&gt;"))</f>
        <v/>
      </c>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102"/>
    </row>
    <row r="84" spans="1:49" ht="60" customHeight="1" x14ac:dyDescent="0.35">
      <c r="A84" s="99" t="s">
        <v>3423</v>
      </c>
      <c r="B84" s="82" t="s">
        <v>3433</v>
      </c>
      <c r="C84" s="84" t="s">
        <v>3434</v>
      </c>
      <c r="D84" s="86" t="s">
        <v>3435</v>
      </c>
      <c r="E84" s="86" t="s">
        <v>3436</v>
      </c>
      <c r="F84" s="87" t="s">
        <v>3390</v>
      </c>
      <c r="G84" s="87" t="s">
        <v>3182</v>
      </c>
      <c r="H84" s="87">
        <v>2</v>
      </c>
      <c r="I84" s="89">
        <f>IF(COUNTIF(J84:AW84,"&lt;&gt;")=0,"",SUMPRODUCT(((Recommendations[ImplStatus]="Implemented")+(Recommendations[ImplStatus]="Compensated"))*ISNUMBER(MATCH(Recommendations[Id],J84:AW84,0)))/COUNTIF(J84:AW84,"&lt;&gt;"))</f>
        <v>0</v>
      </c>
      <c r="J84" s="91" t="s">
        <v>115</v>
      </c>
      <c r="K84" s="91" t="s">
        <v>297</v>
      </c>
      <c r="L84" s="91" t="s">
        <v>309</v>
      </c>
      <c r="M84" s="91" t="s">
        <v>412</v>
      </c>
      <c r="N84" s="91" t="s">
        <v>425</v>
      </c>
      <c r="O84" s="91" t="s">
        <v>433</v>
      </c>
      <c r="P84" s="91" t="s">
        <v>514</v>
      </c>
      <c r="Q84" s="91" t="s">
        <v>543</v>
      </c>
      <c r="R84" s="91" t="s">
        <v>557</v>
      </c>
      <c r="S84" s="91" t="s">
        <v>570</v>
      </c>
      <c r="T84" s="91" t="s">
        <v>582</v>
      </c>
      <c r="U84" s="91" t="s">
        <v>591</v>
      </c>
      <c r="V84" s="91" t="s">
        <v>600</v>
      </c>
      <c r="W84" s="91" t="s">
        <v>618</v>
      </c>
      <c r="X84" s="91" t="s">
        <v>626</v>
      </c>
      <c r="Y84" s="91" t="s">
        <v>636</v>
      </c>
      <c r="Z84" s="91" t="s">
        <v>649</v>
      </c>
      <c r="AA84" s="91" t="s">
        <v>660</v>
      </c>
      <c r="AB84" s="91" t="s">
        <v>668</v>
      </c>
      <c r="AC84" s="91" t="s">
        <v>676</v>
      </c>
      <c r="AD84" s="91" t="s">
        <v>684</v>
      </c>
      <c r="AE84" s="91" t="s">
        <v>692</v>
      </c>
      <c r="AF84" s="91" t="s">
        <v>700</v>
      </c>
      <c r="AG84" s="91" t="s">
        <v>708</v>
      </c>
      <c r="AH84" s="91" t="s">
        <v>716</v>
      </c>
      <c r="AI84" s="91" t="s">
        <v>724</v>
      </c>
      <c r="AJ84" s="91" t="s">
        <v>732</v>
      </c>
      <c r="AK84" s="91" t="s">
        <v>740</v>
      </c>
      <c r="AL84" s="91" t="s">
        <v>748</v>
      </c>
      <c r="AM84" s="91" t="s">
        <v>756</v>
      </c>
      <c r="AN84" s="91" t="s">
        <v>764</v>
      </c>
      <c r="AO84" s="91" t="s">
        <v>772</v>
      </c>
      <c r="AP84" s="91" t="s">
        <v>780</v>
      </c>
      <c r="AQ84" s="91" t="s">
        <v>783</v>
      </c>
      <c r="AR84" s="91" t="s">
        <v>791</v>
      </c>
      <c r="AS84" s="91" t="s">
        <v>799</v>
      </c>
      <c r="AT84" s="91" t="s">
        <v>807</v>
      </c>
      <c r="AU84" s="91" t="s">
        <v>815</v>
      </c>
      <c r="AV84" s="91" t="s">
        <v>823</v>
      </c>
      <c r="AW84" s="102" t="s">
        <v>831</v>
      </c>
    </row>
    <row r="85" spans="1:49" ht="60" customHeight="1" x14ac:dyDescent="0.35">
      <c r="A85" s="99" t="s">
        <v>3423</v>
      </c>
      <c r="B85" s="82" t="s">
        <v>3437</v>
      </c>
      <c r="C85" s="84" t="s">
        <v>3438</v>
      </c>
      <c r="D85" s="86" t="s">
        <v>3439</v>
      </c>
      <c r="E85" s="86" t="s">
        <v>3440</v>
      </c>
      <c r="F85" s="87" t="s">
        <v>3169</v>
      </c>
      <c r="G85" s="87" t="s">
        <v>3182</v>
      </c>
      <c r="H85" s="87">
        <v>2</v>
      </c>
      <c r="I85" s="89" t="str">
        <f>IF(COUNTIF(J85:AW85,"&lt;&gt;")=0,"",SUMPRODUCT(((Recommendations[ImplStatus]="Implemented")+(Recommendations[ImplStatus]="Compensated"))*ISNUMBER(MATCH(Recommendations[Id],J85:AW85,0)))/COUNTIF(J85:AW85,"&lt;&gt;"))</f>
        <v/>
      </c>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102"/>
    </row>
    <row r="86" spans="1:49" ht="60" customHeight="1" x14ac:dyDescent="0.35">
      <c r="A86" s="99" t="s">
        <v>3423</v>
      </c>
      <c r="B86" s="82" t="s">
        <v>3441</v>
      </c>
      <c r="C86" s="84" t="s">
        <v>3442</v>
      </c>
      <c r="D86" s="86" t="s">
        <v>3443</v>
      </c>
      <c r="E86" s="86" t="s">
        <v>3444</v>
      </c>
      <c r="F86" s="87" t="s">
        <v>3390</v>
      </c>
      <c r="G86" s="87" t="s">
        <v>3182</v>
      </c>
      <c r="H86" s="87">
        <v>2</v>
      </c>
      <c r="I86" s="89" t="str">
        <f>IF(COUNTIF(J86:AW86,"&lt;&gt;")=0,"",SUMPRODUCT(((Recommendations[ImplStatus]="Implemented")+(Recommendations[ImplStatus]="Compensated"))*ISNUMBER(MATCH(Recommendations[Id],J86:AW86,0)))/COUNTIF(J86:AW86,"&lt;&gt;"))</f>
        <v/>
      </c>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102"/>
    </row>
    <row r="87" spans="1:49" ht="60" customHeight="1" x14ac:dyDescent="0.35">
      <c r="A87" s="99" t="s">
        <v>3423</v>
      </c>
      <c r="B87" s="82" t="s">
        <v>3445</v>
      </c>
      <c r="C87" s="84" t="s">
        <v>3446</v>
      </c>
      <c r="D87" s="86" t="s">
        <v>3447</v>
      </c>
      <c r="E87" s="86" t="s">
        <v>3448</v>
      </c>
      <c r="F87" s="87" t="s">
        <v>3390</v>
      </c>
      <c r="G87" s="87" t="s">
        <v>3182</v>
      </c>
      <c r="H87" s="87">
        <v>2</v>
      </c>
      <c r="I87" s="89" t="str">
        <f>IF(COUNTIF(J87:AW87,"&lt;&gt;")=0,"",SUMPRODUCT(((Recommendations[ImplStatus]="Implemented")+(Recommendations[ImplStatus]="Compensated"))*ISNUMBER(MATCH(Recommendations[Id],J87:AW87,0)))/COUNTIF(J87:AW87,"&lt;&gt;"))</f>
        <v/>
      </c>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c r="AS87" s="91"/>
      <c r="AT87" s="91"/>
      <c r="AU87" s="91"/>
      <c r="AV87" s="91"/>
      <c r="AW87" s="102"/>
    </row>
    <row r="88" spans="1:49" ht="60" customHeight="1" x14ac:dyDescent="0.35">
      <c r="A88" s="99" t="s">
        <v>3423</v>
      </c>
      <c r="B88" s="82" t="s">
        <v>3449</v>
      </c>
      <c r="C88" s="84" t="s">
        <v>3450</v>
      </c>
      <c r="D88" s="86" t="s">
        <v>3451</v>
      </c>
      <c r="E88" s="86" t="s">
        <v>3452</v>
      </c>
      <c r="F88" s="87" t="s">
        <v>3390</v>
      </c>
      <c r="G88" s="87" t="s">
        <v>3182</v>
      </c>
      <c r="H88" s="87">
        <v>3</v>
      </c>
      <c r="I88" s="89" t="str">
        <f>IF(COUNTIF(J88:AW88,"&lt;&gt;")=0,"",SUMPRODUCT(((Recommendations[ImplStatus]="Implemented")+(Recommendations[ImplStatus]="Compensated"))*ISNUMBER(MATCH(Recommendations[Id],J88:AW88,0)))/COUNTIF(J88:AW88,"&lt;&gt;"))</f>
        <v/>
      </c>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102"/>
    </row>
    <row r="89" spans="1:49" ht="60" customHeight="1" outlineLevel="1" x14ac:dyDescent="0.35">
      <c r="A89" s="98" t="s">
        <v>3453</v>
      </c>
      <c r="B89" s="81">
        <v>10</v>
      </c>
      <c r="C89" s="83" t="s">
        <v>28</v>
      </c>
      <c r="D89" s="85" t="s">
        <v>3454</v>
      </c>
      <c r="E89" s="85" t="s">
        <v>28</v>
      </c>
      <c r="F89" s="81" t="s">
        <v>28</v>
      </c>
      <c r="G89" s="81" t="s">
        <v>28</v>
      </c>
      <c r="H89" s="81"/>
      <c r="I89" s="88" t="str">
        <f>IF(COUNTIF(J89:AW89,"&lt;&gt;")=0,"",SUMPRODUCT(((Recommendations[ImplStatus]="Implemented")+(Recommendations[ImplStatus]="Compensated"))*ISNUMBER(MATCH(Recommendations[Id],J89:AW89,0)))/COUNTIF(J89:AW89,"&lt;&gt;"))</f>
        <v/>
      </c>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101"/>
    </row>
    <row r="90" spans="1:49" ht="60" customHeight="1" x14ac:dyDescent="0.35">
      <c r="A90" s="99" t="s">
        <v>3453</v>
      </c>
      <c r="B90" s="82" t="s">
        <v>3455</v>
      </c>
      <c r="C90" s="84" t="s">
        <v>3456</v>
      </c>
      <c r="D90" s="86" t="s">
        <v>3457</v>
      </c>
      <c r="E90" s="86" t="s">
        <v>3458</v>
      </c>
      <c r="F90" s="87" t="s">
        <v>3144</v>
      </c>
      <c r="G90" s="87" t="s">
        <v>3155</v>
      </c>
      <c r="H90" s="87">
        <v>1</v>
      </c>
      <c r="I90" s="89">
        <f>IF(COUNTIF(J90:AW90,"&lt;&gt;")=0,"",SUMPRODUCT(((Recommendations[ImplStatus]="Implemented")+(Recommendations[ImplStatus]="Compensated"))*ISNUMBER(MATCH(Recommendations[Id],J90:AW90,0)))/COUNTIF(J90:AW90,"&lt;&gt;"))</f>
        <v>0</v>
      </c>
      <c r="J90" s="91" t="s">
        <v>274</v>
      </c>
      <c r="K90" s="91" t="s">
        <v>1457</v>
      </c>
      <c r="L90" s="91" t="s">
        <v>1470</v>
      </c>
      <c r="M90" s="91" t="s">
        <v>1482</v>
      </c>
      <c r="N90" s="91" t="s">
        <v>1488</v>
      </c>
      <c r="O90" s="91" t="s">
        <v>1861</v>
      </c>
      <c r="P90" s="91" t="s">
        <v>1873</v>
      </c>
      <c r="Q90" s="91" t="s">
        <v>1884</v>
      </c>
      <c r="R90" s="91" t="s">
        <v>1892</v>
      </c>
      <c r="S90" s="91" t="s">
        <v>1901</v>
      </c>
      <c r="T90" s="91" t="s">
        <v>1910</v>
      </c>
      <c r="U90" s="91" t="s">
        <v>1918</v>
      </c>
      <c r="V90" s="91" t="s">
        <v>1964</v>
      </c>
      <c r="W90" s="91" t="s">
        <v>1974</v>
      </c>
      <c r="X90" s="91" t="s">
        <v>1982</v>
      </c>
      <c r="Y90" s="91" t="s">
        <v>1988</v>
      </c>
      <c r="Z90" s="91" t="s">
        <v>2004</v>
      </c>
      <c r="AA90" s="91" t="s">
        <v>2018</v>
      </c>
      <c r="AB90" s="91" t="s">
        <v>2022</v>
      </c>
      <c r="AC90" s="91" t="s">
        <v>2030</v>
      </c>
      <c r="AD90" s="91" t="s">
        <v>2036</v>
      </c>
      <c r="AE90" s="91" t="s">
        <v>2048</v>
      </c>
      <c r="AF90" s="91"/>
      <c r="AG90" s="91"/>
      <c r="AH90" s="91"/>
      <c r="AI90" s="91"/>
      <c r="AJ90" s="91"/>
      <c r="AK90" s="91"/>
      <c r="AL90" s="91"/>
      <c r="AM90" s="91"/>
      <c r="AN90" s="91"/>
      <c r="AO90" s="91"/>
      <c r="AP90" s="91"/>
      <c r="AQ90" s="91"/>
      <c r="AR90" s="91"/>
      <c r="AS90" s="91"/>
      <c r="AT90" s="91"/>
      <c r="AU90" s="91"/>
      <c r="AV90" s="91"/>
      <c r="AW90" s="102"/>
    </row>
    <row r="91" spans="1:49" ht="60" customHeight="1" x14ac:dyDescent="0.35">
      <c r="A91" s="99" t="s">
        <v>3453</v>
      </c>
      <c r="B91" s="82" t="s">
        <v>3459</v>
      </c>
      <c r="C91" s="84" t="s">
        <v>3460</v>
      </c>
      <c r="D91" s="86" t="s">
        <v>3461</v>
      </c>
      <c r="E91" s="86" t="s">
        <v>3462</v>
      </c>
      <c r="F91" s="87" t="s">
        <v>3144</v>
      </c>
      <c r="G91" s="87" t="s">
        <v>3182</v>
      </c>
      <c r="H91" s="87">
        <v>1</v>
      </c>
      <c r="I91" s="89">
        <f>IF(COUNTIF(J91:AW91,"&lt;&gt;")=0,"",SUMPRODUCT(((Recommendations[ImplStatus]="Implemented")+(Recommendations[ImplStatus]="Compensated"))*ISNUMBER(MATCH(Recommendations[Id],J91:AW91,0)))/COUNTIF(J91:AW91,"&lt;&gt;"))</f>
        <v>0</v>
      </c>
      <c r="J91" s="91" t="s">
        <v>2010</v>
      </c>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102"/>
    </row>
    <row r="92" spans="1:49" ht="60" customHeight="1" x14ac:dyDescent="0.35">
      <c r="A92" s="99" t="s">
        <v>3453</v>
      </c>
      <c r="B92" s="82" t="s">
        <v>3463</v>
      </c>
      <c r="C92" s="84" t="s">
        <v>3464</v>
      </c>
      <c r="D92" s="86" t="s">
        <v>3465</v>
      </c>
      <c r="E92" s="86" t="s">
        <v>3466</v>
      </c>
      <c r="F92" s="87" t="s">
        <v>3144</v>
      </c>
      <c r="G92" s="87" t="s">
        <v>3182</v>
      </c>
      <c r="H92" s="87">
        <v>1</v>
      </c>
      <c r="I92" s="89" t="str">
        <f>IF(COUNTIF(J92:AW92,"&lt;&gt;")=0,"",SUMPRODUCT(((Recommendations[ImplStatus]="Implemented")+(Recommendations[ImplStatus]="Compensated"))*ISNUMBER(MATCH(Recommendations[Id],J92:AW92,0)))/COUNTIF(J92:AW92,"&lt;&gt;"))</f>
        <v/>
      </c>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102"/>
    </row>
    <row r="93" spans="1:49" ht="60" customHeight="1" x14ac:dyDescent="0.35">
      <c r="A93" s="99" t="s">
        <v>3453</v>
      </c>
      <c r="B93" s="82" t="s">
        <v>3467</v>
      </c>
      <c r="C93" s="84" t="s">
        <v>3468</v>
      </c>
      <c r="D93" s="86" t="s">
        <v>3469</v>
      </c>
      <c r="E93" s="86" t="s">
        <v>3470</v>
      </c>
      <c r="F93" s="87" t="s">
        <v>3144</v>
      </c>
      <c r="G93" s="87" t="s">
        <v>3155</v>
      </c>
      <c r="H93" s="87">
        <v>2</v>
      </c>
      <c r="I93" s="89" t="str">
        <f>IF(COUNTIF(J93:AW93,"&lt;&gt;")=0,"",SUMPRODUCT(((Recommendations[ImplStatus]="Implemented")+(Recommendations[ImplStatus]="Compensated"))*ISNUMBER(MATCH(Recommendations[Id],J93:AW93,0)))/COUNTIF(J93:AW93,"&lt;&gt;"))</f>
        <v/>
      </c>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c r="AS93" s="91"/>
      <c r="AT93" s="91"/>
      <c r="AU93" s="91"/>
      <c r="AV93" s="91"/>
      <c r="AW93" s="102"/>
    </row>
    <row r="94" spans="1:49" ht="60" customHeight="1" x14ac:dyDescent="0.35">
      <c r="A94" s="99" t="s">
        <v>3453</v>
      </c>
      <c r="B94" s="82" t="s">
        <v>3471</v>
      </c>
      <c r="C94" s="84" t="s">
        <v>3472</v>
      </c>
      <c r="D94" s="86" t="s">
        <v>3473</v>
      </c>
      <c r="E94" s="86" t="s">
        <v>3474</v>
      </c>
      <c r="F94" s="87" t="s">
        <v>3144</v>
      </c>
      <c r="G94" s="87" t="s">
        <v>3182</v>
      </c>
      <c r="H94" s="87">
        <v>2</v>
      </c>
      <c r="I94" s="89">
        <f>IF(COUNTIF(J94:AW94,"&lt;&gt;")=0,"",SUMPRODUCT(((Recommendations[ImplStatus]="Implemented")+(Recommendations[ImplStatus]="Compensated"))*ISNUMBER(MATCH(Recommendations[Id],J94:AW94,0)))/COUNTIF(J94:AW94,"&lt;&gt;"))</f>
        <v>0</v>
      </c>
      <c r="J94" s="91" t="s">
        <v>71</v>
      </c>
      <c r="K94" s="91" t="s">
        <v>162</v>
      </c>
      <c r="L94" s="91" t="s">
        <v>247</v>
      </c>
      <c r="M94" s="91" t="s">
        <v>320</v>
      </c>
      <c r="N94" s="91" t="s">
        <v>525</v>
      </c>
      <c r="O94" s="91" t="s">
        <v>534</v>
      </c>
      <c r="P94" s="91" t="s">
        <v>2055</v>
      </c>
      <c r="Q94" s="91" t="s">
        <v>2067</v>
      </c>
      <c r="R94" s="91" t="s">
        <v>2073</v>
      </c>
      <c r="S94" s="91" t="s">
        <v>2080</v>
      </c>
      <c r="T94" s="91" t="s">
        <v>2086</v>
      </c>
      <c r="U94" s="91" t="s">
        <v>2497</v>
      </c>
      <c r="V94" s="91" t="s">
        <v>2762</v>
      </c>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102"/>
    </row>
    <row r="95" spans="1:49" ht="60" customHeight="1" x14ac:dyDescent="0.35">
      <c r="A95" s="99" t="s">
        <v>3453</v>
      </c>
      <c r="B95" s="82" t="s">
        <v>3475</v>
      </c>
      <c r="C95" s="84" t="s">
        <v>3476</v>
      </c>
      <c r="D95" s="86" t="s">
        <v>3477</v>
      </c>
      <c r="E95" s="86" t="s">
        <v>3478</v>
      </c>
      <c r="F95" s="87" t="s">
        <v>3144</v>
      </c>
      <c r="G95" s="87" t="s">
        <v>3182</v>
      </c>
      <c r="H95" s="87">
        <v>2</v>
      </c>
      <c r="I95" s="89" t="str">
        <f>IF(COUNTIF(J95:AW95,"&lt;&gt;")=0,"",SUMPRODUCT(((Recommendations[ImplStatus]="Implemented")+(Recommendations[ImplStatus]="Compensated"))*ISNUMBER(MATCH(Recommendations[Id],J95:AW95,0)))/COUNTIF(J95:AW95,"&lt;&gt;"))</f>
        <v/>
      </c>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102"/>
    </row>
    <row r="96" spans="1:49" ht="60" customHeight="1" x14ac:dyDescent="0.35">
      <c r="A96" s="99" t="s">
        <v>3453</v>
      </c>
      <c r="B96" s="82" t="s">
        <v>3479</v>
      </c>
      <c r="C96" s="84" t="s">
        <v>3480</v>
      </c>
      <c r="D96" s="86" t="s">
        <v>3481</v>
      </c>
      <c r="E96" s="86" t="s">
        <v>3482</v>
      </c>
      <c r="F96" s="87" t="s">
        <v>3144</v>
      </c>
      <c r="G96" s="87" t="s">
        <v>3155</v>
      </c>
      <c r="H96" s="87">
        <v>2</v>
      </c>
      <c r="I96" s="89">
        <f>IF(COUNTIF(J96:AW96,"&lt;&gt;")=0,"",SUMPRODUCT(((Recommendations[ImplStatus]="Implemented")+(Recommendations[ImplStatus]="Compensated"))*ISNUMBER(MATCH(Recommendations[Id],J96:AW96,0)))/COUNTIF(J96:AW96,"&lt;&gt;"))</f>
        <v>0</v>
      </c>
      <c r="J96" s="91" t="s">
        <v>1927</v>
      </c>
      <c r="K96" s="91" t="s">
        <v>1931</v>
      </c>
      <c r="L96" s="91" t="s">
        <v>1934</v>
      </c>
      <c r="M96" s="91" t="s">
        <v>1937</v>
      </c>
      <c r="N96" s="91" t="s">
        <v>1940</v>
      </c>
      <c r="O96" s="91" t="s">
        <v>1943</v>
      </c>
      <c r="P96" s="91" t="s">
        <v>1946</v>
      </c>
      <c r="Q96" s="91" t="s">
        <v>1949</v>
      </c>
      <c r="R96" s="91" t="s">
        <v>1952</v>
      </c>
      <c r="S96" s="91" t="s">
        <v>1955</v>
      </c>
      <c r="T96" s="91" t="s">
        <v>1958</v>
      </c>
      <c r="U96" s="91" t="s">
        <v>1961</v>
      </c>
      <c r="V96" s="91" t="s">
        <v>2042</v>
      </c>
      <c r="W96" s="91"/>
      <c r="X96" s="91"/>
      <c r="Y96" s="91"/>
      <c r="Z96" s="91"/>
      <c r="AA96" s="91"/>
      <c r="AB96" s="91"/>
      <c r="AC96" s="91"/>
      <c r="AD96" s="91"/>
      <c r="AE96" s="91"/>
      <c r="AF96" s="91"/>
      <c r="AG96" s="91"/>
      <c r="AH96" s="91"/>
      <c r="AI96" s="91"/>
      <c r="AJ96" s="91"/>
      <c r="AK96" s="91"/>
      <c r="AL96" s="91"/>
      <c r="AM96" s="91"/>
      <c r="AN96" s="91"/>
      <c r="AO96" s="91"/>
      <c r="AP96" s="91"/>
      <c r="AQ96" s="91"/>
      <c r="AR96" s="91"/>
      <c r="AS96" s="91"/>
      <c r="AT96" s="91"/>
      <c r="AU96" s="91"/>
      <c r="AV96" s="91"/>
      <c r="AW96" s="102"/>
    </row>
    <row r="97" spans="1:49" ht="60" customHeight="1" outlineLevel="1" x14ac:dyDescent="0.35">
      <c r="A97" s="98" t="s">
        <v>3483</v>
      </c>
      <c r="B97" s="81">
        <v>11</v>
      </c>
      <c r="C97" s="83" t="s">
        <v>28</v>
      </c>
      <c r="D97" s="85" t="s">
        <v>3484</v>
      </c>
      <c r="E97" s="85" t="s">
        <v>28</v>
      </c>
      <c r="F97" s="81" t="s">
        <v>28</v>
      </c>
      <c r="G97" s="81" t="s">
        <v>28</v>
      </c>
      <c r="H97" s="81"/>
      <c r="I97" s="88" t="str">
        <f>IF(COUNTIF(J97:AW97,"&lt;&gt;")=0,"",SUMPRODUCT(((Recommendations[ImplStatus]="Implemented")+(Recommendations[ImplStatus]="Compensated"))*ISNUMBER(MATCH(Recommendations[Id],J97:AW97,0)))/COUNTIF(J97:AW97,"&lt;&gt;"))</f>
        <v/>
      </c>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101"/>
    </row>
    <row r="98" spans="1:49" ht="60" customHeight="1" x14ac:dyDescent="0.35">
      <c r="A98" s="99" t="s">
        <v>3483</v>
      </c>
      <c r="B98" s="82" t="s">
        <v>2221</v>
      </c>
      <c r="C98" s="84" t="s">
        <v>3485</v>
      </c>
      <c r="D98" s="86" t="s">
        <v>3486</v>
      </c>
      <c r="E98" s="86" t="s">
        <v>3487</v>
      </c>
      <c r="F98" s="87" t="s">
        <v>3248</v>
      </c>
      <c r="G98" s="87" t="s">
        <v>3194</v>
      </c>
      <c r="H98" s="87">
        <v>1</v>
      </c>
      <c r="I98" s="89" t="str">
        <f>IF(COUNTIF(J98:AW98,"&lt;&gt;")=0,"",SUMPRODUCT(((Recommendations[ImplStatus]="Implemented")+(Recommendations[ImplStatus]="Compensated"))*ISNUMBER(MATCH(Recommendations[Id],J98:AW98,0)))/COUNTIF(J98:AW98,"&lt;&gt;"))</f>
        <v/>
      </c>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102"/>
    </row>
    <row r="99" spans="1:49" ht="60" customHeight="1" x14ac:dyDescent="0.35">
      <c r="A99" s="99" t="s">
        <v>3483</v>
      </c>
      <c r="B99" s="82" t="s">
        <v>2234</v>
      </c>
      <c r="C99" s="84" t="s">
        <v>3488</v>
      </c>
      <c r="D99" s="86" t="s">
        <v>3489</v>
      </c>
      <c r="E99" s="86" t="s">
        <v>3490</v>
      </c>
      <c r="F99" s="87" t="s">
        <v>3193</v>
      </c>
      <c r="G99" s="87" t="s">
        <v>3491</v>
      </c>
      <c r="H99" s="87">
        <v>1</v>
      </c>
      <c r="I99" s="89" t="str">
        <f>IF(COUNTIF(J99:AW99,"&lt;&gt;")=0,"",SUMPRODUCT(((Recommendations[ImplStatus]="Implemented")+(Recommendations[ImplStatus]="Compensated"))*ISNUMBER(MATCH(Recommendations[Id],J99:AW99,0)))/COUNTIF(J99:AW99,"&lt;&gt;"))</f>
        <v/>
      </c>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102"/>
    </row>
    <row r="100" spans="1:49" ht="60" customHeight="1" x14ac:dyDescent="0.35">
      <c r="A100" s="99" t="s">
        <v>3483</v>
      </c>
      <c r="B100" s="82" t="s">
        <v>2243</v>
      </c>
      <c r="C100" s="84" t="s">
        <v>3492</v>
      </c>
      <c r="D100" s="86" t="s">
        <v>3493</v>
      </c>
      <c r="E100" s="86" t="s">
        <v>3494</v>
      </c>
      <c r="F100" s="87" t="s">
        <v>3193</v>
      </c>
      <c r="G100" s="87" t="s">
        <v>3182</v>
      </c>
      <c r="H100" s="87">
        <v>1</v>
      </c>
      <c r="I100" s="89" t="str">
        <f>IF(COUNTIF(J100:AW100,"&lt;&gt;")=0,"",SUMPRODUCT(((Recommendations[ImplStatus]="Implemented")+(Recommendations[ImplStatus]="Compensated"))*ISNUMBER(MATCH(Recommendations[Id],J100:AW100,0)))/COUNTIF(J100:AW100,"&lt;&gt;"))</f>
        <v/>
      </c>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c r="AQ100" s="91"/>
      <c r="AR100" s="91"/>
      <c r="AS100" s="91"/>
      <c r="AT100" s="91"/>
      <c r="AU100" s="91"/>
      <c r="AV100" s="91"/>
      <c r="AW100" s="102"/>
    </row>
    <row r="101" spans="1:49" ht="60" customHeight="1" x14ac:dyDescent="0.35">
      <c r="A101" s="99" t="s">
        <v>3483</v>
      </c>
      <c r="B101" s="82" t="s">
        <v>2252</v>
      </c>
      <c r="C101" s="84" t="s">
        <v>3495</v>
      </c>
      <c r="D101" s="86" t="s">
        <v>3496</v>
      </c>
      <c r="E101" s="86" t="s">
        <v>3497</v>
      </c>
      <c r="F101" s="87" t="s">
        <v>3193</v>
      </c>
      <c r="G101" s="87" t="s">
        <v>3491</v>
      </c>
      <c r="H101" s="87">
        <v>1</v>
      </c>
      <c r="I101" s="89" t="str">
        <f>IF(COUNTIF(J101:AW101,"&lt;&gt;")=0,"",SUMPRODUCT(((Recommendations[ImplStatus]="Implemented")+(Recommendations[ImplStatus]="Compensated"))*ISNUMBER(MATCH(Recommendations[Id],J101:AW101,0)))/COUNTIF(J101:AW101,"&lt;&gt;"))</f>
        <v/>
      </c>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102"/>
    </row>
    <row r="102" spans="1:49" ht="60" customHeight="1" x14ac:dyDescent="0.35">
      <c r="A102" s="99" t="s">
        <v>3483</v>
      </c>
      <c r="B102" s="82" t="s">
        <v>2260</v>
      </c>
      <c r="C102" s="84" t="s">
        <v>3498</v>
      </c>
      <c r="D102" s="86" t="s">
        <v>3499</v>
      </c>
      <c r="E102" s="86" t="s">
        <v>3500</v>
      </c>
      <c r="F102" s="87" t="s">
        <v>3193</v>
      </c>
      <c r="G102" s="87" t="s">
        <v>3491</v>
      </c>
      <c r="H102" s="87">
        <v>2</v>
      </c>
      <c r="I102" s="89" t="str">
        <f>IF(COUNTIF(J102:AW102,"&lt;&gt;")=0,"",SUMPRODUCT(((Recommendations[ImplStatus]="Implemented")+(Recommendations[ImplStatus]="Compensated"))*ISNUMBER(MATCH(Recommendations[Id],J102:AW102,0)))/COUNTIF(J102:AW102,"&lt;&gt;"))</f>
        <v/>
      </c>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102"/>
    </row>
    <row r="103" spans="1:49" ht="60" customHeight="1" outlineLevel="1" x14ac:dyDescent="0.35">
      <c r="A103" s="98" t="s">
        <v>3501</v>
      </c>
      <c r="B103" s="81">
        <v>12</v>
      </c>
      <c r="C103" s="83" t="s">
        <v>28</v>
      </c>
      <c r="D103" s="85" t="s">
        <v>3502</v>
      </c>
      <c r="E103" s="85" t="s">
        <v>28</v>
      </c>
      <c r="F103" s="81" t="s">
        <v>28</v>
      </c>
      <c r="G103" s="81" t="s">
        <v>28</v>
      </c>
      <c r="H103" s="81"/>
      <c r="I103" s="88" t="str">
        <f>IF(COUNTIF(J103:AW103,"&lt;&gt;")=0,"",SUMPRODUCT(((Recommendations[ImplStatus]="Implemented")+(Recommendations[ImplStatus]="Compensated"))*ISNUMBER(MATCH(Recommendations[Id],J103:AW103,0)))/COUNTIF(J103:AW103,"&lt;&gt;"))</f>
        <v/>
      </c>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101"/>
    </row>
    <row r="104" spans="1:49" ht="60" customHeight="1" x14ac:dyDescent="0.35">
      <c r="A104" s="99" t="s">
        <v>3501</v>
      </c>
      <c r="B104" s="82" t="s">
        <v>2296</v>
      </c>
      <c r="C104" s="84" t="s">
        <v>3503</v>
      </c>
      <c r="D104" s="86" t="s">
        <v>3504</v>
      </c>
      <c r="E104" s="86" t="s">
        <v>3505</v>
      </c>
      <c r="F104" s="87" t="s">
        <v>3390</v>
      </c>
      <c r="G104" s="87" t="s">
        <v>3182</v>
      </c>
      <c r="H104" s="87">
        <v>1</v>
      </c>
      <c r="I104" s="89" t="str">
        <f>IF(COUNTIF(J104:AW104,"&lt;&gt;")=0,"",SUMPRODUCT(((Recommendations[ImplStatus]="Implemented")+(Recommendations[ImplStatus]="Compensated"))*ISNUMBER(MATCH(Recommendations[Id],J104:AW104,0)))/COUNTIF(J104:AW104,"&lt;&gt;"))</f>
        <v/>
      </c>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102"/>
    </row>
    <row r="105" spans="1:49" ht="60" customHeight="1" x14ac:dyDescent="0.35">
      <c r="A105" s="99" t="s">
        <v>3501</v>
      </c>
      <c r="B105" s="82" t="s">
        <v>2309</v>
      </c>
      <c r="C105" s="84" t="s">
        <v>3506</v>
      </c>
      <c r="D105" s="86" t="s">
        <v>3507</v>
      </c>
      <c r="E105" s="86" t="s">
        <v>3508</v>
      </c>
      <c r="F105" s="87" t="s">
        <v>3390</v>
      </c>
      <c r="G105" s="87" t="s">
        <v>3182</v>
      </c>
      <c r="H105" s="87">
        <v>2</v>
      </c>
      <c r="I105" s="89" t="str">
        <f>IF(COUNTIF(J105:AW105,"&lt;&gt;")=0,"",SUMPRODUCT(((Recommendations[ImplStatus]="Implemented")+(Recommendations[ImplStatus]="Compensated"))*ISNUMBER(MATCH(Recommendations[Id],J105:AW105,0)))/COUNTIF(J105:AW105,"&lt;&gt;"))</f>
        <v/>
      </c>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102"/>
    </row>
    <row r="106" spans="1:49" ht="60" customHeight="1" x14ac:dyDescent="0.35">
      <c r="A106" s="99" t="s">
        <v>3501</v>
      </c>
      <c r="B106" s="82" t="s">
        <v>2314</v>
      </c>
      <c r="C106" s="84" t="s">
        <v>3509</v>
      </c>
      <c r="D106" s="86" t="s">
        <v>3510</v>
      </c>
      <c r="E106" s="86" t="s">
        <v>3511</v>
      </c>
      <c r="F106" s="87" t="s">
        <v>3390</v>
      </c>
      <c r="G106" s="87" t="s">
        <v>3182</v>
      </c>
      <c r="H106" s="87">
        <v>2</v>
      </c>
      <c r="I106" s="89">
        <f>IF(COUNTIF(J106:AW106,"&lt;&gt;")=0,"",SUMPRODUCT(((Recommendations[ImplStatus]="Implemented")+(Recommendations[ImplStatus]="Compensated"))*ISNUMBER(MATCH(Recommendations[Id],J106:AW106,0)))/COUNTIF(J106:AW106,"&lt;&gt;"))</f>
        <v>0</v>
      </c>
      <c r="J106" s="91" t="s">
        <v>129</v>
      </c>
      <c r="K106" s="91" t="s">
        <v>2783</v>
      </c>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102"/>
    </row>
    <row r="107" spans="1:49" ht="60" customHeight="1" x14ac:dyDescent="0.35">
      <c r="A107" s="99" t="s">
        <v>3501</v>
      </c>
      <c r="B107" s="82" t="s">
        <v>2323</v>
      </c>
      <c r="C107" s="84" t="s">
        <v>3512</v>
      </c>
      <c r="D107" s="86" t="s">
        <v>3513</v>
      </c>
      <c r="E107" s="86" t="s">
        <v>3514</v>
      </c>
      <c r="F107" s="87" t="s">
        <v>3248</v>
      </c>
      <c r="G107" s="87" t="s">
        <v>3194</v>
      </c>
      <c r="H107" s="87">
        <v>2</v>
      </c>
      <c r="I107" s="89" t="str">
        <f>IF(COUNTIF(J107:AW107,"&lt;&gt;")=0,"",SUMPRODUCT(((Recommendations[ImplStatus]="Implemented")+(Recommendations[ImplStatus]="Compensated"))*ISNUMBER(MATCH(Recommendations[Id],J107:AW107,0)))/COUNTIF(J107:AW107,"&lt;&gt;"))</f>
        <v/>
      </c>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102"/>
    </row>
    <row r="108" spans="1:49" ht="60" customHeight="1" x14ac:dyDescent="0.35">
      <c r="A108" s="99" t="s">
        <v>3501</v>
      </c>
      <c r="B108" s="82" t="s">
        <v>2332</v>
      </c>
      <c r="C108" s="84" t="s">
        <v>3515</v>
      </c>
      <c r="D108" s="86" t="s">
        <v>3516</v>
      </c>
      <c r="E108" s="86" t="s">
        <v>3517</v>
      </c>
      <c r="F108" s="87" t="s">
        <v>3390</v>
      </c>
      <c r="G108" s="87" t="s">
        <v>3182</v>
      </c>
      <c r="H108" s="87">
        <v>2</v>
      </c>
      <c r="I108" s="89" t="str">
        <f>IF(COUNTIF(J108:AW108,"&lt;&gt;")=0,"",SUMPRODUCT(((Recommendations[ImplStatus]="Implemented")+(Recommendations[ImplStatus]="Compensated"))*ISNUMBER(MATCH(Recommendations[Id],J108:AW108,0)))/COUNTIF(J108:AW108,"&lt;&gt;"))</f>
        <v/>
      </c>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102"/>
    </row>
    <row r="109" spans="1:49" ht="60" customHeight="1" x14ac:dyDescent="0.35">
      <c r="A109" s="99" t="s">
        <v>3501</v>
      </c>
      <c r="B109" s="82" t="s">
        <v>2336</v>
      </c>
      <c r="C109" s="84" t="s">
        <v>3518</v>
      </c>
      <c r="D109" s="86" t="s">
        <v>3519</v>
      </c>
      <c r="E109" s="86" t="s">
        <v>3520</v>
      </c>
      <c r="F109" s="87" t="s">
        <v>3390</v>
      </c>
      <c r="G109" s="87" t="s">
        <v>3182</v>
      </c>
      <c r="H109" s="87">
        <v>2</v>
      </c>
      <c r="I109" s="89">
        <f>IF(COUNTIF(J109:AW109,"&lt;&gt;")=0,"",SUMPRODUCT(((Recommendations[ImplStatus]="Implemented")+(Recommendations[ImplStatus]="Compensated"))*ISNUMBER(MATCH(Recommendations[Id],J109:AW109,0)))/COUNTIF(J109:AW109,"&lt;&gt;"))</f>
        <v>0</v>
      </c>
      <c r="J109" s="91" t="s">
        <v>148</v>
      </c>
      <c r="K109" s="91" t="s">
        <v>2770</v>
      </c>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102"/>
    </row>
    <row r="110" spans="1:49" ht="60" customHeight="1" x14ac:dyDescent="0.35">
      <c r="A110" s="99" t="s">
        <v>3501</v>
      </c>
      <c r="B110" s="82" t="s">
        <v>2341</v>
      </c>
      <c r="C110" s="84" t="s">
        <v>3521</v>
      </c>
      <c r="D110" s="86" t="s">
        <v>3522</v>
      </c>
      <c r="E110" s="86" t="s">
        <v>3523</v>
      </c>
      <c r="F110" s="87" t="s">
        <v>3144</v>
      </c>
      <c r="G110" s="87" t="s">
        <v>3182</v>
      </c>
      <c r="H110" s="87">
        <v>2</v>
      </c>
      <c r="I110" s="89" t="str">
        <f>IF(COUNTIF(J110:AW110,"&lt;&gt;")=0,"",SUMPRODUCT(((Recommendations[ImplStatus]="Implemented")+(Recommendations[ImplStatus]="Compensated"))*ISNUMBER(MATCH(Recommendations[Id],J110:AW110,0)))/COUNTIF(J110:AW110,"&lt;&gt;"))</f>
        <v/>
      </c>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102"/>
    </row>
    <row r="111" spans="1:49" ht="60" customHeight="1" x14ac:dyDescent="0.35">
      <c r="A111" s="99" t="s">
        <v>3501</v>
      </c>
      <c r="B111" s="82" t="s">
        <v>2350</v>
      </c>
      <c r="C111" s="84" t="s">
        <v>3524</v>
      </c>
      <c r="D111" s="86" t="s">
        <v>3525</v>
      </c>
      <c r="E111" s="86" t="s">
        <v>3526</v>
      </c>
      <c r="F111" s="87" t="s">
        <v>3144</v>
      </c>
      <c r="G111" s="87" t="s">
        <v>3182</v>
      </c>
      <c r="H111" s="87">
        <v>3</v>
      </c>
      <c r="I111" s="89" t="str">
        <f>IF(COUNTIF(J111:AW111,"&lt;&gt;")=0,"",SUMPRODUCT(((Recommendations[ImplStatus]="Implemented")+(Recommendations[ImplStatus]="Compensated"))*ISNUMBER(MATCH(Recommendations[Id],J111:AW111,0)))/COUNTIF(J111:AW111,"&lt;&gt;"))</f>
        <v/>
      </c>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102"/>
    </row>
    <row r="112" spans="1:49" ht="60" customHeight="1" outlineLevel="1" x14ac:dyDescent="0.35">
      <c r="A112" s="98" t="s">
        <v>3527</v>
      </c>
      <c r="B112" s="81">
        <v>13</v>
      </c>
      <c r="C112" s="83" t="s">
        <v>28</v>
      </c>
      <c r="D112" s="85" t="s">
        <v>3528</v>
      </c>
      <c r="E112" s="85" t="s">
        <v>28</v>
      </c>
      <c r="F112" s="81" t="s">
        <v>28</v>
      </c>
      <c r="G112" s="81" t="s">
        <v>28</v>
      </c>
      <c r="H112" s="81"/>
      <c r="I112" s="88" t="str">
        <f>IF(COUNTIF(J112:AW112,"&lt;&gt;")=0,"",SUMPRODUCT(((Recommendations[ImplStatus]="Implemented")+(Recommendations[ImplStatus]="Compensated"))*ISNUMBER(MATCH(Recommendations[Id],J112:AW112,0)))/COUNTIF(J112:AW112,"&lt;&gt;"))</f>
        <v/>
      </c>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101"/>
    </row>
    <row r="113" spans="1:49" ht="60" customHeight="1" x14ac:dyDescent="0.35">
      <c r="A113" s="99" t="s">
        <v>3527</v>
      </c>
      <c r="B113" s="82" t="s">
        <v>2357</v>
      </c>
      <c r="C113" s="84" t="s">
        <v>3529</v>
      </c>
      <c r="D113" s="86" t="s">
        <v>3530</v>
      </c>
      <c r="E113" s="86" t="s">
        <v>3531</v>
      </c>
      <c r="F113" s="87" t="s">
        <v>3390</v>
      </c>
      <c r="G113" s="87" t="s">
        <v>3155</v>
      </c>
      <c r="H113" s="87">
        <v>2</v>
      </c>
      <c r="I113" s="89" t="str">
        <f>IF(COUNTIF(J113:AW113,"&lt;&gt;")=0,"",SUMPRODUCT(((Recommendations[ImplStatus]="Implemented")+(Recommendations[ImplStatus]="Compensated"))*ISNUMBER(MATCH(Recommendations[Id],J113:AW113,0)))/COUNTIF(J113:AW113,"&lt;&gt;"))</f>
        <v/>
      </c>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102"/>
    </row>
    <row r="114" spans="1:49" ht="60" customHeight="1" x14ac:dyDescent="0.35">
      <c r="A114" s="99" t="s">
        <v>3527</v>
      </c>
      <c r="B114" s="82" t="s">
        <v>2366</v>
      </c>
      <c r="C114" s="84" t="s">
        <v>3532</v>
      </c>
      <c r="D114" s="86" t="s">
        <v>3533</v>
      </c>
      <c r="E114" s="86" t="s">
        <v>3534</v>
      </c>
      <c r="F114" s="87" t="s">
        <v>3144</v>
      </c>
      <c r="G114" s="87" t="s">
        <v>3155</v>
      </c>
      <c r="H114" s="87">
        <v>2</v>
      </c>
      <c r="I114" s="89" t="str">
        <f>IF(COUNTIF(J114:AW114,"&lt;&gt;")=0,"",SUMPRODUCT(((Recommendations[ImplStatus]="Implemented")+(Recommendations[ImplStatus]="Compensated"))*ISNUMBER(MATCH(Recommendations[Id],J114:AW114,0)))/COUNTIF(J114:AW114,"&lt;&gt;"))</f>
        <v/>
      </c>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102"/>
    </row>
    <row r="115" spans="1:49" ht="60" customHeight="1" x14ac:dyDescent="0.35">
      <c r="A115" s="99" t="s">
        <v>3527</v>
      </c>
      <c r="B115" s="82" t="s">
        <v>2373</v>
      </c>
      <c r="C115" s="84" t="s">
        <v>3535</v>
      </c>
      <c r="D115" s="86" t="s">
        <v>3536</v>
      </c>
      <c r="E115" s="86" t="s">
        <v>3537</v>
      </c>
      <c r="F115" s="87" t="s">
        <v>3390</v>
      </c>
      <c r="G115" s="87" t="s">
        <v>3155</v>
      </c>
      <c r="H115" s="87">
        <v>2</v>
      </c>
      <c r="I115" s="89" t="str">
        <f>IF(COUNTIF(J115:AW115,"&lt;&gt;")=0,"",SUMPRODUCT(((Recommendations[ImplStatus]="Implemented")+(Recommendations[ImplStatus]="Compensated"))*ISNUMBER(MATCH(Recommendations[Id],J115:AW115,0)))/COUNTIF(J115:AW115,"&lt;&gt;"))</f>
        <v/>
      </c>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102"/>
    </row>
    <row r="116" spans="1:49" ht="60" customHeight="1" x14ac:dyDescent="0.35">
      <c r="A116" s="99" t="s">
        <v>3527</v>
      </c>
      <c r="B116" s="82" t="s">
        <v>2380</v>
      </c>
      <c r="C116" s="84" t="s">
        <v>3538</v>
      </c>
      <c r="D116" s="86" t="s">
        <v>3539</v>
      </c>
      <c r="E116" s="86" t="s">
        <v>3540</v>
      </c>
      <c r="F116" s="87" t="s">
        <v>3390</v>
      </c>
      <c r="G116" s="87" t="s">
        <v>3182</v>
      </c>
      <c r="H116" s="87">
        <v>2</v>
      </c>
      <c r="I116" s="89" t="str">
        <f>IF(COUNTIF(J116:AW116,"&lt;&gt;")=0,"",SUMPRODUCT(((Recommendations[ImplStatus]="Implemented")+(Recommendations[ImplStatus]="Compensated"))*ISNUMBER(MATCH(Recommendations[Id],J116:AW116,0)))/COUNTIF(J116:AW116,"&lt;&gt;"))</f>
        <v/>
      </c>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102"/>
    </row>
    <row r="117" spans="1:49" ht="60" customHeight="1" x14ac:dyDescent="0.35">
      <c r="A117" s="99" t="s">
        <v>3527</v>
      </c>
      <c r="B117" s="82" t="s">
        <v>2387</v>
      </c>
      <c r="C117" s="84" t="s">
        <v>3541</v>
      </c>
      <c r="D117" s="86" t="s">
        <v>3542</v>
      </c>
      <c r="E117" s="86" t="s">
        <v>3543</v>
      </c>
      <c r="F117" s="87" t="s">
        <v>3144</v>
      </c>
      <c r="G117" s="87" t="s">
        <v>3182</v>
      </c>
      <c r="H117" s="87">
        <v>2</v>
      </c>
      <c r="I117" s="89" t="str">
        <f>IF(COUNTIF(J117:AW117,"&lt;&gt;")=0,"",SUMPRODUCT(((Recommendations[ImplStatus]="Implemented")+(Recommendations[ImplStatus]="Compensated"))*ISNUMBER(MATCH(Recommendations[Id],J117:AW117,0)))/COUNTIF(J117:AW117,"&lt;&gt;"))</f>
        <v/>
      </c>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102"/>
    </row>
    <row r="118" spans="1:49" ht="60" customHeight="1" x14ac:dyDescent="0.35">
      <c r="A118" s="99" t="s">
        <v>3527</v>
      </c>
      <c r="B118" s="82" t="s">
        <v>2394</v>
      </c>
      <c r="C118" s="84" t="s">
        <v>3544</v>
      </c>
      <c r="D118" s="86" t="s">
        <v>3545</v>
      </c>
      <c r="E118" s="86" t="s">
        <v>3546</v>
      </c>
      <c r="F118" s="87" t="s">
        <v>3390</v>
      </c>
      <c r="G118" s="87" t="s">
        <v>3155</v>
      </c>
      <c r="H118" s="87">
        <v>2</v>
      </c>
      <c r="I118" s="89" t="str">
        <f>IF(COUNTIF(J118:AW118,"&lt;&gt;")=0,"",SUMPRODUCT(((Recommendations[ImplStatus]="Implemented")+(Recommendations[ImplStatus]="Compensated"))*ISNUMBER(MATCH(Recommendations[Id],J118:AW118,0)))/COUNTIF(J118:AW118,"&lt;&gt;"))</f>
        <v/>
      </c>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102"/>
    </row>
    <row r="119" spans="1:49" ht="60" customHeight="1" x14ac:dyDescent="0.35">
      <c r="A119" s="99" t="s">
        <v>3527</v>
      </c>
      <c r="B119" s="82" t="s">
        <v>2401</v>
      </c>
      <c r="C119" s="84" t="s">
        <v>3547</v>
      </c>
      <c r="D119" s="86" t="s">
        <v>3548</v>
      </c>
      <c r="E119" s="86" t="s">
        <v>3549</v>
      </c>
      <c r="F119" s="87" t="s">
        <v>3144</v>
      </c>
      <c r="G119" s="87" t="s">
        <v>3182</v>
      </c>
      <c r="H119" s="87">
        <v>3</v>
      </c>
      <c r="I119" s="89" t="str">
        <f>IF(COUNTIF(J119:AW119,"&lt;&gt;")=0,"",SUMPRODUCT(((Recommendations[ImplStatus]="Implemented")+(Recommendations[ImplStatus]="Compensated"))*ISNUMBER(MATCH(Recommendations[Id],J119:AW119,0)))/COUNTIF(J119:AW119,"&lt;&gt;"))</f>
        <v/>
      </c>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102"/>
    </row>
    <row r="120" spans="1:49" ht="60" customHeight="1" x14ac:dyDescent="0.35">
      <c r="A120" s="99" t="s">
        <v>3527</v>
      </c>
      <c r="B120" s="82" t="s">
        <v>2408</v>
      </c>
      <c r="C120" s="84" t="s">
        <v>3550</v>
      </c>
      <c r="D120" s="86" t="s">
        <v>3551</v>
      </c>
      <c r="E120" s="86" t="s">
        <v>3552</v>
      </c>
      <c r="F120" s="87" t="s">
        <v>3390</v>
      </c>
      <c r="G120" s="87" t="s">
        <v>3182</v>
      </c>
      <c r="H120" s="87">
        <v>3</v>
      </c>
      <c r="I120" s="89" t="str">
        <f>IF(COUNTIF(J120:AW120,"&lt;&gt;")=0,"",SUMPRODUCT(((Recommendations[ImplStatus]="Implemented")+(Recommendations[ImplStatus]="Compensated"))*ISNUMBER(MATCH(Recommendations[Id],J120:AW120,0)))/COUNTIF(J120:AW120,"&lt;&gt;"))</f>
        <v/>
      </c>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102"/>
    </row>
    <row r="121" spans="1:49" ht="60" customHeight="1" x14ac:dyDescent="0.35">
      <c r="A121" s="99" t="s">
        <v>3527</v>
      </c>
      <c r="B121" s="82" t="s">
        <v>2415</v>
      </c>
      <c r="C121" s="84" t="s">
        <v>3553</v>
      </c>
      <c r="D121" s="86" t="s">
        <v>3554</v>
      </c>
      <c r="E121" s="86" t="s">
        <v>3555</v>
      </c>
      <c r="F121" s="87" t="s">
        <v>3390</v>
      </c>
      <c r="G121" s="87" t="s">
        <v>3182</v>
      </c>
      <c r="H121" s="87">
        <v>3</v>
      </c>
      <c r="I121" s="89">
        <f>IF(COUNTIF(J121:AW121,"&lt;&gt;")=0,"",SUMPRODUCT(((Recommendations[ImplStatus]="Implemented")+(Recommendations[ImplStatus]="Compensated"))*ISNUMBER(MATCH(Recommendations[Id],J121:AW121,0)))/COUNTIF(J121:AW121,"&lt;&gt;"))</f>
        <v>0</v>
      </c>
      <c r="J121" s="91" t="s">
        <v>1892</v>
      </c>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102"/>
    </row>
    <row r="122" spans="1:49" ht="60" customHeight="1" x14ac:dyDescent="0.35">
      <c r="A122" s="99" t="s">
        <v>3527</v>
      </c>
      <c r="B122" s="82" t="s">
        <v>2419</v>
      </c>
      <c r="C122" s="84" t="s">
        <v>3556</v>
      </c>
      <c r="D122" s="86" t="s">
        <v>3557</v>
      </c>
      <c r="E122" s="86" t="s">
        <v>3558</v>
      </c>
      <c r="F122" s="87" t="s">
        <v>3390</v>
      </c>
      <c r="G122" s="87" t="s">
        <v>3182</v>
      </c>
      <c r="H122" s="87">
        <v>3</v>
      </c>
      <c r="I122" s="89" t="str">
        <f>IF(COUNTIF(J122:AW122,"&lt;&gt;")=0,"",SUMPRODUCT(((Recommendations[ImplStatus]="Implemented")+(Recommendations[ImplStatus]="Compensated"))*ISNUMBER(MATCH(Recommendations[Id],J122:AW122,0)))/COUNTIF(J122:AW122,"&lt;&gt;"))</f>
        <v/>
      </c>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102"/>
    </row>
    <row r="123" spans="1:49" ht="60" customHeight="1" x14ac:dyDescent="0.35">
      <c r="A123" s="99" t="s">
        <v>3527</v>
      </c>
      <c r="B123" s="82" t="s">
        <v>2426</v>
      </c>
      <c r="C123" s="84" t="s">
        <v>3559</v>
      </c>
      <c r="D123" s="86" t="s">
        <v>3560</v>
      </c>
      <c r="E123" s="86" t="s">
        <v>3561</v>
      </c>
      <c r="F123" s="87" t="s">
        <v>3390</v>
      </c>
      <c r="G123" s="87" t="s">
        <v>3155</v>
      </c>
      <c r="H123" s="87">
        <v>3</v>
      </c>
      <c r="I123" s="89" t="str">
        <f>IF(COUNTIF(J123:AW123,"&lt;&gt;")=0,"",SUMPRODUCT(((Recommendations[ImplStatus]="Implemented")+(Recommendations[ImplStatus]="Compensated"))*ISNUMBER(MATCH(Recommendations[Id],J123:AW123,0)))/COUNTIF(J123:AW123,"&lt;&gt;"))</f>
        <v/>
      </c>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102"/>
    </row>
    <row r="124" spans="1:49" ht="60" customHeight="1" outlineLevel="1" x14ac:dyDescent="0.35">
      <c r="A124" s="98" t="s">
        <v>3562</v>
      </c>
      <c r="B124" s="81">
        <v>14</v>
      </c>
      <c r="C124" s="83" t="s">
        <v>28</v>
      </c>
      <c r="D124" s="85" t="s">
        <v>3563</v>
      </c>
      <c r="E124" s="85" t="s">
        <v>28</v>
      </c>
      <c r="F124" s="81" t="s">
        <v>28</v>
      </c>
      <c r="G124" s="81" t="s">
        <v>28</v>
      </c>
      <c r="H124" s="81"/>
      <c r="I124" s="88" t="str">
        <f>IF(COUNTIF(J124:AW124,"&lt;&gt;")=0,"",SUMPRODUCT(((Recommendations[ImplStatus]="Implemented")+(Recommendations[ImplStatus]="Compensated"))*ISNUMBER(MATCH(Recommendations[Id],J124:AW124,0)))/COUNTIF(J124:AW124,"&lt;&gt;"))</f>
        <v/>
      </c>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101"/>
    </row>
    <row r="125" spans="1:49" ht="60" customHeight="1" x14ac:dyDescent="0.35">
      <c r="A125" s="99" t="s">
        <v>3562</v>
      </c>
      <c r="B125" s="82" t="s">
        <v>2497</v>
      </c>
      <c r="C125" s="84" t="s">
        <v>3564</v>
      </c>
      <c r="D125" s="86" t="s">
        <v>3565</v>
      </c>
      <c r="E125" s="86" t="s">
        <v>3566</v>
      </c>
      <c r="F125" s="87" t="s">
        <v>3248</v>
      </c>
      <c r="G125" s="87" t="s">
        <v>3194</v>
      </c>
      <c r="H125" s="87">
        <v>1</v>
      </c>
      <c r="I125" s="89" t="str">
        <f>IF(COUNTIF(J125:AW125,"&lt;&gt;")=0,"",SUMPRODUCT(((Recommendations[ImplStatus]="Implemented")+(Recommendations[ImplStatus]="Compensated"))*ISNUMBER(MATCH(Recommendations[Id],J125:AW125,0)))/COUNTIF(J125:AW125,"&lt;&gt;"))</f>
        <v/>
      </c>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102"/>
    </row>
    <row r="126" spans="1:49" ht="60" customHeight="1" x14ac:dyDescent="0.35">
      <c r="A126" s="99" t="s">
        <v>3562</v>
      </c>
      <c r="B126" s="82" t="s">
        <v>3567</v>
      </c>
      <c r="C126" s="84" t="s">
        <v>3568</v>
      </c>
      <c r="D126" s="86" t="s">
        <v>3569</v>
      </c>
      <c r="E126" s="86" t="s">
        <v>3570</v>
      </c>
      <c r="F126" s="87" t="s">
        <v>3273</v>
      </c>
      <c r="G126" s="87" t="s">
        <v>3182</v>
      </c>
      <c r="H126" s="87">
        <v>1</v>
      </c>
      <c r="I126" s="89" t="str">
        <f>IF(COUNTIF(J126:AW126,"&lt;&gt;")=0,"",SUMPRODUCT(((Recommendations[ImplStatus]="Implemented")+(Recommendations[ImplStatus]="Compensated"))*ISNUMBER(MATCH(Recommendations[Id],J126:AW126,0)))/COUNTIF(J126:AW126,"&lt;&gt;"))</f>
        <v/>
      </c>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102"/>
    </row>
    <row r="127" spans="1:49" ht="60" customHeight="1" x14ac:dyDescent="0.35">
      <c r="A127" s="99" t="s">
        <v>3562</v>
      </c>
      <c r="B127" s="82" t="s">
        <v>3571</v>
      </c>
      <c r="C127" s="84" t="s">
        <v>3572</v>
      </c>
      <c r="D127" s="86" t="s">
        <v>3573</v>
      </c>
      <c r="E127" s="86" t="s">
        <v>3574</v>
      </c>
      <c r="F127" s="87" t="s">
        <v>3273</v>
      </c>
      <c r="G127" s="87" t="s">
        <v>3182</v>
      </c>
      <c r="H127" s="87">
        <v>1</v>
      </c>
      <c r="I127" s="89" t="str">
        <f>IF(COUNTIF(J127:AW127,"&lt;&gt;")=0,"",SUMPRODUCT(((Recommendations[ImplStatus]="Implemented")+(Recommendations[ImplStatus]="Compensated"))*ISNUMBER(MATCH(Recommendations[Id],J127:AW127,0)))/COUNTIF(J127:AW127,"&lt;&gt;"))</f>
        <v/>
      </c>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102"/>
    </row>
    <row r="128" spans="1:49" ht="60" customHeight="1" x14ac:dyDescent="0.35">
      <c r="A128" s="99" t="s">
        <v>3562</v>
      </c>
      <c r="B128" s="82" t="s">
        <v>3575</v>
      </c>
      <c r="C128" s="84" t="s">
        <v>3576</v>
      </c>
      <c r="D128" s="86" t="s">
        <v>3577</v>
      </c>
      <c r="E128" s="86" t="s">
        <v>3578</v>
      </c>
      <c r="F128" s="87" t="s">
        <v>3273</v>
      </c>
      <c r="G128" s="87" t="s">
        <v>3182</v>
      </c>
      <c r="H128" s="87">
        <v>1</v>
      </c>
      <c r="I128" s="89" t="str">
        <f>IF(COUNTIF(J128:AW128,"&lt;&gt;")=0,"",SUMPRODUCT(((Recommendations[ImplStatus]="Implemented")+(Recommendations[ImplStatus]="Compensated"))*ISNUMBER(MATCH(Recommendations[Id],J128:AW128,0)))/COUNTIF(J128:AW128,"&lt;&gt;"))</f>
        <v/>
      </c>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102"/>
    </row>
    <row r="129" spans="1:49" ht="60" customHeight="1" x14ac:dyDescent="0.35">
      <c r="A129" s="99" t="s">
        <v>3562</v>
      </c>
      <c r="B129" s="82" t="s">
        <v>3579</v>
      </c>
      <c r="C129" s="84" t="s">
        <v>3580</v>
      </c>
      <c r="D129" s="86" t="s">
        <v>3581</v>
      </c>
      <c r="E129" s="86" t="s">
        <v>3582</v>
      </c>
      <c r="F129" s="87" t="s">
        <v>3273</v>
      </c>
      <c r="G129" s="87" t="s">
        <v>3182</v>
      </c>
      <c r="H129" s="87">
        <v>1</v>
      </c>
      <c r="I129" s="89" t="str">
        <f>IF(COUNTIF(J129:AW129,"&lt;&gt;")=0,"",SUMPRODUCT(((Recommendations[ImplStatus]="Implemented")+(Recommendations[ImplStatus]="Compensated"))*ISNUMBER(MATCH(Recommendations[Id],J129:AW129,0)))/COUNTIF(J129:AW129,"&lt;&gt;"))</f>
        <v/>
      </c>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102"/>
    </row>
    <row r="130" spans="1:49" ht="60" customHeight="1" x14ac:dyDescent="0.35">
      <c r="A130" s="99" t="s">
        <v>3562</v>
      </c>
      <c r="B130" s="82" t="s">
        <v>3583</v>
      </c>
      <c r="C130" s="84" t="s">
        <v>3584</v>
      </c>
      <c r="D130" s="86" t="s">
        <v>3585</v>
      </c>
      <c r="E130" s="86" t="s">
        <v>3586</v>
      </c>
      <c r="F130" s="87" t="s">
        <v>3273</v>
      </c>
      <c r="G130" s="87" t="s">
        <v>3182</v>
      </c>
      <c r="H130" s="87">
        <v>1</v>
      </c>
      <c r="I130" s="89" t="str">
        <f>IF(COUNTIF(J130:AW130,"&lt;&gt;")=0,"",SUMPRODUCT(((Recommendations[ImplStatus]="Implemented")+(Recommendations[ImplStatus]="Compensated"))*ISNUMBER(MATCH(Recommendations[Id],J130:AW130,0)))/COUNTIF(J130:AW130,"&lt;&gt;"))</f>
        <v/>
      </c>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102"/>
    </row>
    <row r="131" spans="1:49" ht="60" customHeight="1" x14ac:dyDescent="0.35">
      <c r="A131" s="99" t="s">
        <v>3562</v>
      </c>
      <c r="B131" s="82" t="s">
        <v>3587</v>
      </c>
      <c r="C131" s="84" t="s">
        <v>3588</v>
      </c>
      <c r="D131" s="86" t="s">
        <v>3589</v>
      </c>
      <c r="E131" s="86" t="s">
        <v>3590</v>
      </c>
      <c r="F131" s="87" t="s">
        <v>3273</v>
      </c>
      <c r="G131" s="87" t="s">
        <v>3182</v>
      </c>
      <c r="H131" s="87">
        <v>1</v>
      </c>
      <c r="I131" s="89" t="str">
        <f>IF(COUNTIF(J131:AW131,"&lt;&gt;")=0,"",SUMPRODUCT(((Recommendations[ImplStatus]="Implemented")+(Recommendations[ImplStatus]="Compensated"))*ISNUMBER(MATCH(Recommendations[Id],J131:AW131,0)))/COUNTIF(J131:AW131,"&lt;&gt;"))</f>
        <v/>
      </c>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102"/>
    </row>
    <row r="132" spans="1:49" ht="60" customHeight="1" x14ac:dyDescent="0.35">
      <c r="A132" s="99" t="s">
        <v>3562</v>
      </c>
      <c r="B132" s="82" t="s">
        <v>3591</v>
      </c>
      <c r="C132" s="84" t="s">
        <v>3592</v>
      </c>
      <c r="D132" s="86" t="s">
        <v>3593</v>
      </c>
      <c r="E132" s="86" t="s">
        <v>3594</v>
      </c>
      <c r="F132" s="87" t="s">
        <v>3273</v>
      </c>
      <c r="G132" s="87" t="s">
        <v>3182</v>
      </c>
      <c r="H132" s="87">
        <v>1</v>
      </c>
      <c r="I132" s="89" t="str">
        <f>IF(COUNTIF(J132:AW132,"&lt;&gt;")=0,"",SUMPRODUCT(((Recommendations[ImplStatus]="Implemented")+(Recommendations[ImplStatus]="Compensated"))*ISNUMBER(MATCH(Recommendations[Id],J132:AW132,0)))/COUNTIF(J132:AW132,"&lt;&gt;"))</f>
        <v/>
      </c>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102"/>
    </row>
    <row r="133" spans="1:49" ht="60" customHeight="1" x14ac:dyDescent="0.35">
      <c r="A133" s="99" t="s">
        <v>3562</v>
      </c>
      <c r="B133" s="82" t="s">
        <v>3595</v>
      </c>
      <c r="C133" s="84" t="s">
        <v>3596</v>
      </c>
      <c r="D133" s="86" t="s">
        <v>3597</v>
      </c>
      <c r="E133" s="86" t="s">
        <v>3598</v>
      </c>
      <c r="F133" s="87" t="s">
        <v>3273</v>
      </c>
      <c r="G133" s="87" t="s">
        <v>3182</v>
      </c>
      <c r="H133" s="87">
        <v>2</v>
      </c>
      <c r="I133" s="89" t="str">
        <f>IF(COUNTIF(J133:AW133,"&lt;&gt;")=0,"",SUMPRODUCT(((Recommendations[ImplStatus]="Implemented")+(Recommendations[ImplStatus]="Compensated"))*ISNUMBER(MATCH(Recommendations[Id],J133:AW133,0)))/COUNTIF(J133:AW133,"&lt;&gt;"))</f>
        <v/>
      </c>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102"/>
    </row>
    <row r="134" spans="1:49" ht="60" customHeight="1" outlineLevel="1" x14ac:dyDescent="0.35">
      <c r="A134" s="98" t="s">
        <v>3599</v>
      </c>
      <c r="B134" s="81">
        <v>15</v>
      </c>
      <c r="C134" s="83" t="s">
        <v>28</v>
      </c>
      <c r="D134" s="85" t="s">
        <v>3600</v>
      </c>
      <c r="E134" s="85" t="s">
        <v>28</v>
      </c>
      <c r="F134" s="81" t="s">
        <v>28</v>
      </c>
      <c r="G134" s="81" t="s">
        <v>28</v>
      </c>
      <c r="H134" s="81"/>
      <c r="I134" s="88" t="str">
        <f>IF(COUNTIF(J134:AW134,"&lt;&gt;")=0,"",SUMPRODUCT(((Recommendations[ImplStatus]="Implemented")+(Recommendations[ImplStatus]="Compensated"))*ISNUMBER(MATCH(Recommendations[Id],J134:AW134,0)))/COUNTIF(J134:AW134,"&lt;&gt;"))</f>
        <v/>
      </c>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101"/>
    </row>
    <row r="135" spans="1:49" ht="60" customHeight="1" x14ac:dyDescent="0.35">
      <c r="A135" s="99" t="s">
        <v>3599</v>
      </c>
      <c r="B135" s="82" t="s">
        <v>2507</v>
      </c>
      <c r="C135" s="84" t="s">
        <v>3601</v>
      </c>
      <c r="D135" s="86" t="s">
        <v>3602</v>
      </c>
      <c r="E135" s="86" t="s">
        <v>3603</v>
      </c>
      <c r="F135" s="87" t="s">
        <v>3273</v>
      </c>
      <c r="G135" s="87" t="s">
        <v>3145</v>
      </c>
      <c r="H135" s="87">
        <v>1</v>
      </c>
      <c r="I135" s="89" t="str">
        <f>IF(COUNTIF(J135:AW135,"&lt;&gt;")=0,"",SUMPRODUCT(((Recommendations[ImplStatus]="Implemented")+(Recommendations[ImplStatus]="Compensated"))*ISNUMBER(MATCH(Recommendations[Id],J135:AW135,0)))/COUNTIF(J135:AW135,"&lt;&gt;"))</f>
        <v/>
      </c>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102"/>
    </row>
    <row r="136" spans="1:49" ht="60" customHeight="1" x14ac:dyDescent="0.35">
      <c r="A136" s="99" t="s">
        <v>3599</v>
      </c>
      <c r="B136" s="82" t="s">
        <v>2519</v>
      </c>
      <c r="C136" s="84" t="s">
        <v>3604</v>
      </c>
      <c r="D136" s="86" t="s">
        <v>3605</v>
      </c>
      <c r="E136" s="86" t="s">
        <v>3606</v>
      </c>
      <c r="F136" s="87" t="s">
        <v>3248</v>
      </c>
      <c r="G136" s="87" t="s">
        <v>3194</v>
      </c>
      <c r="H136" s="87">
        <v>2</v>
      </c>
      <c r="I136" s="89" t="str">
        <f>IF(COUNTIF(J136:AW136,"&lt;&gt;")=0,"",SUMPRODUCT(((Recommendations[ImplStatus]="Implemented")+(Recommendations[ImplStatus]="Compensated"))*ISNUMBER(MATCH(Recommendations[Id],J136:AW136,0)))/COUNTIF(J136:AW136,"&lt;&gt;"))</f>
        <v/>
      </c>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102"/>
    </row>
    <row r="137" spans="1:49" ht="60" customHeight="1" x14ac:dyDescent="0.35">
      <c r="A137" s="99" t="s">
        <v>3599</v>
      </c>
      <c r="B137" s="82" t="s">
        <v>2530</v>
      </c>
      <c r="C137" s="84" t="s">
        <v>3607</v>
      </c>
      <c r="D137" s="86" t="s">
        <v>3608</v>
      </c>
      <c r="E137" s="86" t="s">
        <v>3609</v>
      </c>
      <c r="F137" s="87" t="s">
        <v>3273</v>
      </c>
      <c r="G137" s="87" t="s">
        <v>3194</v>
      </c>
      <c r="H137" s="87">
        <v>2</v>
      </c>
      <c r="I137" s="89" t="str">
        <f>IF(COUNTIF(J137:AW137,"&lt;&gt;")=0,"",SUMPRODUCT(((Recommendations[ImplStatus]="Implemented")+(Recommendations[ImplStatus]="Compensated"))*ISNUMBER(MATCH(Recommendations[Id],J137:AW137,0)))/COUNTIF(J137:AW137,"&lt;&gt;"))</f>
        <v/>
      </c>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102"/>
    </row>
    <row r="138" spans="1:49" ht="60" customHeight="1" x14ac:dyDescent="0.35">
      <c r="A138" s="99" t="s">
        <v>3599</v>
      </c>
      <c r="B138" s="82" t="s">
        <v>3610</v>
      </c>
      <c r="C138" s="84" t="s">
        <v>3611</v>
      </c>
      <c r="D138" s="86" t="s">
        <v>3612</v>
      </c>
      <c r="E138" s="86" t="s">
        <v>3613</v>
      </c>
      <c r="F138" s="87" t="s">
        <v>3248</v>
      </c>
      <c r="G138" s="87" t="s">
        <v>3194</v>
      </c>
      <c r="H138" s="87">
        <v>2</v>
      </c>
      <c r="I138" s="89" t="str">
        <f>IF(COUNTIF(J138:AW138,"&lt;&gt;")=0,"",SUMPRODUCT(((Recommendations[ImplStatus]="Implemented")+(Recommendations[ImplStatus]="Compensated"))*ISNUMBER(MATCH(Recommendations[Id],J138:AW138,0)))/COUNTIF(J138:AW138,"&lt;&gt;"))</f>
        <v/>
      </c>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102"/>
    </row>
    <row r="139" spans="1:49" ht="60" customHeight="1" x14ac:dyDescent="0.35">
      <c r="A139" s="99" t="s">
        <v>3599</v>
      </c>
      <c r="B139" s="82" t="s">
        <v>3614</v>
      </c>
      <c r="C139" s="84" t="s">
        <v>3615</v>
      </c>
      <c r="D139" s="86" t="s">
        <v>3616</v>
      </c>
      <c r="E139" s="86" t="s">
        <v>3617</v>
      </c>
      <c r="F139" s="87" t="s">
        <v>3273</v>
      </c>
      <c r="G139" s="87" t="s">
        <v>3194</v>
      </c>
      <c r="H139" s="87">
        <v>3</v>
      </c>
      <c r="I139" s="89" t="str">
        <f>IF(COUNTIF(J139:AW139,"&lt;&gt;")=0,"",SUMPRODUCT(((Recommendations[ImplStatus]="Implemented")+(Recommendations[ImplStatus]="Compensated"))*ISNUMBER(MATCH(Recommendations[Id],J139:AW139,0)))/COUNTIF(J139:AW139,"&lt;&gt;"))</f>
        <v/>
      </c>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102"/>
    </row>
    <row r="140" spans="1:49" ht="60" customHeight="1" x14ac:dyDescent="0.35">
      <c r="A140" s="99" t="s">
        <v>3599</v>
      </c>
      <c r="B140" s="82" t="s">
        <v>3618</v>
      </c>
      <c r="C140" s="84" t="s">
        <v>3619</v>
      </c>
      <c r="D140" s="86" t="s">
        <v>3620</v>
      </c>
      <c r="E140" s="86" t="s">
        <v>3621</v>
      </c>
      <c r="F140" s="87" t="s">
        <v>3193</v>
      </c>
      <c r="G140" s="87" t="s">
        <v>3194</v>
      </c>
      <c r="H140" s="87">
        <v>3</v>
      </c>
      <c r="I140" s="89" t="str">
        <f>IF(COUNTIF(J140:AW140,"&lt;&gt;")=0,"",SUMPRODUCT(((Recommendations[ImplStatus]="Implemented")+(Recommendations[ImplStatus]="Compensated"))*ISNUMBER(MATCH(Recommendations[Id],J140:AW140,0)))/COUNTIF(J140:AW140,"&lt;&gt;"))</f>
        <v/>
      </c>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102"/>
    </row>
    <row r="141" spans="1:49" ht="60" customHeight="1" x14ac:dyDescent="0.35">
      <c r="A141" s="99" t="s">
        <v>3599</v>
      </c>
      <c r="B141" s="82" t="s">
        <v>3622</v>
      </c>
      <c r="C141" s="84" t="s">
        <v>3623</v>
      </c>
      <c r="D141" s="86" t="s">
        <v>3624</v>
      </c>
      <c r="E141" s="86" t="s">
        <v>3625</v>
      </c>
      <c r="F141" s="87" t="s">
        <v>3193</v>
      </c>
      <c r="G141" s="87" t="s">
        <v>3182</v>
      </c>
      <c r="H141" s="87">
        <v>3</v>
      </c>
      <c r="I141" s="89" t="str">
        <f>IF(COUNTIF(J141:AW141,"&lt;&gt;")=0,"",SUMPRODUCT(((Recommendations[ImplStatus]="Implemented")+(Recommendations[ImplStatus]="Compensated"))*ISNUMBER(MATCH(Recommendations[Id],J141:AW141,0)))/COUNTIF(J141:AW141,"&lt;&gt;"))</f>
        <v/>
      </c>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102"/>
    </row>
    <row r="142" spans="1:49" ht="60" customHeight="1" outlineLevel="1" x14ac:dyDescent="0.35">
      <c r="A142" s="98" t="s">
        <v>3626</v>
      </c>
      <c r="B142" s="81">
        <v>16</v>
      </c>
      <c r="C142" s="83" t="s">
        <v>28</v>
      </c>
      <c r="D142" s="85" t="s">
        <v>3627</v>
      </c>
      <c r="E142" s="85" t="s">
        <v>28</v>
      </c>
      <c r="F142" s="81" t="s">
        <v>28</v>
      </c>
      <c r="G142" s="81" t="s">
        <v>28</v>
      </c>
      <c r="H142" s="81"/>
      <c r="I142" s="88" t="str">
        <f>IF(COUNTIF(J142:AW142,"&lt;&gt;")=0,"",SUMPRODUCT(((Recommendations[ImplStatus]="Implemented")+(Recommendations[ImplStatus]="Compensated"))*ISNUMBER(MATCH(Recommendations[Id],J142:AW142,0)))/COUNTIF(J142:AW142,"&lt;&gt;"))</f>
        <v/>
      </c>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101"/>
    </row>
    <row r="143" spans="1:49" ht="60" customHeight="1" x14ac:dyDescent="0.35">
      <c r="A143" s="99" t="s">
        <v>3626</v>
      </c>
      <c r="B143" s="82" t="s">
        <v>3628</v>
      </c>
      <c r="C143" s="84" t="s">
        <v>3629</v>
      </c>
      <c r="D143" s="86" t="s">
        <v>3630</v>
      </c>
      <c r="E143" s="86" t="s">
        <v>3631</v>
      </c>
      <c r="F143" s="87" t="s">
        <v>3248</v>
      </c>
      <c r="G143" s="87" t="s">
        <v>3194</v>
      </c>
      <c r="H143" s="87">
        <v>2</v>
      </c>
      <c r="I143" s="89" t="str">
        <f>IF(COUNTIF(J143:AW143,"&lt;&gt;")=0,"",SUMPRODUCT(((Recommendations[ImplStatus]="Implemented")+(Recommendations[ImplStatus]="Compensated"))*ISNUMBER(MATCH(Recommendations[Id],J143:AW143,0)))/COUNTIF(J143:AW143,"&lt;&gt;"))</f>
        <v/>
      </c>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102"/>
    </row>
    <row r="144" spans="1:49" ht="60" customHeight="1" x14ac:dyDescent="0.35">
      <c r="A144" s="99" t="s">
        <v>3626</v>
      </c>
      <c r="B144" s="82" t="s">
        <v>3632</v>
      </c>
      <c r="C144" s="84" t="s">
        <v>3633</v>
      </c>
      <c r="D144" s="86" t="s">
        <v>3634</v>
      </c>
      <c r="E144" s="86" t="s">
        <v>3635</v>
      </c>
      <c r="F144" s="87" t="s">
        <v>3248</v>
      </c>
      <c r="G144" s="87" t="s">
        <v>3194</v>
      </c>
      <c r="H144" s="87">
        <v>2</v>
      </c>
      <c r="I144" s="89" t="str">
        <f>IF(COUNTIF(J144:AW144,"&lt;&gt;")=0,"",SUMPRODUCT(((Recommendations[ImplStatus]="Implemented")+(Recommendations[ImplStatus]="Compensated"))*ISNUMBER(MATCH(Recommendations[Id],J144:AW144,0)))/COUNTIF(J144:AW144,"&lt;&gt;"))</f>
        <v/>
      </c>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102"/>
    </row>
    <row r="145" spans="1:49" ht="60" customHeight="1" x14ac:dyDescent="0.35">
      <c r="A145" s="99" t="s">
        <v>3626</v>
      </c>
      <c r="B145" s="82" t="s">
        <v>3636</v>
      </c>
      <c r="C145" s="84" t="s">
        <v>3637</v>
      </c>
      <c r="D145" s="86" t="s">
        <v>3638</v>
      </c>
      <c r="E145" s="86" t="s">
        <v>3639</v>
      </c>
      <c r="F145" s="87" t="s">
        <v>3169</v>
      </c>
      <c r="G145" s="87" t="s">
        <v>3155</v>
      </c>
      <c r="H145" s="87">
        <v>2</v>
      </c>
      <c r="I145" s="89" t="str">
        <f>IF(COUNTIF(J145:AW145,"&lt;&gt;")=0,"",SUMPRODUCT(((Recommendations[ImplStatus]="Implemented")+(Recommendations[ImplStatus]="Compensated"))*ISNUMBER(MATCH(Recommendations[Id],J145:AW145,0)))/COUNTIF(J145:AW145,"&lt;&gt;"))</f>
        <v/>
      </c>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c r="AP145" s="91"/>
      <c r="AQ145" s="91"/>
      <c r="AR145" s="91"/>
      <c r="AS145" s="91"/>
      <c r="AT145" s="91"/>
      <c r="AU145" s="91"/>
      <c r="AV145" s="91"/>
      <c r="AW145" s="102"/>
    </row>
    <row r="146" spans="1:49" ht="60" customHeight="1" x14ac:dyDescent="0.35">
      <c r="A146" s="99" t="s">
        <v>3626</v>
      </c>
      <c r="B146" s="82" t="s">
        <v>3640</v>
      </c>
      <c r="C146" s="84" t="s">
        <v>3641</v>
      </c>
      <c r="D146" s="86" t="s">
        <v>3642</v>
      </c>
      <c r="E146" s="86" t="s">
        <v>3643</v>
      </c>
      <c r="F146" s="87" t="s">
        <v>3169</v>
      </c>
      <c r="G146" s="87" t="s">
        <v>3145</v>
      </c>
      <c r="H146" s="87">
        <v>2</v>
      </c>
      <c r="I146" s="89" t="str">
        <f>IF(COUNTIF(J146:AW146,"&lt;&gt;")=0,"",SUMPRODUCT(((Recommendations[ImplStatus]="Implemented")+(Recommendations[ImplStatus]="Compensated"))*ISNUMBER(MATCH(Recommendations[Id],J146:AW146,0)))/COUNTIF(J146:AW146,"&lt;&gt;"))</f>
        <v/>
      </c>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c r="AQ146" s="91"/>
      <c r="AR146" s="91"/>
      <c r="AS146" s="91"/>
      <c r="AT146" s="91"/>
      <c r="AU146" s="91"/>
      <c r="AV146" s="91"/>
      <c r="AW146" s="102"/>
    </row>
    <row r="147" spans="1:49" ht="60" customHeight="1" x14ac:dyDescent="0.35">
      <c r="A147" s="99" t="s">
        <v>3626</v>
      </c>
      <c r="B147" s="82" t="s">
        <v>3644</v>
      </c>
      <c r="C147" s="84" t="s">
        <v>3645</v>
      </c>
      <c r="D147" s="86" t="s">
        <v>3646</v>
      </c>
      <c r="E147" s="86" t="s">
        <v>3647</v>
      </c>
      <c r="F147" s="87" t="s">
        <v>3169</v>
      </c>
      <c r="G147" s="87" t="s">
        <v>3182</v>
      </c>
      <c r="H147" s="87">
        <v>2</v>
      </c>
      <c r="I147" s="89" t="str">
        <f>IF(COUNTIF(J147:AW147,"&lt;&gt;")=0,"",SUMPRODUCT(((Recommendations[ImplStatus]="Implemented")+(Recommendations[ImplStatus]="Compensated"))*ISNUMBER(MATCH(Recommendations[Id],J147:AW147,0)))/COUNTIF(J147:AW147,"&lt;&gt;"))</f>
        <v/>
      </c>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c r="AQ147" s="91"/>
      <c r="AR147" s="91"/>
      <c r="AS147" s="91"/>
      <c r="AT147" s="91"/>
      <c r="AU147" s="91"/>
      <c r="AV147" s="91"/>
      <c r="AW147" s="102"/>
    </row>
    <row r="148" spans="1:49" ht="60" customHeight="1" x14ac:dyDescent="0.35">
      <c r="A148" s="99" t="s">
        <v>3626</v>
      </c>
      <c r="B148" s="82" t="s">
        <v>3648</v>
      </c>
      <c r="C148" s="84" t="s">
        <v>3649</v>
      </c>
      <c r="D148" s="86" t="s">
        <v>3650</v>
      </c>
      <c r="E148" s="86" t="s">
        <v>3651</v>
      </c>
      <c r="F148" s="87" t="s">
        <v>3248</v>
      </c>
      <c r="G148" s="87" t="s">
        <v>3194</v>
      </c>
      <c r="H148" s="87">
        <v>2</v>
      </c>
      <c r="I148" s="89" t="str">
        <f>IF(COUNTIF(J148:AW148,"&lt;&gt;")=0,"",SUMPRODUCT(((Recommendations[ImplStatus]="Implemented")+(Recommendations[ImplStatus]="Compensated"))*ISNUMBER(MATCH(Recommendations[Id],J148:AW148,0)))/COUNTIF(J148:AW148,"&lt;&gt;"))</f>
        <v/>
      </c>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1"/>
      <c r="AS148" s="91"/>
      <c r="AT148" s="91"/>
      <c r="AU148" s="91"/>
      <c r="AV148" s="91"/>
      <c r="AW148" s="102"/>
    </row>
    <row r="149" spans="1:49" ht="60" customHeight="1" x14ac:dyDescent="0.35">
      <c r="A149" s="99" t="s">
        <v>3626</v>
      </c>
      <c r="B149" s="82" t="s">
        <v>3652</v>
      </c>
      <c r="C149" s="84" t="s">
        <v>3653</v>
      </c>
      <c r="D149" s="86" t="s">
        <v>3654</v>
      </c>
      <c r="E149" s="86" t="s">
        <v>3655</v>
      </c>
      <c r="F149" s="87" t="s">
        <v>3169</v>
      </c>
      <c r="G149" s="87" t="s">
        <v>3182</v>
      </c>
      <c r="H149" s="87">
        <v>2</v>
      </c>
      <c r="I149" s="89" t="str">
        <f>IF(COUNTIF(J149:AW149,"&lt;&gt;")=0,"",SUMPRODUCT(((Recommendations[ImplStatus]="Implemented")+(Recommendations[ImplStatus]="Compensated"))*ISNUMBER(MATCH(Recommendations[Id],J149:AW149,0)))/COUNTIF(J149:AW149,"&lt;&gt;"))</f>
        <v/>
      </c>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c r="AP149" s="91"/>
      <c r="AQ149" s="91"/>
      <c r="AR149" s="91"/>
      <c r="AS149" s="91"/>
      <c r="AT149" s="91"/>
      <c r="AU149" s="91"/>
      <c r="AV149" s="91"/>
      <c r="AW149" s="102"/>
    </row>
    <row r="150" spans="1:49" ht="60" customHeight="1" x14ac:dyDescent="0.35">
      <c r="A150" s="99" t="s">
        <v>3626</v>
      </c>
      <c r="B150" s="82" t="s">
        <v>3656</v>
      </c>
      <c r="C150" s="84" t="s">
        <v>3657</v>
      </c>
      <c r="D150" s="86" t="s">
        <v>3658</v>
      </c>
      <c r="E150" s="86" t="s">
        <v>3659</v>
      </c>
      <c r="F150" s="87" t="s">
        <v>3390</v>
      </c>
      <c r="G150" s="87" t="s">
        <v>3182</v>
      </c>
      <c r="H150" s="87">
        <v>2</v>
      </c>
      <c r="I150" s="89" t="str">
        <f>IF(COUNTIF(J150:AW150,"&lt;&gt;")=0,"",SUMPRODUCT(((Recommendations[ImplStatus]="Implemented")+(Recommendations[ImplStatus]="Compensated"))*ISNUMBER(MATCH(Recommendations[Id],J150:AW150,0)))/COUNTIF(J150:AW150,"&lt;&gt;"))</f>
        <v/>
      </c>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c r="AQ150" s="91"/>
      <c r="AR150" s="91"/>
      <c r="AS150" s="91"/>
      <c r="AT150" s="91"/>
      <c r="AU150" s="91"/>
      <c r="AV150" s="91"/>
      <c r="AW150" s="102"/>
    </row>
    <row r="151" spans="1:49" ht="60" customHeight="1" x14ac:dyDescent="0.35">
      <c r="A151" s="99" t="s">
        <v>3626</v>
      </c>
      <c r="B151" s="82" t="s">
        <v>3660</v>
      </c>
      <c r="C151" s="84" t="s">
        <v>3661</v>
      </c>
      <c r="D151" s="86" t="s">
        <v>3662</v>
      </c>
      <c r="E151" s="86" t="s">
        <v>3663</v>
      </c>
      <c r="F151" s="87" t="s">
        <v>3273</v>
      </c>
      <c r="G151" s="87" t="s">
        <v>3182</v>
      </c>
      <c r="H151" s="87">
        <v>2</v>
      </c>
      <c r="I151" s="89" t="str">
        <f>IF(COUNTIF(J151:AW151,"&lt;&gt;")=0,"",SUMPRODUCT(((Recommendations[ImplStatus]="Implemented")+(Recommendations[ImplStatus]="Compensated"))*ISNUMBER(MATCH(Recommendations[Id],J151:AW151,0)))/COUNTIF(J151:AW151,"&lt;&gt;"))</f>
        <v/>
      </c>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102"/>
    </row>
    <row r="152" spans="1:49" ht="60" customHeight="1" x14ac:dyDescent="0.35">
      <c r="A152" s="99" t="s">
        <v>3626</v>
      </c>
      <c r="B152" s="82" t="s">
        <v>3664</v>
      </c>
      <c r="C152" s="84" t="s">
        <v>3665</v>
      </c>
      <c r="D152" s="86" t="s">
        <v>3666</v>
      </c>
      <c r="E152" s="86" t="s">
        <v>3667</v>
      </c>
      <c r="F152" s="87" t="s">
        <v>3169</v>
      </c>
      <c r="G152" s="87" t="s">
        <v>3182</v>
      </c>
      <c r="H152" s="87">
        <v>2</v>
      </c>
      <c r="I152" s="89" t="str">
        <f>IF(COUNTIF(J152:AW152,"&lt;&gt;")=0,"",SUMPRODUCT(((Recommendations[ImplStatus]="Implemented")+(Recommendations[ImplStatus]="Compensated"))*ISNUMBER(MATCH(Recommendations[Id],J152:AW152,0)))/COUNTIF(J152:AW152,"&lt;&gt;"))</f>
        <v/>
      </c>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c r="AP152" s="91"/>
      <c r="AQ152" s="91"/>
      <c r="AR152" s="91"/>
      <c r="AS152" s="91"/>
      <c r="AT152" s="91"/>
      <c r="AU152" s="91"/>
      <c r="AV152" s="91"/>
      <c r="AW152" s="102"/>
    </row>
    <row r="153" spans="1:49" ht="60" customHeight="1" x14ac:dyDescent="0.35">
      <c r="A153" s="99" t="s">
        <v>3626</v>
      </c>
      <c r="B153" s="82" t="s">
        <v>3668</v>
      </c>
      <c r="C153" s="84" t="s">
        <v>3669</v>
      </c>
      <c r="D153" s="86" t="s">
        <v>3670</v>
      </c>
      <c r="E153" s="86" t="s">
        <v>3671</v>
      </c>
      <c r="F153" s="87" t="s">
        <v>3169</v>
      </c>
      <c r="G153" s="87" t="s">
        <v>3182</v>
      </c>
      <c r="H153" s="87">
        <v>2</v>
      </c>
      <c r="I153" s="89" t="str">
        <f>IF(COUNTIF(J153:AW153,"&lt;&gt;")=0,"",SUMPRODUCT(((Recommendations[ImplStatus]="Implemented")+(Recommendations[ImplStatus]="Compensated"))*ISNUMBER(MATCH(Recommendations[Id],J153:AW153,0)))/COUNTIF(J153:AW153,"&lt;&gt;"))</f>
        <v/>
      </c>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102"/>
    </row>
    <row r="154" spans="1:49" ht="60" customHeight="1" x14ac:dyDescent="0.35">
      <c r="A154" s="99" t="s">
        <v>3626</v>
      </c>
      <c r="B154" s="82" t="s">
        <v>3672</v>
      </c>
      <c r="C154" s="84" t="s">
        <v>3673</v>
      </c>
      <c r="D154" s="86" t="s">
        <v>3674</v>
      </c>
      <c r="E154" s="86" t="s">
        <v>3675</v>
      </c>
      <c r="F154" s="87" t="s">
        <v>3169</v>
      </c>
      <c r="G154" s="87" t="s">
        <v>3182</v>
      </c>
      <c r="H154" s="87">
        <v>3</v>
      </c>
      <c r="I154" s="89" t="str">
        <f>IF(COUNTIF(J154:AW154,"&lt;&gt;")=0,"",SUMPRODUCT(((Recommendations[ImplStatus]="Implemented")+(Recommendations[ImplStatus]="Compensated"))*ISNUMBER(MATCH(Recommendations[Id],J154:AW154,0)))/COUNTIF(J154:AW154,"&lt;&gt;"))</f>
        <v/>
      </c>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c r="AP154" s="91"/>
      <c r="AQ154" s="91"/>
      <c r="AR154" s="91"/>
      <c r="AS154" s="91"/>
      <c r="AT154" s="91"/>
      <c r="AU154" s="91"/>
      <c r="AV154" s="91"/>
      <c r="AW154" s="102"/>
    </row>
    <row r="155" spans="1:49" ht="60" customHeight="1" x14ac:dyDescent="0.35">
      <c r="A155" s="99" t="s">
        <v>3626</v>
      </c>
      <c r="B155" s="82" t="s">
        <v>3676</v>
      </c>
      <c r="C155" s="84" t="s">
        <v>3677</v>
      </c>
      <c r="D155" s="86" t="s">
        <v>3678</v>
      </c>
      <c r="E155" s="86" t="s">
        <v>3679</v>
      </c>
      <c r="F155" s="87" t="s">
        <v>3169</v>
      </c>
      <c r="G155" s="87" t="s">
        <v>3155</v>
      </c>
      <c r="H155" s="87">
        <v>3</v>
      </c>
      <c r="I155" s="89" t="str">
        <f>IF(COUNTIF(J155:AW155,"&lt;&gt;")=0,"",SUMPRODUCT(((Recommendations[ImplStatus]="Implemented")+(Recommendations[ImplStatus]="Compensated"))*ISNUMBER(MATCH(Recommendations[Id],J155:AW155,0)))/COUNTIF(J155:AW155,"&lt;&gt;"))</f>
        <v/>
      </c>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102"/>
    </row>
    <row r="156" spans="1:49" ht="60" customHeight="1" x14ac:dyDescent="0.35">
      <c r="A156" s="99" t="s">
        <v>3626</v>
      </c>
      <c r="B156" s="82" t="s">
        <v>3680</v>
      </c>
      <c r="C156" s="84" t="s">
        <v>3681</v>
      </c>
      <c r="D156" s="86" t="s">
        <v>3682</v>
      </c>
      <c r="E156" s="86" t="s">
        <v>3683</v>
      </c>
      <c r="F156" s="87" t="s">
        <v>3169</v>
      </c>
      <c r="G156" s="87" t="s">
        <v>3182</v>
      </c>
      <c r="H156" s="87">
        <v>3</v>
      </c>
      <c r="I156" s="89" t="str">
        <f>IF(COUNTIF(J156:AW156,"&lt;&gt;")=0,"",SUMPRODUCT(((Recommendations[ImplStatus]="Implemented")+(Recommendations[ImplStatus]="Compensated"))*ISNUMBER(MATCH(Recommendations[Id],J156:AW156,0)))/COUNTIF(J156:AW156,"&lt;&gt;"))</f>
        <v/>
      </c>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c r="AP156" s="91"/>
      <c r="AQ156" s="91"/>
      <c r="AR156" s="91"/>
      <c r="AS156" s="91"/>
      <c r="AT156" s="91"/>
      <c r="AU156" s="91"/>
      <c r="AV156" s="91"/>
      <c r="AW156" s="102"/>
    </row>
    <row r="157" spans="1:49" ht="60" customHeight="1" outlineLevel="1" x14ac:dyDescent="0.35">
      <c r="A157" s="98" t="s">
        <v>3684</v>
      </c>
      <c r="B157" s="81">
        <v>17</v>
      </c>
      <c r="C157" s="83" t="s">
        <v>28</v>
      </c>
      <c r="D157" s="85" t="s">
        <v>3685</v>
      </c>
      <c r="E157" s="85" t="s">
        <v>28</v>
      </c>
      <c r="F157" s="81" t="s">
        <v>28</v>
      </c>
      <c r="G157" s="81" t="s">
        <v>28</v>
      </c>
      <c r="H157" s="81"/>
      <c r="I157" s="88" t="str">
        <f>IF(COUNTIF(J157:AW157,"&lt;&gt;")=0,"",SUMPRODUCT(((Recommendations[ImplStatus]="Implemented")+(Recommendations[ImplStatus]="Compensated"))*ISNUMBER(MATCH(Recommendations[Id],J157:AW157,0)))/COUNTIF(J157:AW157,"&lt;&gt;"))</f>
        <v/>
      </c>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
      <c r="AM157" s="90"/>
      <c r="AN157" s="90"/>
      <c r="AO157" s="90"/>
      <c r="AP157" s="90"/>
      <c r="AQ157" s="90"/>
      <c r="AR157" s="90"/>
      <c r="AS157" s="90"/>
      <c r="AT157" s="90"/>
      <c r="AU157" s="90"/>
      <c r="AV157" s="90"/>
      <c r="AW157" s="101"/>
    </row>
    <row r="158" spans="1:49" ht="60" customHeight="1" x14ac:dyDescent="0.35">
      <c r="A158" s="99" t="s">
        <v>3684</v>
      </c>
      <c r="B158" s="82" t="s">
        <v>2547</v>
      </c>
      <c r="C158" s="84" t="s">
        <v>3686</v>
      </c>
      <c r="D158" s="86" t="s">
        <v>3687</v>
      </c>
      <c r="E158" s="86" t="s">
        <v>3688</v>
      </c>
      <c r="F158" s="87" t="s">
        <v>3273</v>
      </c>
      <c r="G158" s="87" t="s">
        <v>3150</v>
      </c>
      <c r="H158" s="87">
        <v>1</v>
      </c>
      <c r="I158" s="89" t="str">
        <f>IF(COUNTIF(J158:AW158,"&lt;&gt;")=0,"",SUMPRODUCT(((Recommendations[ImplStatus]="Implemented")+(Recommendations[ImplStatus]="Compensated"))*ISNUMBER(MATCH(Recommendations[Id],J158:AW158,0)))/COUNTIF(J158:AW158,"&lt;&gt;"))</f>
        <v/>
      </c>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102"/>
    </row>
    <row r="159" spans="1:49" ht="60" customHeight="1" x14ac:dyDescent="0.35">
      <c r="A159" s="99" t="s">
        <v>3684</v>
      </c>
      <c r="B159" s="82" t="s">
        <v>3689</v>
      </c>
      <c r="C159" s="84" t="s">
        <v>3690</v>
      </c>
      <c r="D159" s="86" t="s">
        <v>3691</v>
      </c>
      <c r="E159" s="86" t="s">
        <v>3692</v>
      </c>
      <c r="F159" s="87" t="s">
        <v>3248</v>
      </c>
      <c r="G159" s="87" t="s">
        <v>3194</v>
      </c>
      <c r="H159" s="87">
        <v>1</v>
      </c>
      <c r="I159" s="89" t="str">
        <f>IF(COUNTIF(J159:AW159,"&lt;&gt;")=0,"",SUMPRODUCT(((Recommendations[ImplStatus]="Implemented")+(Recommendations[ImplStatus]="Compensated"))*ISNUMBER(MATCH(Recommendations[Id],J159:AW159,0)))/COUNTIF(J159:AW159,"&lt;&gt;"))</f>
        <v/>
      </c>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102"/>
    </row>
    <row r="160" spans="1:49" ht="60" customHeight="1" x14ac:dyDescent="0.35">
      <c r="A160" s="99" t="s">
        <v>3684</v>
      </c>
      <c r="B160" s="82" t="s">
        <v>3693</v>
      </c>
      <c r="C160" s="84" t="s">
        <v>3694</v>
      </c>
      <c r="D160" s="86" t="s">
        <v>3695</v>
      </c>
      <c r="E160" s="86" t="s">
        <v>3696</v>
      </c>
      <c r="F160" s="87" t="s">
        <v>3248</v>
      </c>
      <c r="G160" s="87" t="s">
        <v>3194</v>
      </c>
      <c r="H160" s="87">
        <v>1</v>
      </c>
      <c r="I160" s="89" t="str">
        <f>IF(COUNTIF(J160:AW160,"&lt;&gt;")=0,"",SUMPRODUCT(((Recommendations[ImplStatus]="Implemented")+(Recommendations[ImplStatus]="Compensated"))*ISNUMBER(MATCH(Recommendations[Id],J160:AW160,0)))/COUNTIF(J160:AW160,"&lt;&gt;"))</f>
        <v/>
      </c>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102"/>
    </row>
    <row r="161" spans="1:49" ht="60" customHeight="1" x14ac:dyDescent="0.35">
      <c r="A161" s="99" t="s">
        <v>3684</v>
      </c>
      <c r="B161" s="82" t="s">
        <v>3697</v>
      </c>
      <c r="C161" s="84" t="s">
        <v>3698</v>
      </c>
      <c r="D161" s="86" t="s">
        <v>3699</v>
      </c>
      <c r="E161" s="86" t="s">
        <v>3700</v>
      </c>
      <c r="F161" s="87" t="s">
        <v>3248</v>
      </c>
      <c r="G161" s="87" t="s">
        <v>3194</v>
      </c>
      <c r="H161" s="87">
        <v>2</v>
      </c>
      <c r="I161" s="89" t="str">
        <f>IF(COUNTIF(J161:AW161,"&lt;&gt;")=0,"",SUMPRODUCT(((Recommendations[ImplStatus]="Implemented")+(Recommendations[ImplStatus]="Compensated"))*ISNUMBER(MATCH(Recommendations[Id],J161:AW161,0)))/COUNTIF(J161:AW161,"&lt;&gt;"))</f>
        <v/>
      </c>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102"/>
    </row>
    <row r="162" spans="1:49" ht="60" customHeight="1" x14ac:dyDescent="0.35">
      <c r="A162" s="99" t="s">
        <v>3684</v>
      </c>
      <c r="B162" s="82" t="s">
        <v>3701</v>
      </c>
      <c r="C162" s="84" t="s">
        <v>3702</v>
      </c>
      <c r="D162" s="86" t="s">
        <v>3703</v>
      </c>
      <c r="E162" s="86" t="s">
        <v>3704</v>
      </c>
      <c r="F162" s="87" t="s">
        <v>3273</v>
      </c>
      <c r="G162" s="87" t="s">
        <v>3150</v>
      </c>
      <c r="H162" s="87">
        <v>2</v>
      </c>
      <c r="I162" s="89" t="str">
        <f>IF(COUNTIF(J162:AW162,"&lt;&gt;")=0,"",SUMPRODUCT(((Recommendations[ImplStatus]="Implemented")+(Recommendations[ImplStatus]="Compensated"))*ISNUMBER(MATCH(Recommendations[Id],J162:AW162,0)))/COUNTIF(J162:AW162,"&lt;&gt;"))</f>
        <v/>
      </c>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102"/>
    </row>
    <row r="163" spans="1:49" ht="60" customHeight="1" x14ac:dyDescent="0.35">
      <c r="A163" s="99" t="s">
        <v>3684</v>
      </c>
      <c r="B163" s="82" t="s">
        <v>3705</v>
      </c>
      <c r="C163" s="84" t="s">
        <v>3706</v>
      </c>
      <c r="D163" s="86" t="s">
        <v>3707</v>
      </c>
      <c r="E163" s="86" t="s">
        <v>3708</v>
      </c>
      <c r="F163" s="87" t="s">
        <v>3273</v>
      </c>
      <c r="G163" s="87" t="s">
        <v>3150</v>
      </c>
      <c r="H163" s="87">
        <v>2</v>
      </c>
      <c r="I163" s="89" t="str">
        <f>IF(COUNTIF(J163:AW163,"&lt;&gt;")=0,"",SUMPRODUCT(((Recommendations[ImplStatus]="Implemented")+(Recommendations[ImplStatus]="Compensated"))*ISNUMBER(MATCH(Recommendations[Id],J163:AW163,0)))/COUNTIF(J163:AW163,"&lt;&gt;"))</f>
        <v/>
      </c>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102"/>
    </row>
    <row r="164" spans="1:49" ht="60" customHeight="1" x14ac:dyDescent="0.35">
      <c r="A164" s="99" t="s">
        <v>3684</v>
      </c>
      <c r="B164" s="82" t="s">
        <v>3709</v>
      </c>
      <c r="C164" s="84" t="s">
        <v>3710</v>
      </c>
      <c r="D164" s="86" t="s">
        <v>3711</v>
      </c>
      <c r="E164" s="86" t="s">
        <v>3712</v>
      </c>
      <c r="F164" s="87" t="s">
        <v>3273</v>
      </c>
      <c r="G164" s="87" t="s">
        <v>3491</v>
      </c>
      <c r="H164" s="87">
        <v>2</v>
      </c>
      <c r="I164" s="89" t="str">
        <f>IF(COUNTIF(J164:AW164,"&lt;&gt;")=0,"",SUMPRODUCT(((Recommendations[ImplStatus]="Implemented")+(Recommendations[ImplStatus]="Compensated"))*ISNUMBER(MATCH(Recommendations[Id],J164:AW164,0)))/COUNTIF(J164:AW164,"&lt;&gt;"))</f>
        <v/>
      </c>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c r="AP164" s="91"/>
      <c r="AQ164" s="91"/>
      <c r="AR164" s="91"/>
      <c r="AS164" s="91"/>
      <c r="AT164" s="91"/>
      <c r="AU164" s="91"/>
      <c r="AV164" s="91"/>
      <c r="AW164" s="102"/>
    </row>
    <row r="165" spans="1:49" ht="60" customHeight="1" x14ac:dyDescent="0.35">
      <c r="A165" s="99" t="s">
        <v>3684</v>
      </c>
      <c r="B165" s="82" t="s">
        <v>3713</v>
      </c>
      <c r="C165" s="84" t="s">
        <v>3714</v>
      </c>
      <c r="D165" s="86" t="s">
        <v>3715</v>
      </c>
      <c r="E165" s="86" t="s">
        <v>3716</v>
      </c>
      <c r="F165" s="87" t="s">
        <v>3273</v>
      </c>
      <c r="G165" s="87" t="s">
        <v>3491</v>
      </c>
      <c r="H165" s="87">
        <v>2</v>
      </c>
      <c r="I165" s="89" t="str">
        <f>IF(COUNTIF(J165:AW165,"&lt;&gt;")=0,"",SUMPRODUCT(((Recommendations[ImplStatus]="Implemented")+(Recommendations[ImplStatus]="Compensated"))*ISNUMBER(MATCH(Recommendations[Id],J165:AW165,0)))/COUNTIF(J165:AW165,"&lt;&gt;"))</f>
        <v/>
      </c>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102"/>
    </row>
    <row r="166" spans="1:49" ht="60" customHeight="1" x14ac:dyDescent="0.35">
      <c r="A166" s="99" t="s">
        <v>3684</v>
      </c>
      <c r="B166" s="82" t="s">
        <v>3717</v>
      </c>
      <c r="C166" s="84" t="s">
        <v>3718</v>
      </c>
      <c r="D166" s="86" t="s">
        <v>3719</v>
      </c>
      <c r="E166" s="86" t="s">
        <v>3720</v>
      </c>
      <c r="F166" s="87" t="s">
        <v>3248</v>
      </c>
      <c r="G166" s="87" t="s">
        <v>3491</v>
      </c>
      <c r="H166" s="87">
        <v>3</v>
      </c>
      <c r="I166" s="89" t="str">
        <f>IF(COUNTIF(J166:AW166,"&lt;&gt;")=0,"",SUMPRODUCT(((Recommendations[ImplStatus]="Implemented")+(Recommendations[ImplStatus]="Compensated"))*ISNUMBER(MATCH(Recommendations[Id],J166:AW166,0)))/COUNTIF(J166:AW166,"&lt;&gt;"))</f>
        <v/>
      </c>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c r="AP166" s="91"/>
      <c r="AQ166" s="91"/>
      <c r="AR166" s="91"/>
      <c r="AS166" s="91"/>
      <c r="AT166" s="91"/>
      <c r="AU166" s="91"/>
      <c r="AV166" s="91"/>
      <c r="AW166" s="102"/>
    </row>
    <row r="167" spans="1:49" ht="60" customHeight="1" outlineLevel="1" x14ac:dyDescent="0.35">
      <c r="A167" s="98" t="s">
        <v>3721</v>
      </c>
      <c r="B167" s="81">
        <v>18</v>
      </c>
      <c r="C167" s="83" t="s">
        <v>28</v>
      </c>
      <c r="D167" s="85" t="s">
        <v>3722</v>
      </c>
      <c r="E167" s="85" t="s">
        <v>28</v>
      </c>
      <c r="F167" s="81" t="s">
        <v>28</v>
      </c>
      <c r="G167" s="81" t="s">
        <v>28</v>
      </c>
      <c r="H167" s="81"/>
      <c r="I167" s="88" t="str">
        <f>IF(COUNTIF(J167:AW167,"&lt;&gt;")=0,"",SUMPRODUCT(((Recommendations[ImplStatus]="Implemented")+(Recommendations[ImplStatus]="Compensated"))*ISNUMBER(MATCH(Recommendations[Id],J167:AW167,0)))/COUNTIF(J167:AW167,"&lt;&gt;"))</f>
        <v/>
      </c>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c r="AN167" s="90"/>
      <c r="AO167" s="90"/>
      <c r="AP167" s="90"/>
      <c r="AQ167" s="90"/>
      <c r="AR167" s="90"/>
      <c r="AS167" s="90"/>
      <c r="AT167" s="90"/>
      <c r="AU167" s="90"/>
      <c r="AV167" s="90"/>
      <c r="AW167" s="101"/>
    </row>
    <row r="168" spans="1:49" ht="60" customHeight="1" x14ac:dyDescent="0.35">
      <c r="A168" s="99" t="s">
        <v>3721</v>
      </c>
      <c r="B168" s="82" t="s">
        <v>2560</v>
      </c>
      <c r="C168" s="84" t="s">
        <v>3723</v>
      </c>
      <c r="D168" s="86" t="s">
        <v>3724</v>
      </c>
      <c r="E168" s="86" t="s">
        <v>3725</v>
      </c>
      <c r="F168" s="87" t="s">
        <v>3248</v>
      </c>
      <c r="G168" s="87" t="s">
        <v>3194</v>
      </c>
      <c r="H168" s="87">
        <v>2</v>
      </c>
      <c r="I168" s="89" t="str">
        <f>IF(COUNTIF(J168:AW168,"&lt;&gt;")=0,"",SUMPRODUCT(((Recommendations[ImplStatus]="Implemented")+(Recommendations[ImplStatus]="Compensated"))*ISNUMBER(MATCH(Recommendations[Id],J168:AW168,0)))/COUNTIF(J168:AW168,"&lt;&gt;"))</f>
        <v/>
      </c>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c r="AP168" s="91"/>
      <c r="AQ168" s="91"/>
      <c r="AR168" s="91"/>
      <c r="AS168" s="91"/>
      <c r="AT168" s="91"/>
      <c r="AU168" s="91"/>
      <c r="AV168" s="91"/>
      <c r="AW168" s="102"/>
    </row>
    <row r="169" spans="1:49" ht="60" customHeight="1" x14ac:dyDescent="0.35">
      <c r="A169" s="99" t="s">
        <v>3721</v>
      </c>
      <c r="B169" s="82" t="s">
        <v>3726</v>
      </c>
      <c r="C169" s="84" t="s">
        <v>3727</v>
      </c>
      <c r="D169" s="86" t="s">
        <v>3728</v>
      </c>
      <c r="E169" s="86" t="s">
        <v>3729</v>
      </c>
      <c r="F169" s="87" t="s">
        <v>3390</v>
      </c>
      <c r="G169" s="87" t="s">
        <v>3155</v>
      </c>
      <c r="H169" s="87">
        <v>2</v>
      </c>
      <c r="I169" s="89" t="str">
        <f>IF(COUNTIF(J169:AW169,"&lt;&gt;")=0,"",SUMPRODUCT(((Recommendations[ImplStatus]="Implemented")+(Recommendations[ImplStatus]="Compensated"))*ISNUMBER(MATCH(Recommendations[Id],J169:AW169,0)))/COUNTIF(J169:AW169,"&lt;&gt;"))</f>
        <v/>
      </c>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c r="AP169" s="91"/>
      <c r="AQ169" s="91"/>
      <c r="AR169" s="91"/>
      <c r="AS169" s="91"/>
      <c r="AT169" s="91"/>
      <c r="AU169" s="91"/>
      <c r="AV169" s="91"/>
      <c r="AW169" s="102"/>
    </row>
    <row r="170" spans="1:49" ht="60" customHeight="1" x14ac:dyDescent="0.35">
      <c r="A170" s="99" t="s">
        <v>3721</v>
      </c>
      <c r="B170" s="82" t="s">
        <v>3730</v>
      </c>
      <c r="C170" s="84" t="s">
        <v>3731</v>
      </c>
      <c r="D170" s="86" t="s">
        <v>3732</v>
      </c>
      <c r="E170" s="86" t="s">
        <v>3733</v>
      </c>
      <c r="F170" s="87" t="s">
        <v>3390</v>
      </c>
      <c r="G170" s="87" t="s">
        <v>3182</v>
      </c>
      <c r="H170" s="87">
        <v>2</v>
      </c>
      <c r="I170" s="89" t="str">
        <f>IF(COUNTIF(J170:AW170,"&lt;&gt;")=0,"",SUMPRODUCT(((Recommendations[ImplStatus]="Implemented")+(Recommendations[ImplStatus]="Compensated"))*ISNUMBER(MATCH(Recommendations[Id],J170:AW170,0)))/COUNTIF(J170:AW170,"&lt;&gt;"))</f>
        <v/>
      </c>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102"/>
    </row>
    <row r="171" spans="1:49" ht="60" customHeight="1" x14ac:dyDescent="0.35">
      <c r="A171" s="99" t="s">
        <v>3721</v>
      </c>
      <c r="B171" s="82" t="s">
        <v>3734</v>
      </c>
      <c r="C171" s="84" t="s">
        <v>3735</v>
      </c>
      <c r="D171" s="86" t="s">
        <v>3736</v>
      </c>
      <c r="E171" s="86" t="s">
        <v>3737</v>
      </c>
      <c r="F171" s="87" t="s">
        <v>3390</v>
      </c>
      <c r="G171" s="87" t="s">
        <v>3182</v>
      </c>
      <c r="H171" s="87">
        <v>3</v>
      </c>
      <c r="I171" s="89" t="str">
        <f>IF(COUNTIF(J171:AW171,"&lt;&gt;")=0,"",SUMPRODUCT(((Recommendations[ImplStatus]="Implemented")+(Recommendations[ImplStatus]="Compensated"))*ISNUMBER(MATCH(Recommendations[Id],J171:AW171,0)))/COUNTIF(J171:AW171,"&lt;&gt;"))</f>
        <v/>
      </c>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c r="AP171" s="91"/>
      <c r="AQ171" s="91"/>
      <c r="AR171" s="91"/>
      <c r="AS171" s="91"/>
      <c r="AT171" s="91"/>
      <c r="AU171" s="91"/>
      <c r="AV171" s="91"/>
      <c r="AW171" s="102"/>
    </row>
    <row r="172" spans="1:49" ht="60" customHeight="1" x14ac:dyDescent="0.35">
      <c r="A172" s="100" t="s">
        <v>3721</v>
      </c>
      <c r="B172" s="92" t="s">
        <v>3738</v>
      </c>
      <c r="C172" s="93" t="s">
        <v>3739</v>
      </c>
      <c r="D172" s="94" t="s">
        <v>3740</v>
      </c>
      <c r="E172" s="94" t="s">
        <v>3741</v>
      </c>
      <c r="F172" s="95" t="s">
        <v>3390</v>
      </c>
      <c r="G172" s="95" t="s">
        <v>3155</v>
      </c>
      <c r="H172" s="95">
        <v>3</v>
      </c>
      <c r="I172" s="96" t="str">
        <f>IF(COUNTIF(J172:AW172,"&lt;&gt;")=0,"",SUMPRODUCT(((Recommendations[ImplStatus]="Implemented")+(Recommendations[ImplStatus]="Compensated"))*ISNUMBER(MATCH(Recommendations[Id],J172:AW172,0)))/COUNTIF(J172:AW172,"&lt;&gt;"))</f>
        <v/>
      </c>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103"/>
    </row>
    <row r="176" spans="1:49" ht="32" customHeight="1" x14ac:dyDescent="0.35">
      <c r="A176" s="266" t="s">
        <v>2861</v>
      </c>
      <c r="B176" s="266"/>
      <c r="C176" s="266"/>
      <c r="D176" s="26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IFERROR(INDEX('Recommendations'!$G$2:$G$365, MATCH(J2,'Recommendations'!$B$2:$B$365,0))="Implemented", FALSE))</xm:f>
            <x14:dxf>
              <font>
                <color rgb="FF000000"/>
              </font>
              <fill>
                <patternFill>
                  <bgColor rgb="FF3C7D22"/>
                </patternFill>
              </fill>
            </x14:dxf>
          </x14:cfRule>
          <x14:cfRule type="expression" priority="2" id="{00000000-000E-0000-0400-000002000000}">
            <xm:f>AND(J2&lt;&gt;"", IFERROR(INDEX('Recommendations'!$G$2:$G$365, MATCH(J2,'Recommendations'!$B$2:$B$365,0))="Compensated", FALSE))</xm:f>
            <x14:dxf>
              <font>
                <color rgb="FF000000"/>
              </font>
              <fill>
                <patternFill>
                  <bgColor rgb="FFC6E0B4"/>
                </patternFill>
              </fill>
            </x14:dxf>
          </x14:cfRule>
          <x14:cfRule type="expression" priority="3" id="{00000000-000E-0000-0400-000003000000}">
            <xm:f>AND(J2&lt;&gt;"", IFERROR(INDEX('Recommendations'!$G$2:$G$365, MATCH(J2,'Recommendations'!$B$2:$B$365,0))="Testing", FALSE))</xm:f>
            <x14:dxf>
              <font>
                <color rgb="FF000000"/>
              </font>
              <fill>
                <patternFill>
                  <bgColor rgb="FFFFC000"/>
                </patternFill>
              </fill>
            </x14:dxf>
          </x14:cfRule>
          <x14:cfRule type="expression" priority="4" id="{00000000-000E-0000-0400-000004000000}">
            <xm:f>AND(J2&lt;&gt;"", IFERROR(INDEX('Recommendations'!$G$2:$G$365, MATCH(J2,'Recommendations'!$B$2:$B$365,0))="Failed", FALSE))</xm:f>
            <x14:dxf>
              <font>
                <color rgb="FF000000"/>
              </font>
              <fill>
                <patternFill>
                  <bgColor rgb="FFD82891"/>
                </patternFill>
              </fill>
            </x14:dxf>
          </x14:cfRule>
          <x14:cfRule type="expression" priority="5" id="{00000000-000E-0000-0400-000005000000}">
            <xm:f>AND(J2&lt;&gt;"", IFERROR(INDEX('Recommendations'!$G$2:$G$365, MATCH(J2,'Recommendations'!$B$2:$B$365,0))="Risk Accepted", FALSE))</xm:f>
            <x14:dxf>
              <font>
                <color rgb="FF000000"/>
              </font>
              <fill>
                <patternFill>
                  <bgColor rgb="FFD9D9D9"/>
                </patternFill>
              </fill>
            </x14:dxf>
          </x14:cfRule>
          <x14:cfRule type="expression" priority="6" id="{00000000-000E-0000-0400-000006000000}">
            <xm:f>AND(J2&lt;&gt;"", IFERROR(INDEX('Recommendations'!$G$2:$G$365, MATCH(J2,'Recommendations'!$B$2:$B$365,0))="N/A",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1" t="s">
        <v>1</v>
      </c>
      <c r="B1" s="122" t="s">
        <v>3742</v>
      </c>
      <c r="C1" s="122" t="s">
        <v>9</v>
      </c>
      <c r="D1" s="122" t="s">
        <v>3003</v>
      </c>
      <c r="E1" s="122" t="s">
        <v>3743</v>
      </c>
      <c r="F1" s="122" t="s">
        <v>3744</v>
      </c>
      <c r="G1" s="122" t="s">
        <v>3097</v>
      </c>
      <c r="H1" s="122" t="s">
        <v>3098</v>
      </c>
      <c r="I1" s="122" t="s">
        <v>3099</v>
      </c>
      <c r="J1" s="122" t="s">
        <v>3100</v>
      </c>
      <c r="K1" s="122" t="s">
        <v>3101</v>
      </c>
      <c r="L1" s="122" t="s">
        <v>3102</v>
      </c>
      <c r="M1" s="122" t="s">
        <v>3103</v>
      </c>
      <c r="N1" s="122" t="s">
        <v>3104</v>
      </c>
      <c r="O1" s="122" t="s">
        <v>3105</v>
      </c>
      <c r="P1" s="122" t="s">
        <v>3106</v>
      </c>
      <c r="Q1" s="122" t="s">
        <v>3107</v>
      </c>
      <c r="R1" s="122" t="s">
        <v>3108</v>
      </c>
      <c r="S1" s="122" t="s">
        <v>3109</v>
      </c>
      <c r="T1" s="122" t="s">
        <v>3110</v>
      </c>
      <c r="U1" s="122" t="s">
        <v>3111</v>
      </c>
      <c r="V1" s="122" t="s">
        <v>3112</v>
      </c>
      <c r="W1" s="122" t="s">
        <v>3113</v>
      </c>
      <c r="X1" s="122" t="s">
        <v>3114</v>
      </c>
      <c r="Y1" s="122" t="s">
        <v>3115</v>
      </c>
      <c r="Z1" s="122" t="s">
        <v>3116</v>
      </c>
      <c r="AA1" s="122" t="s">
        <v>3117</v>
      </c>
      <c r="AB1" s="122" t="s">
        <v>3118</v>
      </c>
      <c r="AC1" s="122" t="s">
        <v>3119</v>
      </c>
      <c r="AD1" s="122" t="s">
        <v>3120</v>
      </c>
      <c r="AE1" s="122" t="s">
        <v>3121</v>
      </c>
      <c r="AF1" s="122" t="s">
        <v>3122</v>
      </c>
      <c r="AG1" s="122" t="s">
        <v>3123</v>
      </c>
      <c r="AH1" s="122" t="s">
        <v>3124</v>
      </c>
      <c r="AI1" s="122" t="s">
        <v>3125</v>
      </c>
      <c r="AJ1" s="122" t="s">
        <v>3126</v>
      </c>
      <c r="AK1" s="122" t="s">
        <v>3127</v>
      </c>
      <c r="AL1" s="122" t="s">
        <v>3128</v>
      </c>
      <c r="AM1" s="122" t="s">
        <v>3129</v>
      </c>
      <c r="AN1" s="122" t="s">
        <v>3130</v>
      </c>
      <c r="AO1" s="122" t="s">
        <v>3131</v>
      </c>
      <c r="AP1" s="122" t="s">
        <v>3132</v>
      </c>
      <c r="AQ1" s="122" t="s">
        <v>3133</v>
      </c>
      <c r="AR1" s="122" t="s">
        <v>3134</v>
      </c>
      <c r="AS1" s="122" t="s">
        <v>3135</v>
      </c>
      <c r="AT1" s="122" t="s">
        <v>3136</v>
      </c>
      <c r="AU1" s="123" t="s">
        <v>3137</v>
      </c>
    </row>
    <row r="2" spans="1:47" ht="60" customHeight="1" x14ac:dyDescent="0.35">
      <c r="A2" s="117" t="s">
        <v>3745</v>
      </c>
      <c r="B2" s="107" t="s">
        <v>3746</v>
      </c>
      <c r="C2" s="108" t="s">
        <v>3747</v>
      </c>
      <c r="D2" s="108" t="s">
        <v>3748</v>
      </c>
      <c r="E2" s="108" t="s">
        <v>3749</v>
      </c>
      <c r="F2" s="109" t="s">
        <v>3750</v>
      </c>
      <c r="G2" s="110">
        <f>IF(COUNTIF(H2:AU2,"&lt;&gt;")=0,"",SUMPRODUCT(((Recommendations[ImplStatus]="Implemented")+(Recommendations[ImplStatus]="Compensated"))*ISNUMBER(MATCH(Recommendations[Id],H2:AU2,0)))/COUNTIF(H2:AU2,"&lt;&gt;"))</f>
        <v>0</v>
      </c>
      <c r="H2" s="111" t="s">
        <v>2252</v>
      </c>
      <c r="I2" s="111" t="s">
        <v>2260</v>
      </c>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9"/>
    </row>
    <row r="3" spans="1:47" ht="60" customHeight="1" x14ac:dyDescent="0.35">
      <c r="A3" s="117" t="s">
        <v>3751</v>
      </c>
      <c r="B3" s="107" t="s">
        <v>3752</v>
      </c>
      <c r="C3" s="108" t="s">
        <v>3753</v>
      </c>
      <c r="D3" s="108" t="s">
        <v>3754</v>
      </c>
      <c r="E3" s="108" t="s">
        <v>3755</v>
      </c>
      <c r="F3" s="109" t="s">
        <v>3756</v>
      </c>
      <c r="G3" s="110" t="str">
        <f>IF(COUNTIF(H3:AU3,"&lt;&gt;")=0,"",SUMPRODUCT(((Recommendations[ImplStatus]="Implemented")+(Recommendations[ImplStatus]="Compensated"))*ISNUMBER(MATCH(Recommendations[Id],H3:AU3,0)))/COUNTIF(H3:AU3,"&lt;&gt;"))</f>
        <v/>
      </c>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9"/>
    </row>
    <row r="4" spans="1:47" ht="60" customHeight="1" x14ac:dyDescent="0.35">
      <c r="A4" s="117" t="s">
        <v>3757</v>
      </c>
      <c r="B4" s="107" t="s">
        <v>3758</v>
      </c>
      <c r="C4" s="108" t="s">
        <v>3759</v>
      </c>
      <c r="D4" s="108" t="s">
        <v>3760</v>
      </c>
      <c r="E4" s="108" t="s">
        <v>3761</v>
      </c>
      <c r="F4" s="109" t="s">
        <v>3762</v>
      </c>
      <c r="G4" s="110">
        <f>IF(COUNTIF(H4:AU4,"&lt;&gt;")=0,"",SUMPRODUCT(((Recommendations[ImplStatus]="Implemented")+(Recommendations[ImplStatus]="Compensated"))*ISNUMBER(MATCH(Recommendations[Id],H4:AU4,0)))/COUNTIF(H4:AU4,"&lt;&gt;"))</f>
        <v>0</v>
      </c>
      <c r="H4" s="111" t="s">
        <v>274</v>
      </c>
      <c r="I4" s="111" t="s">
        <v>1457</v>
      </c>
      <c r="J4" s="111" t="s">
        <v>1470</v>
      </c>
      <c r="K4" s="111" t="s">
        <v>1482</v>
      </c>
      <c r="L4" s="111" t="s">
        <v>1488</v>
      </c>
      <c r="M4" s="111" t="s">
        <v>1861</v>
      </c>
      <c r="N4" s="111" t="s">
        <v>1873</v>
      </c>
      <c r="O4" s="111" t="s">
        <v>1884</v>
      </c>
      <c r="P4" s="111" t="s">
        <v>1892</v>
      </c>
      <c r="Q4" s="111" t="s">
        <v>1901</v>
      </c>
      <c r="R4" s="111" t="s">
        <v>1910</v>
      </c>
      <c r="S4" s="111" t="s">
        <v>1918</v>
      </c>
      <c r="T4" s="111" t="s">
        <v>1964</v>
      </c>
      <c r="U4" s="111" t="s">
        <v>2010</v>
      </c>
      <c r="V4" s="111" t="s">
        <v>2018</v>
      </c>
      <c r="W4" s="111" t="s">
        <v>2048</v>
      </c>
      <c r="X4" s="111" t="s">
        <v>2073</v>
      </c>
      <c r="Y4" s="111" t="s">
        <v>2080</v>
      </c>
      <c r="Z4" s="111" t="s">
        <v>2762</v>
      </c>
      <c r="AA4" s="111"/>
      <c r="AB4" s="111"/>
      <c r="AC4" s="111"/>
      <c r="AD4" s="111"/>
      <c r="AE4" s="111"/>
      <c r="AF4" s="111"/>
      <c r="AG4" s="111"/>
      <c r="AH4" s="111"/>
      <c r="AI4" s="111"/>
      <c r="AJ4" s="111"/>
      <c r="AK4" s="111"/>
      <c r="AL4" s="111"/>
      <c r="AM4" s="111"/>
      <c r="AN4" s="111"/>
      <c r="AO4" s="111"/>
      <c r="AP4" s="111"/>
      <c r="AQ4" s="111"/>
      <c r="AR4" s="111"/>
      <c r="AS4" s="111"/>
      <c r="AT4" s="111"/>
      <c r="AU4" s="119"/>
    </row>
    <row r="5" spans="1:47" ht="60" customHeight="1" x14ac:dyDescent="0.35">
      <c r="A5" s="117" t="s">
        <v>3763</v>
      </c>
      <c r="B5" s="107" t="s">
        <v>3764</v>
      </c>
      <c r="C5" s="108" t="s">
        <v>3765</v>
      </c>
      <c r="D5" s="108" t="s">
        <v>3766</v>
      </c>
      <c r="E5" s="108" t="s">
        <v>3767</v>
      </c>
      <c r="F5" s="109" t="s">
        <v>3768</v>
      </c>
      <c r="G5" s="110" t="str">
        <f>IF(COUNTIF(H5:AU5,"&lt;&gt;")=0,"",SUMPRODUCT(((Recommendations[ImplStatus]="Implemented")+(Recommendations[ImplStatus]="Compensated"))*ISNUMBER(MATCH(Recommendations[Id],H5:AU5,0)))/COUNTIF(H5:AU5,"&lt;&gt;"))</f>
        <v/>
      </c>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9"/>
    </row>
    <row r="6" spans="1:47" ht="60" customHeight="1" x14ac:dyDescent="0.35">
      <c r="A6" s="117" t="s">
        <v>3769</v>
      </c>
      <c r="B6" s="107" t="s">
        <v>3770</v>
      </c>
      <c r="C6" s="108" t="s">
        <v>3771</v>
      </c>
      <c r="D6" s="108" t="s">
        <v>3772</v>
      </c>
      <c r="E6" s="108" t="s">
        <v>28</v>
      </c>
      <c r="F6" s="109" t="s">
        <v>3773</v>
      </c>
      <c r="G6" s="110" t="str">
        <f>IF(COUNTIF(H6:AU6,"&lt;&gt;")=0,"",SUMPRODUCT(((Recommendations[ImplStatus]="Implemented")+(Recommendations[ImplStatus]="Compensated"))*ISNUMBER(MATCH(Recommendations[Id],H6:AU6,0)))/COUNTIF(H6:AU6,"&lt;&gt;"))</f>
        <v/>
      </c>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9"/>
    </row>
    <row r="7" spans="1:47" ht="60" customHeight="1" x14ac:dyDescent="0.35">
      <c r="A7" s="117" t="s">
        <v>3774</v>
      </c>
      <c r="B7" s="107" t="s">
        <v>3775</v>
      </c>
      <c r="C7" s="108" t="s">
        <v>3776</v>
      </c>
      <c r="D7" s="108" t="s">
        <v>3777</v>
      </c>
      <c r="E7" s="108" t="s">
        <v>28</v>
      </c>
      <c r="F7" s="109" t="s">
        <v>3778</v>
      </c>
      <c r="G7" s="110" t="str">
        <f>IF(COUNTIF(H7:AU7,"&lt;&gt;")=0,"",SUMPRODUCT(((Recommendations[ImplStatus]="Implemented")+(Recommendations[ImplStatus]="Compensated"))*ISNUMBER(MATCH(Recommendations[Id],H7:AU7,0)))/COUNTIF(H7:AU7,"&lt;&gt;"))</f>
        <v/>
      </c>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9"/>
    </row>
    <row r="8" spans="1:47" ht="60" customHeight="1" x14ac:dyDescent="0.35">
      <c r="A8" s="117" t="s">
        <v>3779</v>
      </c>
      <c r="B8" s="107" t="s">
        <v>3780</v>
      </c>
      <c r="C8" s="108" t="s">
        <v>3781</v>
      </c>
      <c r="D8" s="108" t="s">
        <v>3782</v>
      </c>
      <c r="E8" s="108" t="s">
        <v>28</v>
      </c>
      <c r="F8" s="109" t="s">
        <v>3783</v>
      </c>
      <c r="G8" s="110">
        <f>IF(COUNTIF(H8:AU8,"&lt;&gt;")=0,"",SUMPRODUCT(((Recommendations[ImplStatus]="Implemented")+(Recommendations[ImplStatus]="Compensated"))*ISNUMBER(MATCH(Recommendations[Id],H8:AU8,0)))/COUNTIF(H8:AU8,"&lt;&gt;"))</f>
        <v>0</v>
      </c>
      <c r="H8" s="111" t="s">
        <v>1853</v>
      </c>
      <c r="I8" s="111" t="s">
        <v>1927</v>
      </c>
      <c r="J8" s="111" t="s">
        <v>1931</v>
      </c>
      <c r="K8" s="111" t="s">
        <v>1934</v>
      </c>
      <c r="L8" s="111" t="s">
        <v>1937</v>
      </c>
      <c r="M8" s="111" t="s">
        <v>1940</v>
      </c>
      <c r="N8" s="111" t="s">
        <v>1943</v>
      </c>
      <c r="O8" s="111" t="s">
        <v>1946</v>
      </c>
      <c r="P8" s="111" t="s">
        <v>1949</v>
      </c>
      <c r="Q8" s="111" t="s">
        <v>1952</v>
      </c>
      <c r="R8" s="111" t="s">
        <v>1955</v>
      </c>
      <c r="S8" s="111" t="s">
        <v>1958</v>
      </c>
      <c r="T8" s="111" t="s">
        <v>1961</v>
      </c>
      <c r="U8" s="111" t="s">
        <v>2107</v>
      </c>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9"/>
    </row>
    <row r="9" spans="1:47" ht="60" customHeight="1" x14ac:dyDescent="0.35">
      <c r="A9" s="117" t="s">
        <v>3784</v>
      </c>
      <c r="B9" s="107" t="s">
        <v>3785</v>
      </c>
      <c r="C9" s="108" t="s">
        <v>3786</v>
      </c>
      <c r="D9" s="108" t="s">
        <v>3787</v>
      </c>
      <c r="E9" s="108" t="s">
        <v>28</v>
      </c>
      <c r="F9" s="109" t="s">
        <v>3788</v>
      </c>
      <c r="G9" s="110">
        <f>IF(COUNTIF(H9:AU9,"&lt;&gt;")=0,"",SUMPRODUCT(((Recommendations[ImplStatus]="Implemented")+(Recommendations[ImplStatus]="Compensated"))*ISNUMBER(MATCH(Recommendations[Id],H9:AU9,0)))/COUNTIF(H9:AU9,"&lt;&gt;"))</f>
        <v>0</v>
      </c>
      <c r="H9" s="111" t="s">
        <v>2055</v>
      </c>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9"/>
    </row>
    <row r="10" spans="1:47" ht="60" customHeight="1" x14ac:dyDescent="0.35">
      <c r="A10" s="117" t="s">
        <v>3789</v>
      </c>
      <c r="B10" s="107" t="s">
        <v>3790</v>
      </c>
      <c r="C10" s="108" t="s">
        <v>3791</v>
      </c>
      <c r="D10" s="108" t="s">
        <v>3792</v>
      </c>
      <c r="E10" s="108" t="s">
        <v>28</v>
      </c>
      <c r="F10" s="109" t="s">
        <v>3793</v>
      </c>
      <c r="G10" s="110" t="str">
        <f>IF(COUNTIF(H10:AU10,"&lt;&gt;")=0,"",SUMPRODUCT(((Recommendations[ImplStatus]="Implemented")+(Recommendations[ImplStatus]="Compensated"))*ISNUMBER(MATCH(Recommendations[Id],H10:AU10,0)))/COUNTIF(H10:AU10,"&lt;&gt;"))</f>
        <v/>
      </c>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9"/>
    </row>
    <row r="11" spans="1:47" ht="60" customHeight="1" x14ac:dyDescent="0.35">
      <c r="A11" s="117" t="s">
        <v>3794</v>
      </c>
      <c r="B11" s="107" t="s">
        <v>3795</v>
      </c>
      <c r="C11" s="108" t="s">
        <v>3796</v>
      </c>
      <c r="D11" s="108" t="s">
        <v>3797</v>
      </c>
      <c r="E11" s="108" t="s">
        <v>28</v>
      </c>
      <c r="F11" s="109" t="s">
        <v>3798</v>
      </c>
      <c r="G11" s="110">
        <f>IF(COUNTIF(H11:AU11,"&lt;&gt;")=0,"",SUMPRODUCT(((Recommendations[ImplStatus]="Implemented")+(Recommendations[ImplStatus]="Compensated"))*ISNUMBER(MATCH(Recommendations[Id],H11:AU11,0)))/COUNTIF(H11:AU11,"&lt;&gt;"))</f>
        <v>0</v>
      </c>
      <c r="H11" s="111" t="s">
        <v>247</v>
      </c>
      <c r="I11" s="111" t="s">
        <v>2067</v>
      </c>
      <c r="J11" s="111" t="s">
        <v>2086</v>
      </c>
      <c r="K11" s="111" t="s">
        <v>2497</v>
      </c>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9"/>
    </row>
    <row r="12" spans="1:47" ht="60" customHeight="1" x14ac:dyDescent="0.35">
      <c r="A12" s="117" t="s">
        <v>3799</v>
      </c>
      <c r="B12" s="107" t="s">
        <v>3800</v>
      </c>
      <c r="C12" s="108" t="s">
        <v>3801</v>
      </c>
      <c r="D12" s="108" t="s">
        <v>3802</v>
      </c>
      <c r="E12" s="108" t="s">
        <v>28</v>
      </c>
      <c r="F12" s="109" t="s">
        <v>3803</v>
      </c>
      <c r="G12" s="110" t="str">
        <f>IF(COUNTIF(H12:AU12,"&lt;&gt;")=0,"",SUMPRODUCT(((Recommendations[ImplStatus]="Implemented")+(Recommendations[ImplStatus]="Compensated"))*ISNUMBER(MATCH(Recommendations[Id],H12:AU12,0)))/COUNTIF(H12:AU12,"&lt;&gt;"))</f>
        <v/>
      </c>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9"/>
    </row>
    <row r="13" spans="1:47" ht="60" customHeight="1" x14ac:dyDescent="0.35">
      <c r="A13" s="117" t="s">
        <v>3804</v>
      </c>
      <c r="B13" s="107" t="s">
        <v>3805</v>
      </c>
      <c r="C13" s="108" t="s">
        <v>3806</v>
      </c>
      <c r="D13" s="108" t="s">
        <v>3807</v>
      </c>
      <c r="E13" s="108" t="s">
        <v>28</v>
      </c>
      <c r="F13" s="109" t="s">
        <v>3808</v>
      </c>
      <c r="G13" s="110" t="str">
        <f>IF(COUNTIF(H13:AU13,"&lt;&gt;")=0,"",SUMPRODUCT(((Recommendations[ImplStatus]="Implemented")+(Recommendations[ImplStatus]="Compensated"))*ISNUMBER(MATCH(Recommendations[Id],H13:AU13,0)))/COUNTIF(H13:AU13,"&lt;&gt;"))</f>
        <v/>
      </c>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9"/>
    </row>
    <row r="14" spans="1:47" ht="60" customHeight="1" x14ac:dyDescent="0.35">
      <c r="A14" s="117" t="s">
        <v>3809</v>
      </c>
      <c r="B14" s="107" t="s">
        <v>3810</v>
      </c>
      <c r="C14" s="108" t="s">
        <v>3811</v>
      </c>
      <c r="D14" s="108" t="s">
        <v>3812</v>
      </c>
      <c r="E14" s="108" t="s">
        <v>28</v>
      </c>
      <c r="F14" s="109" t="s">
        <v>3813</v>
      </c>
      <c r="G14" s="110">
        <f>IF(COUNTIF(H14:AU14,"&lt;&gt;")=0,"",SUMPRODUCT(((Recommendations[ImplStatus]="Implemented")+(Recommendations[ImplStatus]="Compensated"))*ISNUMBER(MATCH(Recommendations[Id],H14:AU14,0)))/COUNTIF(H14:AU14,"&lt;&gt;"))</f>
        <v>0</v>
      </c>
      <c r="H14" s="111" t="s">
        <v>59</v>
      </c>
      <c r="I14" s="111" t="s">
        <v>65</v>
      </c>
      <c r="J14" s="111" t="s">
        <v>257</v>
      </c>
      <c r="K14" s="111" t="s">
        <v>270</v>
      </c>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9"/>
    </row>
    <row r="15" spans="1:47" ht="60" customHeight="1" x14ac:dyDescent="0.35">
      <c r="A15" s="117" t="s">
        <v>3814</v>
      </c>
      <c r="B15" s="107" t="s">
        <v>3815</v>
      </c>
      <c r="C15" s="108" t="s">
        <v>3816</v>
      </c>
      <c r="D15" s="108" t="s">
        <v>3817</v>
      </c>
      <c r="E15" s="108" t="s">
        <v>28</v>
      </c>
      <c r="F15" s="109" t="s">
        <v>3818</v>
      </c>
      <c r="G15" s="110" t="str">
        <f>IF(COUNTIF(H15:AU15,"&lt;&gt;")=0,"",SUMPRODUCT(((Recommendations[ImplStatus]="Implemented")+(Recommendations[ImplStatus]="Compensated"))*ISNUMBER(MATCH(Recommendations[Id],H15:AU15,0)))/COUNTIF(H15:AU15,"&lt;&gt;"))</f>
        <v/>
      </c>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9"/>
    </row>
    <row r="16" spans="1:47" ht="60" customHeight="1" x14ac:dyDescent="0.35">
      <c r="A16" s="117" t="s">
        <v>3819</v>
      </c>
      <c r="B16" s="107" t="s">
        <v>3820</v>
      </c>
      <c r="C16" s="108" t="s">
        <v>3821</v>
      </c>
      <c r="D16" s="108" t="s">
        <v>3822</v>
      </c>
      <c r="E16" s="108" t="s">
        <v>28</v>
      </c>
      <c r="F16" s="109" t="s">
        <v>3823</v>
      </c>
      <c r="G16" s="110">
        <f>IF(COUNTIF(H16:AU16,"&lt;&gt;")=0,"",SUMPRODUCT(((Recommendations[ImplStatus]="Implemented")+(Recommendations[ImplStatus]="Compensated"))*ISNUMBER(MATCH(Recommendations[Id],H16:AU16,0)))/COUNTIF(H16:AU16,"&lt;&gt;"))</f>
        <v>0</v>
      </c>
      <c r="H16" s="111" t="s">
        <v>235</v>
      </c>
      <c r="I16" s="111" t="s">
        <v>456</v>
      </c>
      <c r="J16" s="111" t="s">
        <v>610</v>
      </c>
      <c r="K16" s="111" t="s">
        <v>1286</v>
      </c>
      <c r="L16" s="111" t="s">
        <v>1508</v>
      </c>
      <c r="M16" s="111" t="s">
        <v>1519</v>
      </c>
      <c r="N16" s="111" t="s">
        <v>1530</v>
      </c>
      <c r="O16" s="111" t="s">
        <v>1539</v>
      </c>
      <c r="P16" s="111" t="s">
        <v>1596</v>
      </c>
      <c r="Q16" s="111" t="s">
        <v>1601</v>
      </c>
      <c r="R16" s="111" t="s">
        <v>1605</v>
      </c>
      <c r="S16" s="111" t="s">
        <v>1618</v>
      </c>
      <c r="T16" s="111" t="s">
        <v>1621</v>
      </c>
      <c r="U16" s="111" t="s">
        <v>1624</v>
      </c>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9"/>
    </row>
    <row r="17" spans="1:47" ht="60" customHeight="1" x14ac:dyDescent="0.35">
      <c r="A17" s="117" t="s">
        <v>3824</v>
      </c>
      <c r="B17" s="107" t="s">
        <v>3825</v>
      </c>
      <c r="C17" s="108" t="s">
        <v>3826</v>
      </c>
      <c r="D17" s="108" t="s">
        <v>3827</v>
      </c>
      <c r="E17" s="108" t="s">
        <v>28</v>
      </c>
      <c r="F17" s="109" t="s">
        <v>3828</v>
      </c>
      <c r="G17" s="110" t="str">
        <f>IF(COUNTIF(H17:AU17,"&lt;&gt;")=0,"",SUMPRODUCT(((Recommendations[ImplStatus]="Implemented")+(Recommendations[ImplStatus]="Compensated"))*ISNUMBER(MATCH(Recommendations[Id],H17:AU17,0)))/COUNTIF(H17:AU17,"&lt;&gt;"))</f>
        <v/>
      </c>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9"/>
    </row>
    <row r="18" spans="1:47" ht="60" customHeight="1" x14ac:dyDescent="0.35">
      <c r="A18" s="117" t="s">
        <v>3829</v>
      </c>
      <c r="B18" s="107" t="s">
        <v>3830</v>
      </c>
      <c r="C18" s="108" t="s">
        <v>3831</v>
      </c>
      <c r="D18" s="108" t="s">
        <v>3832</v>
      </c>
      <c r="E18" s="108" t="s">
        <v>28</v>
      </c>
      <c r="F18" s="109" t="s">
        <v>3833</v>
      </c>
      <c r="G18" s="110">
        <f>IF(COUNTIF(H18:AU18,"&lt;&gt;")=0,"",SUMPRODUCT(((Recommendations[ImplStatus]="Implemented")+(Recommendations[ImplStatus]="Compensated"))*ISNUMBER(MATCH(Recommendations[Id],H18:AU18,0)))/COUNTIF(H18:AU18,"&lt;&gt;"))</f>
        <v>0</v>
      </c>
      <c r="H18" s="111" t="s">
        <v>162</v>
      </c>
      <c r="I18" s="111" t="s">
        <v>213</v>
      </c>
      <c r="J18" s="111" t="s">
        <v>1927</v>
      </c>
      <c r="K18" s="111" t="s">
        <v>1931</v>
      </c>
      <c r="L18" s="111" t="s">
        <v>1934</v>
      </c>
      <c r="M18" s="111" t="s">
        <v>1937</v>
      </c>
      <c r="N18" s="111" t="s">
        <v>1940</v>
      </c>
      <c r="O18" s="111" t="s">
        <v>1943</v>
      </c>
      <c r="P18" s="111" t="s">
        <v>1946</v>
      </c>
      <c r="Q18" s="111" t="s">
        <v>1949</v>
      </c>
      <c r="R18" s="111" t="s">
        <v>1952</v>
      </c>
      <c r="S18" s="111" t="s">
        <v>1955</v>
      </c>
      <c r="T18" s="111" t="s">
        <v>1958</v>
      </c>
      <c r="U18" s="111" t="s">
        <v>1961</v>
      </c>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9"/>
    </row>
    <row r="19" spans="1:47" ht="60" customHeight="1" x14ac:dyDescent="0.35">
      <c r="A19" s="117" t="s">
        <v>3834</v>
      </c>
      <c r="B19" s="107" t="s">
        <v>3835</v>
      </c>
      <c r="C19" s="108" t="s">
        <v>3836</v>
      </c>
      <c r="D19" s="108" t="s">
        <v>3837</v>
      </c>
      <c r="E19" s="108" t="s">
        <v>28</v>
      </c>
      <c r="F19" s="109" t="s">
        <v>3838</v>
      </c>
      <c r="G19" s="110">
        <f>IF(COUNTIF(H19:AU19,"&lt;&gt;")=0,"",SUMPRODUCT(((Recommendations[ImplStatus]="Implemented")+(Recommendations[ImplStatus]="Compensated"))*ISNUMBER(MATCH(Recommendations[Id],H19:AU19,0)))/COUNTIF(H19:AU19,"&lt;&gt;"))</f>
        <v>0</v>
      </c>
      <c r="H19" s="111" t="s">
        <v>71</v>
      </c>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9"/>
    </row>
    <row r="20" spans="1:47" ht="60" customHeight="1" x14ac:dyDescent="0.35">
      <c r="A20" s="117" t="s">
        <v>3839</v>
      </c>
      <c r="B20" s="107" t="s">
        <v>3840</v>
      </c>
      <c r="C20" s="108" t="s">
        <v>3841</v>
      </c>
      <c r="D20" s="108" t="s">
        <v>3842</v>
      </c>
      <c r="E20" s="108" t="s">
        <v>28</v>
      </c>
      <c r="F20" s="109" t="s">
        <v>3843</v>
      </c>
      <c r="G20" s="110">
        <f>IF(COUNTIF(H20:AU20,"&lt;&gt;")=0,"",SUMPRODUCT(((Recommendations[ImplStatus]="Implemented")+(Recommendations[ImplStatus]="Compensated"))*ISNUMBER(MATCH(Recommendations[Id],H20:AU20,0)))/COUNTIF(H20:AU20,"&lt;&gt;"))</f>
        <v>0</v>
      </c>
      <c r="H20" s="111" t="s">
        <v>84</v>
      </c>
      <c r="I20" s="111" t="s">
        <v>93</v>
      </c>
      <c r="J20" s="111" t="s">
        <v>100</v>
      </c>
      <c r="K20" s="111" t="s">
        <v>135</v>
      </c>
      <c r="L20" s="111" t="s">
        <v>2160</v>
      </c>
      <c r="M20" s="111" t="s">
        <v>2168</v>
      </c>
      <c r="N20" s="111" t="s">
        <v>2204</v>
      </c>
      <c r="O20" s="111" t="s">
        <v>2277</v>
      </c>
      <c r="P20" s="111" t="s">
        <v>2336</v>
      </c>
      <c r="Q20" s="111" t="s">
        <v>2341</v>
      </c>
      <c r="R20" s="111" t="s">
        <v>2380</v>
      </c>
      <c r="S20" s="111" t="s">
        <v>2387</v>
      </c>
      <c r="T20" s="111" t="s">
        <v>2394</v>
      </c>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9"/>
    </row>
    <row r="21" spans="1:47" ht="60" customHeight="1" x14ac:dyDescent="0.35">
      <c r="A21" s="117" t="s">
        <v>3844</v>
      </c>
      <c r="B21" s="107" t="s">
        <v>3845</v>
      </c>
      <c r="C21" s="108" t="s">
        <v>3846</v>
      </c>
      <c r="D21" s="108" t="s">
        <v>3847</v>
      </c>
      <c r="E21" s="108" t="s">
        <v>3848</v>
      </c>
      <c r="F21" s="109" t="s">
        <v>3849</v>
      </c>
      <c r="G21" s="110">
        <f>IF(COUNTIF(H21:AU21,"&lt;&gt;")=0,"",SUMPRODUCT(((Recommendations[ImplStatus]="Implemented")+(Recommendations[ImplStatus]="Compensated"))*ISNUMBER(MATCH(Recommendations[Id],H21:AU21,0)))/COUNTIF(H21:AU21,"&lt;&gt;"))</f>
        <v>0</v>
      </c>
      <c r="H21" s="111" t="s">
        <v>129</v>
      </c>
      <c r="I21" s="111" t="s">
        <v>148</v>
      </c>
      <c r="J21" s="111" t="s">
        <v>371</v>
      </c>
      <c r="K21" s="111" t="s">
        <v>385</v>
      </c>
      <c r="L21" s="111" t="s">
        <v>2770</v>
      </c>
      <c r="M21" s="111" t="s">
        <v>2783</v>
      </c>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9"/>
    </row>
    <row r="22" spans="1:47" ht="60" customHeight="1" x14ac:dyDescent="0.35">
      <c r="A22" s="117" t="s">
        <v>3850</v>
      </c>
      <c r="B22" s="107" t="s">
        <v>3851</v>
      </c>
      <c r="C22" s="108" t="s">
        <v>3852</v>
      </c>
      <c r="D22" s="108" t="s">
        <v>3853</v>
      </c>
      <c r="E22" s="108" t="s">
        <v>3854</v>
      </c>
      <c r="F22" s="109" t="s">
        <v>3855</v>
      </c>
      <c r="G22" s="110" t="str">
        <f>IF(COUNTIF(H22:AU22,"&lt;&gt;")=0,"",SUMPRODUCT(((Recommendations[ImplStatus]="Implemented")+(Recommendations[ImplStatus]="Compensated"))*ISNUMBER(MATCH(Recommendations[Id],H22:AU22,0)))/COUNTIF(H22:AU22,"&lt;&gt;"))</f>
        <v/>
      </c>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9"/>
    </row>
    <row r="23" spans="1:47" ht="60" customHeight="1" x14ac:dyDescent="0.35">
      <c r="A23" s="117" t="s">
        <v>3856</v>
      </c>
      <c r="B23" s="107" t="s">
        <v>3857</v>
      </c>
      <c r="C23" s="108" t="s">
        <v>3858</v>
      </c>
      <c r="D23" s="108" t="s">
        <v>3859</v>
      </c>
      <c r="E23" s="108" t="s">
        <v>3860</v>
      </c>
      <c r="F23" s="109" t="s">
        <v>3861</v>
      </c>
      <c r="G23" s="110" t="str">
        <f>IF(COUNTIF(H23:AU23,"&lt;&gt;")=0,"",SUMPRODUCT(((Recommendations[ImplStatus]="Implemented")+(Recommendations[ImplStatus]="Compensated"))*ISNUMBER(MATCH(Recommendations[Id],H23:AU23,0)))/COUNTIF(H23:AU23,"&lt;&gt;"))</f>
        <v/>
      </c>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9"/>
    </row>
    <row r="24" spans="1:47" ht="60" customHeight="1" x14ac:dyDescent="0.35">
      <c r="A24" s="117" t="s">
        <v>3862</v>
      </c>
      <c r="B24" s="107" t="s">
        <v>3863</v>
      </c>
      <c r="C24" s="108" t="s">
        <v>3864</v>
      </c>
      <c r="D24" s="108" t="s">
        <v>3865</v>
      </c>
      <c r="E24" s="108" t="s">
        <v>28</v>
      </c>
      <c r="F24" s="109" t="s">
        <v>3866</v>
      </c>
      <c r="G24" s="110">
        <f>IF(COUNTIF(H24:AU24,"&lt;&gt;")=0,"",SUMPRODUCT(((Recommendations[ImplStatus]="Implemented")+(Recommendations[ImplStatus]="Compensated"))*ISNUMBER(MATCH(Recommendations[Id],H24:AU24,0)))/COUNTIF(H24:AU24,"&lt;&gt;"))</f>
        <v>0</v>
      </c>
      <c r="H24" s="111" t="s">
        <v>2795</v>
      </c>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9"/>
    </row>
    <row r="25" spans="1:47" ht="60" customHeight="1" x14ac:dyDescent="0.35">
      <c r="A25" s="117" t="s">
        <v>3867</v>
      </c>
      <c r="B25" s="107" t="s">
        <v>3868</v>
      </c>
      <c r="C25" s="108" t="s">
        <v>3869</v>
      </c>
      <c r="D25" s="108" t="s">
        <v>28</v>
      </c>
      <c r="E25" s="108" t="s">
        <v>28</v>
      </c>
      <c r="F25" s="109" t="s">
        <v>3870</v>
      </c>
      <c r="G25" s="110" t="str">
        <f>IF(COUNTIF(H25:AU25,"&lt;&gt;")=0,"",SUMPRODUCT(((Recommendations[ImplStatus]="Implemented")+(Recommendations[ImplStatus]="Compensated"))*ISNUMBER(MATCH(Recommendations[Id],H25:AU25,0)))/COUNTIF(H25:AU25,"&lt;&gt;"))</f>
        <v/>
      </c>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9"/>
    </row>
    <row r="26" spans="1:47" ht="60" customHeight="1" x14ac:dyDescent="0.35">
      <c r="A26" s="117" t="s">
        <v>3871</v>
      </c>
      <c r="B26" s="107" t="s">
        <v>3872</v>
      </c>
      <c r="C26" s="108" t="s">
        <v>3873</v>
      </c>
      <c r="D26" s="108" t="s">
        <v>3874</v>
      </c>
      <c r="E26" s="108" t="s">
        <v>28</v>
      </c>
      <c r="F26" s="109" t="s">
        <v>3875</v>
      </c>
      <c r="G26" s="110" t="str">
        <f>IF(COUNTIF(H26:AU26,"&lt;&gt;")=0,"",SUMPRODUCT(((Recommendations[ImplStatus]="Implemented")+(Recommendations[ImplStatus]="Compensated"))*ISNUMBER(MATCH(Recommendations[Id],H26:AU26,0)))/COUNTIF(H26:AU26,"&lt;&gt;"))</f>
        <v/>
      </c>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9"/>
    </row>
    <row r="27" spans="1:47" ht="60" customHeight="1" x14ac:dyDescent="0.35">
      <c r="A27" s="117" t="s">
        <v>3876</v>
      </c>
      <c r="B27" s="107" t="s">
        <v>3877</v>
      </c>
      <c r="C27" s="108" t="s">
        <v>3878</v>
      </c>
      <c r="D27" s="108" t="s">
        <v>3879</v>
      </c>
      <c r="E27" s="108" t="s">
        <v>3880</v>
      </c>
      <c r="F27" s="109" t="s">
        <v>3881</v>
      </c>
      <c r="G27" s="110">
        <f>IF(COUNTIF(H27:AU27,"&lt;&gt;")=0,"",SUMPRODUCT(((Recommendations[ImplStatus]="Implemented")+(Recommendations[ImplStatus]="Compensated"))*ISNUMBER(MATCH(Recommendations[Id],H27:AU27,0)))/COUNTIF(H27:AU27,"&lt;&gt;"))</f>
        <v>0</v>
      </c>
      <c r="H27" s="111" t="s">
        <v>468</v>
      </c>
      <c r="I27" s="111" t="s">
        <v>2243</v>
      </c>
      <c r="J27" s="111" t="s">
        <v>2296</v>
      </c>
      <c r="K27" s="111" t="s">
        <v>2309</v>
      </c>
      <c r="L27" s="111" t="s">
        <v>2401</v>
      </c>
      <c r="M27" s="111" t="s">
        <v>2408</v>
      </c>
      <c r="N27" s="111" t="s">
        <v>2415</v>
      </c>
      <c r="O27" s="111" t="s">
        <v>2419</v>
      </c>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9"/>
    </row>
    <row r="28" spans="1:47" ht="60" customHeight="1" x14ac:dyDescent="0.35">
      <c r="A28" s="117" t="s">
        <v>3882</v>
      </c>
      <c r="B28" s="107" t="s">
        <v>3883</v>
      </c>
      <c r="C28" s="108" t="s">
        <v>3884</v>
      </c>
      <c r="D28" s="108" t="s">
        <v>28</v>
      </c>
      <c r="E28" s="108" t="s">
        <v>28</v>
      </c>
      <c r="F28" s="109" t="s">
        <v>3885</v>
      </c>
      <c r="G28" s="110" t="str">
        <f>IF(COUNTIF(H28:AU28,"&lt;&gt;")=0,"",SUMPRODUCT(((Recommendations[ImplStatus]="Implemented")+(Recommendations[ImplStatus]="Compensated"))*ISNUMBER(MATCH(Recommendations[Id],H28:AU28,0)))/COUNTIF(H28:AU28,"&lt;&gt;"))</f>
        <v/>
      </c>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9"/>
    </row>
    <row r="29" spans="1:47" ht="60" customHeight="1" x14ac:dyDescent="0.35">
      <c r="A29" s="117" t="s">
        <v>3886</v>
      </c>
      <c r="B29" s="107" t="s">
        <v>3887</v>
      </c>
      <c r="C29" s="108" t="s">
        <v>3888</v>
      </c>
      <c r="D29" s="108" t="s">
        <v>3889</v>
      </c>
      <c r="E29" s="108" t="s">
        <v>3890</v>
      </c>
      <c r="F29" s="109" t="s">
        <v>3891</v>
      </c>
      <c r="G29" s="110">
        <f>IF(COUNTIF(H29:AU29,"&lt;&gt;")=0,"",SUMPRODUCT(((Recommendations[ImplStatus]="Implemented")+(Recommendations[ImplStatus]="Compensated"))*ISNUMBER(MATCH(Recommendations[Id],H29:AU29,0)))/COUNTIF(H29:AU29,"&lt;&gt;"))</f>
        <v>0</v>
      </c>
      <c r="H29" s="111" t="s">
        <v>77</v>
      </c>
      <c r="I29" s="111" t="s">
        <v>1449</v>
      </c>
      <c r="J29" s="111" t="s">
        <v>1806</v>
      </c>
      <c r="K29" s="111" t="s">
        <v>2426</v>
      </c>
      <c r="L29" s="111" t="s">
        <v>2433</v>
      </c>
      <c r="M29" s="111" t="s">
        <v>2440</v>
      </c>
      <c r="N29" s="111" t="s">
        <v>2447</v>
      </c>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9"/>
    </row>
    <row r="30" spans="1:47" ht="60" customHeight="1" x14ac:dyDescent="0.35">
      <c r="A30" s="117" t="s">
        <v>3892</v>
      </c>
      <c r="B30" s="107" t="s">
        <v>3893</v>
      </c>
      <c r="C30" s="108" t="s">
        <v>3894</v>
      </c>
      <c r="D30" s="108" t="s">
        <v>3895</v>
      </c>
      <c r="E30" s="108" t="s">
        <v>28</v>
      </c>
      <c r="F30" s="109" t="s">
        <v>3896</v>
      </c>
      <c r="G30" s="110" t="str">
        <f>IF(COUNTIF(H30:AU30,"&lt;&gt;")=0,"",SUMPRODUCT(((Recommendations[ImplStatus]="Implemented")+(Recommendations[ImplStatus]="Compensated"))*ISNUMBER(MATCH(Recommendations[Id],H30:AU30,0)))/COUNTIF(H30:AU30,"&lt;&gt;"))</f>
        <v/>
      </c>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9"/>
    </row>
    <row r="31" spans="1:47" ht="60" customHeight="1" x14ac:dyDescent="0.35">
      <c r="A31" s="117" t="s">
        <v>3897</v>
      </c>
      <c r="B31" s="107" t="s">
        <v>3898</v>
      </c>
      <c r="C31" s="108" t="s">
        <v>3899</v>
      </c>
      <c r="D31" s="108" t="s">
        <v>3900</v>
      </c>
      <c r="E31" s="108" t="s">
        <v>3901</v>
      </c>
      <c r="F31" s="109" t="s">
        <v>3902</v>
      </c>
      <c r="G31" s="110">
        <f>IF(COUNTIF(H31:AU31,"&lt;&gt;")=0,"",SUMPRODUCT(((Recommendations[ImplStatus]="Implemented")+(Recommendations[ImplStatus]="Compensated"))*ISNUMBER(MATCH(Recommendations[Id],H31:AU31,0)))/COUNTIF(H31:AU31,"&lt;&gt;"))</f>
        <v>0</v>
      </c>
      <c r="H31" s="111" t="s">
        <v>51</v>
      </c>
      <c r="I31" s="111" t="s">
        <v>204</v>
      </c>
      <c r="J31" s="111" t="s">
        <v>2454</v>
      </c>
      <c r="K31" s="111" t="s">
        <v>2461</v>
      </c>
      <c r="L31" s="111" t="s">
        <v>2468</v>
      </c>
      <c r="M31" s="111" t="s">
        <v>2472</v>
      </c>
      <c r="N31" s="111" t="s">
        <v>2476</v>
      </c>
      <c r="O31" s="111" t="s">
        <v>2483</v>
      </c>
      <c r="P31" s="111" t="s">
        <v>2490</v>
      </c>
      <c r="Q31" s="111" t="s">
        <v>2519</v>
      </c>
      <c r="R31" s="111" t="s">
        <v>2530</v>
      </c>
      <c r="S31" s="111" t="s">
        <v>2663</v>
      </c>
      <c r="T31" s="111" t="s">
        <v>2670</v>
      </c>
      <c r="U31" s="111" t="s">
        <v>2677</v>
      </c>
      <c r="V31" s="111" t="s">
        <v>2684</v>
      </c>
      <c r="W31" s="111" t="s">
        <v>2691</v>
      </c>
      <c r="X31" s="111" t="s">
        <v>2698</v>
      </c>
      <c r="Y31" s="111" t="s">
        <v>2705</v>
      </c>
      <c r="Z31" s="111" t="s">
        <v>2712</v>
      </c>
      <c r="AA31" s="111" t="s">
        <v>2719</v>
      </c>
      <c r="AB31" s="111" t="s">
        <v>2726</v>
      </c>
      <c r="AC31" s="111" t="s">
        <v>2733</v>
      </c>
      <c r="AD31" s="111" t="s">
        <v>2740</v>
      </c>
      <c r="AE31" s="111" t="s">
        <v>2754</v>
      </c>
      <c r="AF31" s="111" t="s">
        <v>2816</v>
      </c>
      <c r="AG31" s="111" t="s">
        <v>2856</v>
      </c>
      <c r="AH31" s="111"/>
      <c r="AI31" s="111"/>
      <c r="AJ31" s="111"/>
      <c r="AK31" s="111"/>
      <c r="AL31" s="111"/>
      <c r="AM31" s="111"/>
      <c r="AN31" s="111"/>
      <c r="AO31" s="111"/>
      <c r="AP31" s="111"/>
      <c r="AQ31" s="111"/>
      <c r="AR31" s="111"/>
      <c r="AS31" s="111"/>
      <c r="AT31" s="111"/>
      <c r="AU31" s="119"/>
    </row>
    <row r="32" spans="1:47" ht="60" customHeight="1" x14ac:dyDescent="0.35">
      <c r="A32" s="117" t="s">
        <v>3903</v>
      </c>
      <c r="B32" s="107" t="s">
        <v>3904</v>
      </c>
      <c r="C32" s="108" t="s">
        <v>3905</v>
      </c>
      <c r="D32" s="108" t="s">
        <v>3906</v>
      </c>
      <c r="E32" s="108" t="s">
        <v>3907</v>
      </c>
      <c r="F32" s="109" t="s">
        <v>3908</v>
      </c>
      <c r="G32" s="110">
        <f>IF(COUNTIF(H32:AU32,"&lt;&gt;")=0,"",SUMPRODUCT(((Recommendations[ImplStatus]="Implemented")+(Recommendations[ImplStatus]="Compensated"))*ISNUMBER(MATCH(Recommendations[Id],H32:AU32,0)))/COUNTIF(H32:AU32,"&lt;&gt;"))</f>
        <v>0</v>
      </c>
      <c r="H32" s="111" t="s">
        <v>320</v>
      </c>
      <c r="I32" s="111" t="s">
        <v>2497</v>
      </c>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9"/>
    </row>
    <row r="33" spans="1:47" ht="60" customHeight="1" x14ac:dyDescent="0.35">
      <c r="A33" s="117" t="s">
        <v>3909</v>
      </c>
      <c r="B33" s="107" t="s">
        <v>3910</v>
      </c>
      <c r="C33" s="108" t="s">
        <v>3911</v>
      </c>
      <c r="D33" s="108" t="s">
        <v>3912</v>
      </c>
      <c r="E33" s="108" t="s">
        <v>28</v>
      </c>
      <c r="F33" s="109" t="s">
        <v>3913</v>
      </c>
      <c r="G33" s="110" t="str">
        <f>IF(COUNTIF(H33:AU33,"&lt;&gt;")=0,"",SUMPRODUCT(((Recommendations[ImplStatus]="Implemented")+(Recommendations[ImplStatus]="Compensated"))*ISNUMBER(MATCH(Recommendations[Id],H33:AU33,0)))/COUNTIF(H33:AU33,"&lt;&gt;"))</f>
        <v/>
      </c>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9"/>
    </row>
    <row r="34" spans="1:47" ht="60" customHeight="1" x14ac:dyDescent="0.35">
      <c r="A34" s="117" t="s">
        <v>3914</v>
      </c>
      <c r="B34" s="107" t="s">
        <v>3915</v>
      </c>
      <c r="C34" s="108" t="s">
        <v>3916</v>
      </c>
      <c r="D34" s="108" t="s">
        <v>3917</v>
      </c>
      <c r="E34" s="108" t="s">
        <v>28</v>
      </c>
      <c r="F34" s="109" t="s">
        <v>3918</v>
      </c>
      <c r="G34" s="110" t="str">
        <f>IF(COUNTIF(H34:AU34,"&lt;&gt;")=0,"",SUMPRODUCT(((Recommendations[ImplStatus]="Implemented")+(Recommendations[ImplStatus]="Compensated"))*ISNUMBER(MATCH(Recommendations[Id],H34:AU34,0)))/COUNTIF(H34:AU34,"&lt;&gt;"))</f>
        <v/>
      </c>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9"/>
    </row>
    <row r="35" spans="1:47" ht="60" customHeight="1" x14ac:dyDescent="0.35">
      <c r="A35" s="117" t="s">
        <v>3919</v>
      </c>
      <c r="B35" s="107" t="s">
        <v>3920</v>
      </c>
      <c r="C35" s="108" t="s">
        <v>3921</v>
      </c>
      <c r="D35" s="108" t="s">
        <v>3922</v>
      </c>
      <c r="E35" s="108" t="s">
        <v>3923</v>
      </c>
      <c r="F35" s="109" t="s">
        <v>3924</v>
      </c>
      <c r="G35" s="110" t="str">
        <f>IF(COUNTIF(H35:AU35,"&lt;&gt;")=0,"",SUMPRODUCT(((Recommendations[ImplStatus]="Implemented")+(Recommendations[ImplStatus]="Compensated"))*ISNUMBER(MATCH(Recommendations[Id],H35:AU35,0)))/COUNTIF(H35:AU35,"&lt;&gt;"))</f>
        <v/>
      </c>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9"/>
    </row>
    <row r="36" spans="1:47" ht="60" customHeight="1" x14ac:dyDescent="0.35">
      <c r="A36" s="117" t="s">
        <v>3925</v>
      </c>
      <c r="B36" s="107" t="s">
        <v>3926</v>
      </c>
      <c r="C36" s="108" t="s">
        <v>3927</v>
      </c>
      <c r="D36" s="108" t="s">
        <v>3928</v>
      </c>
      <c r="E36" s="108" t="s">
        <v>3929</v>
      </c>
      <c r="F36" s="109" t="s">
        <v>3930</v>
      </c>
      <c r="G36" s="110" t="str">
        <f>IF(COUNTIF(H36:AU36,"&lt;&gt;")=0,"",SUMPRODUCT(((Recommendations[ImplStatus]="Implemented")+(Recommendations[ImplStatus]="Compensated"))*ISNUMBER(MATCH(Recommendations[Id],H36:AU36,0)))/COUNTIF(H36:AU36,"&lt;&gt;"))</f>
        <v/>
      </c>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9"/>
    </row>
    <row r="37" spans="1:47" ht="60" customHeight="1" x14ac:dyDescent="0.35">
      <c r="A37" s="117" t="s">
        <v>3931</v>
      </c>
      <c r="B37" s="107" t="s">
        <v>3932</v>
      </c>
      <c r="C37" s="108" t="s">
        <v>3933</v>
      </c>
      <c r="D37" s="108" t="s">
        <v>3934</v>
      </c>
      <c r="E37" s="108" t="s">
        <v>28</v>
      </c>
      <c r="F37" s="109" t="s">
        <v>3935</v>
      </c>
      <c r="G37" s="110">
        <f>IF(COUNTIF(H37:AU37,"&lt;&gt;")=0,"",SUMPRODUCT(((Recommendations[ImplStatus]="Implemented")+(Recommendations[ImplStatus]="Compensated"))*ISNUMBER(MATCH(Recommendations[Id],H37:AU37,0)))/COUNTIF(H37:AU37,"&lt;&gt;"))</f>
        <v>0</v>
      </c>
      <c r="H37" s="111" t="s">
        <v>115</v>
      </c>
      <c r="I37" s="111" t="s">
        <v>412</v>
      </c>
      <c r="J37" s="111" t="s">
        <v>425</v>
      </c>
      <c r="K37" s="111" t="s">
        <v>433</v>
      </c>
      <c r="L37" s="111" t="s">
        <v>514</v>
      </c>
      <c r="M37" s="111" t="s">
        <v>543</v>
      </c>
      <c r="N37" s="111" t="s">
        <v>557</v>
      </c>
      <c r="O37" s="111" t="s">
        <v>570</v>
      </c>
      <c r="P37" s="111" t="s">
        <v>582</v>
      </c>
      <c r="Q37" s="111" t="s">
        <v>591</v>
      </c>
      <c r="R37" s="111" t="s">
        <v>600</v>
      </c>
      <c r="S37" s="111" t="s">
        <v>618</v>
      </c>
      <c r="T37" s="111" t="s">
        <v>626</v>
      </c>
      <c r="U37" s="111" t="s">
        <v>636</v>
      </c>
      <c r="V37" s="111" t="s">
        <v>649</v>
      </c>
      <c r="W37" s="111" t="s">
        <v>660</v>
      </c>
      <c r="X37" s="111" t="s">
        <v>668</v>
      </c>
      <c r="Y37" s="111" t="s">
        <v>676</v>
      </c>
      <c r="Z37" s="111" t="s">
        <v>684</v>
      </c>
      <c r="AA37" s="111" t="s">
        <v>692</v>
      </c>
      <c r="AB37" s="111" t="s">
        <v>700</v>
      </c>
      <c r="AC37" s="111" t="s">
        <v>708</v>
      </c>
      <c r="AD37" s="111" t="s">
        <v>716</v>
      </c>
      <c r="AE37" s="111" t="s">
        <v>724</v>
      </c>
      <c r="AF37" s="111" t="s">
        <v>732</v>
      </c>
      <c r="AG37" s="111" t="s">
        <v>740</v>
      </c>
      <c r="AH37" s="111" t="s">
        <v>748</v>
      </c>
      <c r="AI37" s="111" t="s">
        <v>756</v>
      </c>
      <c r="AJ37" s="111" t="s">
        <v>764</v>
      </c>
      <c r="AK37" s="111" t="s">
        <v>772</v>
      </c>
      <c r="AL37" s="111" t="s">
        <v>780</v>
      </c>
      <c r="AM37" s="111" t="s">
        <v>783</v>
      </c>
      <c r="AN37" s="111" t="s">
        <v>791</v>
      </c>
      <c r="AO37" s="111" t="s">
        <v>799</v>
      </c>
      <c r="AP37" s="111" t="s">
        <v>807</v>
      </c>
      <c r="AQ37" s="111" t="s">
        <v>815</v>
      </c>
      <c r="AR37" s="111" t="s">
        <v>823</v>
      </c>
      <c r="AS37" s="111" t="s">
        <v>831</v>
      </c>
      <c r="AT37" s="111" t="s">
        <v>839</v>
      </c>
      <c r="AU37" s="119" t="s">
        <v>847</v>
      </c>
    </row>
    <row r="38" spans="1:47" ht="60" customHeight="1" x14ac:dyDescent="0.35">
      <c r="A38" s="117" t="s">
        <v>3936</v>
      </c>
      <c r="B38" s="107" t="s">
        <v>3937</v>
      </c>
      <c r="C38" s="108" t="s">
        <v>3938</v>
      </c>
      <c r="D38" s="108" t="s">
        <v>3939</v>
      </c>
      <c r="E38" s="108" t="s">
        <v>3940</v>
      </c>
      <c r="F38" s="109" t="s">
        <v>3941</v>
      </c>
      <c r="G38" s="110" t="str">
        <f>IF(COUNTIF(H38:AU38,"&lt;&gt;")=0,"",SUMPRODUCT(((Recommendations[ImplStatus]="Implemented")+(Recommendations[ImplStatus]="Compensated"))*ISNUMBER(MATCH(Recommendations[Id],H38:AU38,0)))/COUNTIF(H38:AU38,"&lt;&gt;"))</f>
        <v/>
      </c>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9"/>
    </row>
    <row r="39" spans="1:47" ht="60" customHeight="1" x14ac:dyDescent="0.35">
      <c r="A39" s="117" t="s">
        <v>3942</v>
      </c>
      <c r="B39" s="107" t="s">
        <v>3943</v>
      </c>
      <c r="C39" s="108" t="s">
        <v>3944</v>
      </c>
      <c r="D39" s="108" t="s">
        <v>3945</v>
      </c>
      <c r="E39" s="108" t="s">
        <v>28</v>
      </c>
      <c r="F39" s="109" t="s">
        <v>3946</v>
      </c>
      <c r="G39" s="110" t="str">
        <f>IF(COUNTIF(H39:AU39,"&lt;&gt;")=0,"",SUMPRODUCT(((Recommendations[ImplStatus]="Implemented")+(Recommendations[ImplStatus]="Compensated"))*ISNUMBER(MATCH(Recommendations[Id],H39:AU39,0)))/COUNTIF(H39:AU39,"&lt;&gt;"))</f>
        <v/>
      </c>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9"/>
    </row>
    <row r="40" spans="1:47" ht="60" customHeight="1" x14ac:dyDescent="0.35">
      <c r="A40" s="117" t="s">
        <v>3947</v>
      </c>
      <c r="B40" s="107" t="s">
        <v>3948</v>
      </c>
      <c r="C40" s="108" t="s">
        <v>3949</v>
      </c>
      <c r="D40" s="108" t="s">
        <v>3950</v>
      </c>
      <c r="E40" s="108" t="s">
        <v>3951</v>
      </c>
      <c r="F40" s="109" t="s">
        <v>3952</v>
      </c>
      <c r="G40" s="110" t="str">
        <f>IF(COUNTIF(H40:AU40,"&lt;&gt;")=0,"",SUMPRODUCT(((Recommendations[ImplStatus]="Implemented")+(Recommendations[ImplStatus]="Compensated"))*ISNUMBER(MATCH(Recommendations[Id],H40:AU40,0)))/COUNTIF(H40:AU40,"&lt;&gt;"))</f>
        <v/>
      </c>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9"/>
    </row>
    <row r="41" spans="1:47" ht="60" customHeight="1" x14ac:dyDescent="0.35">
      <c r="A41" s="117" t="s">
        <v>3953</v>
      </c>
      <c r="B41" s="107" t="s">
        <v>3954</v>
      </c>
      <c r="C41" s="108" t="s">
        <v>3955</v>
      </c>
      <c r="D41" s="108" t="s">
        <v>3956</v>
      </c>
      <c r="E41" s="108" t="s">
        <v>3957</v>
      </c>
      <c r="F41" s="109" t="s">
        <v>3958</v>
      </c>
      <c r="G41" s="110" t="str">
        <f>IF(COUNTIF(H41:AU41,"&lt;&gt;")=0,"",SUMPRODUCT(((Recommendations[ImplStatus]="Implemented")+(Recommendations[ImplStatus]="Compensated"))*ISNUMBER(MATCH(Recommendations[Id],H41:AU41,0)))/COUNTIF(H41:AU41,"&lt;&gt;"))</f>
        <v/>
      </c>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9"/>
    </row>
    <row r="42" spans="1:47" ht="60" customHeight="1" x14ac:dyDescent="0.35">
      <c r="A42" s="117" t="s">
        <v>3959</v>
      </c>
      <c r="B42" s="107" t="s">
        <v>3960</v>
      </c>
      <c r="C42" s="108" t="s">
        <v>3961</v>
      </c>
      <c r="D42" s="108" t="s">
        <v>3962</v>
      </c>
      <c r="E42" s="108" t="s">
        <v>3963</v>
      </c>
      <c r="F42" s="109" t="s">
        <v>3964</v>
      </c>
      <c r="G42" s="110" t="str">
        <f>IF(COUNTIF(H42:AU42,"&lt;&gt;")=0,"",SUMPRODUCT(((Recommendations[ImplStatus]="Implemented")+(Recommendations[ImplStatus]="Compensated"))*ISNUMBER(MATCH(Recommendations[Id],H42:AU42,0)))/COUNTIF(H42:AU42,"&lt;&gt;"))</f>
        <v/>
      </c>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9"/>
    </row>
    <row r="43" spans="1:47" ht="60" customHeight="1" x14ac:dyDescent="0.35">
      <c r="A43" s="117" t="s">
        <v>3965</v>
      </c>
      <c r="B43" s="107" t="s">
        <v>3966</v>
      </c>
      <c r="C43" s="108" t="s">
        <v>3967</v>
      </c>
      <c r="D43" s="108" t="s">
        <v>3968</v>
      </c>
      <c r="E43" s="108" t="s">
        <v>3969</v>
      </c>
      <c r="F43" s="109" t="s">
        <v>3970</v>
      </c>
      <c r="G43" s="110" t="str">
        <f>IF(COUNTIF(H43:AU43,"&lt;&gt;")=0,"",SUMPRODUCT(((Recommendations[ImplStatus]="Implemented")+(Recommendations[ImplStatus]="Compensated"))*ISNUMBER(MATCH(Recommendations[Id],H43:AU43,0)))/COUNTIF(H43:AU43,"&lt;&gt;"))</f>
        <v/>
      </c>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9"/>
    </row>
    <row r="44" spans="1:47" ht="60" customHeight="1" x14ac:dyDescent="0.35">
      <c r="A44" s="117" t="s">
        <v>3971</v>
      </c>
      <c r="B44" s="107" t="s">
        <v>3972</v>
      </c>
      <c r="C44" s="108" t="s">
        <v>3973</v>
      </c>
      <c r="D44" s="108" t="s">
        <v>3974</v>
      </c>
      <c r="E44" s="108" t="s">
        <v>28</v>
      </c>
      <c r="F44" s="109" t="s">
        <v>3975</v>
      </c>
      <c r="G44" s="110">
        <f>IF(COUNTIF(H44:AU44,"&lt;&gt;")=0,"",SUMPRODUCT(((Recommendations[ImplStatus]="Implemented")+(Recommendations[ImplStatus]="Compensated"))*ISNUMBER(MATCH(Recommendations[Id],H44:AU44,0)))/COUNTIF(H44:AU44,"&lt;&gt;"))</f>
        <v>0</v>
      </c>
      <c r="H44" s="111" t="s">
        <v>2366</v>
      </c>
      <c r="I44" s="111" t="s">
        <v>2584</v>
      </c>
      <c r="J44" s="111" t="s">
        <v>2588</v>
      </c>
      <c r="K44" s="111" t="s">
        <v>2591</v>
      </c>
      <c r="L44" s="111" t="s">
        <v>2594</v>
      </c>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9"/>
    </row>
    <row r="45" spans="1:47" ht="60" customHeight="1" x14ac:dyDescent="0.35">
      <c r="A45" s="118" t="s">
        <v>3976</v>
      </c>
      <c r="B45" s="112" t="s">
        <v>3977</v>
      </c>
      <c r="C45" s="113" t="s">
        <v>3978</v>
      </c>
      <c r="D45" s="113" t="s">
        <v>3979</v>
      </c>
      <c r="E45" s="113" t="s">
        <v>3980</v>
      </c>
      <c r="F45" s="114" t="s">
        <v>3981</v>
      </c>
      <c r="G45" s="115" t="str">
        <f>IF(COUNTIF(H45:AU45,"&lt;&gt;")=0,"",SUMPRODUCT(((Recommendations[ImplStatus]="Implemented")+(Recommendations[ImplStatus]="Compensated"))*ISNUMBER(MATCH(Recommendations[Id],H45:AU45,0)))/COUNTIF(H45:AU45,"&lt;&gt;"))</f>
        <v/>
      </c>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20"/>
    </row>
    <row r="49" spans="1:4" ht="32" customHeight="1" x14ac:dyDescent="0.35">
      <c r="A49" s="266" t="s">
        <v>2861</v>
      </c>
      <c r="B49" s="266"/>
      <c r="C49" s="266"/>
      <c r="D49" s="266"/>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IFERROR(INDEX('Recommendations'!$G$2:$G$365, MATCH(H2,'Recommendations'!$B$2:$B$365,0))="Implemented", FALSE))</xm:f>
            <x14:dxf>
              <font>
                <color rgb="FF000000"/>
              </font>
              <fill>
                <patternFill>
                  <bgColor rgb="FF3C7D22"/>
                </patternFill>
              </fill>
            </x14:dxf>
          </x14:cfRule>
          <x14:cfRule type="expression" priority="2" id="{00000000-000E-0000-0500-000002000000}">
            <xm:f>AND(H2&lt;&gt;"", IFERROR(INDEX('Recommendations'!$G$2:$G$365, MATCH(H2,'Recommendations'!$B$2:$B$365,0))="Compensated", FALSE))</xm:f>
            <x14:dxf>
              <font>
                <color rgb="FF000000"/>
              </font>
              <fill>
                <patternFill>
                  <bgColor rgb="FFC6E0B4"/>
                </patternFill>
              </fill>
            </x14:dxf>
          </x14:cfRule>
          <x14:cfRule type="expression" priority="3" id="{00000000-000E-0000-0500-000003000000}">
            <xm:f>AND(H2&lt;&gt;"", IFERROR(INDEX('Recommendations'!$G$2:$G$365, MATCH(H2,'Recommendations'!$B$2:$B$365,0))="Testing", FALSE))</xm:f>
            <x14:dxf>
              <font>
                <color rgb="FF000000"/>
              </font>
              <fill>
                <patternFill>
                  <bgColor rgb="FFFFC000"/>
                </patternFill>
              </fill>
            </x14:dxf>
          </x14:cfRule>
          <x14:cfRule type="expression" priority="4" id="{00000000-000E-0000-0500-000004000000}">
            <xm:f>AND(H2&lt;&gt;"", IFERROR(INDEX('Recommendations'!$G$2:$G$365, MATCH(H2,'Recommendations'!$B$2:$B$365,0))="Failed", FALSE))</xm:f>
            <x14:dxf>
              <font>
                <color rgb="FF000000"/>
              </font>
              <fill>
                <patternFill>
                  <bgColor rgb="FFD82891"/>
                </patternFill>
              </fill>
            </x14:dxf>
          </x14:cfRule>
          <x14:cfRule type="expression" priority="5" id="{00000000-000E-0000-0500-000005000000}">
            <xm:f>AND(H2&lt;&gt;"", IFERROR(INDEX('Recommendations'!$G$2:$G$365, MATCH(H2,'Recommendations'!$B$2:$B$365,0))="Risk Accepted", FALSE))</xm:f>
            <x14:dxf>
              <font>
                <color rgb="FF000000"/>
              </font>
              <fill>
                <patternFill>
                  <bgColor rgb="FFD9D9D9"/>
                </patternFill>
              </fill>
            </x14:dxf>
          </x14:cfRule>
          <x14:cfRule type="expression" priority="6" id="{00000000-000E-0000-0500-000006000000}">
            <xm:f>AND(H2&lt;&gt;"", IFERROR(INDEX('Recommendations'!$G$2:$G$365, MATCH(H2,'Recommendations'!$B$2:$B$365,0))="N/A",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5" t="s">
        <v>3982</v>
      </c>
      <c r="B1" s="146" t="s">
        <v>3091</v>
      </c>
      <c r="C1" s="146" t="s">
        <v>1</v>
      </c>
      <c r="D1" s="146" t="s">
        <v>3092</v>
      </c>
      <c r="E1" s="146" t="s">
        <v>3983</v>
      </c>
      <c r="F1" s="146" t="s">
        <v>3984</v>
      </c>
      <c r="G1" s="146" t="s">
        <v>3985</v>
      </c>
      <c r="H1" s="146" t="s">
        <v>3986</v>
      </c>
      <c r="I1" s="146" t="s">
        <v>3097</v>
      </c>
      <c r="J1" s="146" t="s">
        <v>3098</v>
      </c>
      <c r="K1" s="146" t="s">
        <v>3099</v>
      </c>
      <c r="L1" s="146" t="s">
        <v>3100</v>
      </c>
      <c r="M1" s="146" t="s">
        <v>3101</v>
      </c>
      <c r="N1" s="146" t="s">
        <v>3102</v>
      </c>
      <c r="O1" s="146" t="s">
        <v>3103</v>
      </c>
      <c r="P1" s="146" t="s">
        <v>3104</v>
      </c>
      <c r="Q1" s="146" t="s">
        <v>3105</v>
      </c>
      <c r="R1" s="146" t="s">
        <v>3106</v>
      </c>
      <c r="S1" s="146" t="s">
        <v>3107</v>
      </c>
      <c r="T1" s="146" t="s">
        <v>3108</v>
      </c>
      <c r="U1" s="146" t="s">
        <v>3109</v>
      </c>
      <c r="V1" s="146" t="s">
        <v>3110</v>
      </c>
      <c r="W1" s="146" t="s">
        <v>3111</v>
      </c>
      <c r="X1" s="146" t="s">
        <v>3112</v>
      </c>
      <c r="Y1" s="146" t="s">
        <v>3113</v>
      </c>
      <c r="Z1" s="146" t="s">
        <v>3114</v>
      </c>
      <c r="AA1" s="146" t="s">
        <v>3115</v>
      </c>
      <c r="AB1" s="146" t="s">
        <v>3116</v>
      </c>
      <c r="AC1" s="146" t="s">
        <v>3117</v>
      </c>
      <c r="AD1" s="146" t="s">
        <v>3118</v>
      </c>
      <c r="AE1" s="146" t="s">
        <v>3119</v>
      </c>
      <c r="AF1" s="146" t="s">
        <v>3120</v>
      </c>
      <c r="AG1" s="146" t="s">
        <v>3121</v>
      </c>
      <c r="AH1" s="146" t="s">
        <v>3122</v>
      </c>
      <c r="AI1" s="146" t="s">
        <v>3123</v>
      </c>
      <c r="AJ1" s="146" t="s">
        <v>3124</v>
      </c>
      <c r="AK1" s="146" t="s">
        <v>3125</v>
      </c>
      <c r="AL1" s="146" t="s">
        <v>3126</v>
      </c>
      <c r="AM1" s="146" t="s">
        <v>3127</v>
      </c>
      <c r="AN1" s="146" t="s">
        <v>3128</v>
      </c>
      <c r="AO1" s="146" t="s">
        <v>3129</v>
      </c>
      <c r="AP1" s="146" t="s">
        <v>3130</v>
      </c>
      <c r="AQ1" s="146" t="s">
        <v>3131</v>
      </c>
      <c r="AR1" s="146" t="s">
        <v>3132</v>
      </c>
      <c r="AS1" s="146" t="s">
        <v>3133</v>
      </c>
      <c r="AT1" s="146" t="s">
        <v>3134</v>
      </c>
      <c r="AU1" s="146" t="s">
        <v>3135</v>
      </c>
      <c r="AV1" s="146" t="s">
        <v>3136</v>
      </c>
      <c r="AW1" s="147" t="s">
        <v>3137</v>
      </c>
    </row>
    <row r="2" spans="1:49" ht="60" customHeight="1" outlineLevel="1" x14ac:dyDescent="0.35">
      <c r="A2" s="139" t="s">
        <v>3987</v>
      </c>
      <c r="B2" s="125"/>
      <c r="C2" s="124" t="s">
        <v>3988</v>
      </c>
      <c r="D2" s="128"/>
      <c r="E2" s="128"/>
      <c r="F2" s="128"/>
      <c r="G2" s="128"/>
      <c r="H2" s="128"/>
      <c r="I2" s="130" t="str">
        <f>IF(COUNTIF(J2:AW2,"&lt;&gt;")=0,"",SUMPRODUCT(((Recommendations[ImplStatus]="Implemented")+(Recommendations[ImplStatus]="Compensated"))*ISNUMBER(MATCH(Recommendations[Id],J2:AW2,0)))/COUNTIF(J2:AW2,"&lt;&gt;"))</f>
        <v/>
      </c>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42"/>
    </row>
    <row r="3" spans="1:49" ht="60" customHeight="1" x14ac:dyDescent="0.35">
      <c r="A3" s="140" t="s">
        <v>3987</v>
      </c>
      <c r="B3" s="126" t="s">
        <v>3294</v>
      </c>
      <c r="C3" s="127" t="s">
        <v>3989</v>
      </c>
      <c r="D3" s="129" t="s">
        <v>3990</v>
      </c>
      <c r="E3" s="129" t="s">
        <v>3991</v>
      </c>
      <c r="F3" s="129" t="s">
        <v>3992</v>
      </c>
      <c r="G3" s="129" t="s">
        <v>3993</v>
      </c>
      <c r="H3" s="129" t="s">
        <v>3994</v>
      </c>
      <c r="I3" s="131">
        <f>IF(COUNTIF(J3:AW3,"&lt;&gt;")=0,"",SUMPRODUCT(((Recommendations[ImplStatus]="Implemented")+(Recommendations[ImplStatus]="Compensated"))*ISNUMBER(MATCH(Recommendations[Id],J3:AW3,0)))/COUNTIF(J3:AW3,"&lt;&gt;"))</f>
        <v>0</v>
      </c>
      <c r="J3" s="133" t="s">
        <v>2640</v>
      </c>
      <c r="K3" s="133" t="s">
        <v>2649</v>
      </c>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43"/>
    </row>
    <row r="4" spans="1:49" ht="60" customHeight="1" x14ac:dyDescent="0.35">
      <c r="A4" s="140" t="s">
        <v>3987</v>
      </c>
      <c r="B4" s="126" t="s">
        <v>3995</v>
      </c>
      <c r="C4" s="127" t="s">
        <v>3996</v>
      </c>
      <c r="D4" s="129" t="s">
        <v>3997</v>
      </c>
      <c r="E4" s="129" t="s">
        <v>3998</v>
      </c>
      <c r="F4" s="129" t="s">
        <v>3999</v>
      </c>
      <c r="G4" s="129" t="s">
        <v>4000</v>
      </c>
      <c r="H4" s="129" t="s">
        <v>4001</v>
      </c>
      <c r="I4" s="131">
        <f>IF(COUNTIF(J4:AW4,"&lt;&gt;")=0,"",SUMPRODUCT(((Recommendations[ImplStatus]="Implemented")+(Recommendations[ImplStatus]="Compensated"))*ISNUMBER(MATCH(Recommendations[Id],J4:AW4,0)))/COUNTIF(J4:AW4,"&lt;&gt;"))</f>
        <v>0</v>
      </c>
      <c r="J4" s="133" t="s">
        <v>51</v>
      </c>
      <c r="K4" s="133" t="s">
        <v>385</v>
      </c>
      <c r="L4" s="133" t="s">
        <v>1508</v>
      </c>
      <c r="M4" s="133" t="s">
        <v>1519</v>
      </c>
      <c r="N4" s="133" t="s">
        <v>1530</v>
      </c>
      <c r="O4" s="133" t="s">
        <v>2243</v>
      </c>
      <c r="P4" s="133" t="s">
        <v>2296</v>
      </c>
      <c r="Q4" s="133" t="s">
        <v>2309</v>
      </c>
      <c r="R4" s="133" t="s">
        <v>2401</v>
      </c>
      <c r="S4" s="133" t="s">
        <v>2408</v>
      </c>
      <c r="T4" s="133" t="s">
        <v>2415</v>
      </c>
      <c r="U4" s="133" t="s">
        <v>2419</v>
      </c>
      <c r="V4" s="133" t="s">
        <v>2684</v>
      </c>
      <c r="W4" s="133" t="s">
        <v>2691</v>
      </c>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43"/>
    </row>
    <row r="5" spans="1:49" ht="60" customHeight="1" x14ac:dyDescent="0.35">
      <c r="A5" s="140" t="s">
        <v>3987</v>
      </c>
      <c r="B5" s="126" t="s">
        <v>4002</v>
      </c>
      <c r="C5" s="127" t="s">
        <v>4003</v>
      </c>
      <c r="D5" s="129" t="s">
        <v>4004</v>
      </c>
      <c r="E5" s="129" t="s">
        <v>4005</v>
      </c>
      <c r="F5" s="129" t="s">
        <v>4006</v>
      </c>
      <c r="G5" s="129" t="s">
        <v>4007</v>
      </c>
      <c r="H5" s="129" t="s">
        <v>4008</v>
      </c>
      <c r="I5" s="131" t="str">
        <f>IF(COUNTIF(J5:AW5,"&lt;&gt;")=0,"",SUMPRODUCT(((Recommendations[ImplStatus]="Implemented")+(Recommendations[ImplStatus]="Compensated"))*ISNUMBER(MATCH(Recommendations[Id],J5:AW5,0)))/COUNTIF(J5:AW5,"&lt;&gt;"))</f>
        <v/>
      </c>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43"/>
    </row>
    <row r="6" spans="1:49" ht="60" customHeight="1" x14ac:dyDescent="0.35">
      <c r="A6" s="140" t="s">
        <v>3987</v>
      </c>
      <c r="B6" s="126" t="s">
        <v>4009</v>
      </c>
      <c r="C6" s="127" t="s">
        <v>4010</v>
      </c>
      <c r="D6" s="129" t="s">
        <v>4011</v>
      </c>
      <c r="E6" s="129" t="s">
        <v>4012</v>
      </c>
      <c r="F6" s="129" t="s">
        <v>4013</v>
      </c>
      <c r="G6" s="129" t="s">
        <v>4014</v>
      </c>
      <c r="H6" s="129" t="s">
        <v>4015</v>
      </c>
      <c r="I6" s="131" t="str">
        <f>IF(COUNTIF(J6:AW6,"&lt;&gt;")=0,"",SUMPRODUCT(((Recommendations[ImplStatus]="Implemented")+(Recommendations[ImplStatus]="Compensated"))*ISNUMBER(MATCH(Recommendations[Id],J6:AW6,0)))/COUNTIF(J6:AW6,"&lt;&gt;"))</f>
        <v/>
      </c>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43"/>
    </row>
    <row r="7" spans="1:49" ht="60" customHeight="1" x14ac:dyDescent="0.35">
      <c r="A7" s="140" t="s">
        <v>3987</v>
      </c>
      <c r="B7" s="126" t="s">
        <v>4016</v>
      </c>
      <c r="C7" s="127" t="s">
        <v>4017</v>
      </c>
      <c r="D7" s="129" t="s">
        <v>4018</v>
      </c>
      <c r="E7" s="129" t="s">
        <v>4019</v>
      </c>
      <c r="F7" s="129" t="s">
        <v>4020</v>
      </c>
      <c r="G7" s="129" t="s">
        <v>4021</v>
      </c>
      <c r="H7" s="129" t="s">
        <v>4022</v>
      </c>
      <c r="I7" s="131">
        <f>IF(COUNTIF(J7:AW7,"&lt;&gt;")=0,"",SUMPRODUCT(((Recommendations[ImplStatus]="Implemented")+(Recommendations[ImplStatus]="Compensated"))*ISNUMBER(MATCH(Recommendations[Id],J7:AW7,0)))/COUNTIF(J7:AW7,"&lt;&gt;"))</f>
        <v>0</v>
      </c>
      <c r="J7" s="133" t="s">
        <v>51</v>
      </c>
      <c r="K7" s="133" t="s">
        <v>204</v>
      </c>
      <c r="L7" s="133" t="s">
        <v>468</v>
      </c>
      <c r="M7" s="133" t="s">
        <v>2454</v>
      </c>
      <c r="N7" s="133" t="s">
        <v>2461</v>
      </c>
      <c r="O7" s="133" t="s">
        <v>2468</v>
      </c>
      <c r="P7" s="133" t="s">
        <v>2472</v>
      </c>
      <c r="Q7" s="133" t="s">
        <v>2476</v>
      </c>
      <c r="R7" s="133" t="s">
        <v>2483</v>
      </c>
      <c r="S7" s="133" t="s">
        <v>2490</v>
      </c>
      <c r="T7" s="133" t="s">
        <v>2519</v>
      </c>
      <c r="U7" s="133" t="s">
        <v>2530</v>
      </c>
      <c r="V7" s="133" t="s">
        <v>2656</v>
      </c>
      <c r="W7" s="133" t="s">
        <v>2663</v>
      </c>
      <c r="X7" s="133" t="s">
        <v>2670</v>
      </c>
      <c r="Y7" s="133" t="s">
        <v>2677</v>
      </c>
      <c r="Z7" s="133" t="s">
        <v>2698</v>
      </c>
      <c r="AA7" s="133" t="s">
        <v>2705</v>
      </c>
      <c r="AB7" s="133" t="s">
        <v>2712</v>
      </c>
      <c r="AC7" s="133" t="s">
        <v>2719</v>
      </c>
      <c r="AD7" s="133" t="s">
        <v>2726</v>
      </c>
      <c r="AE7" s="133" t="s">
        <v>2733</v>
      </c>
      <c r="AF7" s="133" t="s">
        <v>2740</v>
      </c>
      <c r="AG7" s="133" t="s">
        <v>2747</v>
      </c>
      <c r="AH7" s="133" t="s">
        <v>2754</v>
      </c>
      <c r="AI7" s="133" t="s">
        <v>2856</v>
      </c>
      <c r="AJ7" s="133"/>
      <c r="AK7" s="133"/>
      <c r="AL7" s="133"/>
      <c r="AM7" s="133"/>
      <c r="AN7" s="133"/>
      <c r="AO7" s="133"/>
      <c r="AP7" s="133"/>
      <c r="AQ7" s="133"/>
      <c r="AR7" s="133"/>
      <c r="AS7" s="133"/>
      <c r="AT7" s="133"/>
      <c r="AU7" s="133"/>
      <c r="AV7" s="133"/>
      <c r="AW7" s="143"/>
    </row>
    <row r="8" spans="1:49" ht="60" customHeight="1" x14ac:dyDescent="0.35">
      <c r="A8" s="140" t="s">
        <v>3987</v>
      </c>
      <c r="B8" s="126" t="s">
        <v>4023</v>
      </c>
      <c r="C8" s="127" t="s">
        <v>4024</v>
      </c>
      <c r="D8" s="129" t="s">
        <v>4025</v>
      </c>
      <c r="E8" s="129" t="s">
        <v>4026</v>
      </c>
      <c r="F8" s="129" t="s">
        <v>4027</v>
      </c>
      <c r="G8" s="129" t="s">
        <v>4021</v>
      </c>
      <c r="H8" s="129" t="s">
        <v>4028</v>
      </c>
      <c r="I8" s="131" t="str">
        <f>IF(COUNTIF(J8:AW8,"&lt;&gt;")=0,"",SUMPRODUCT(((Recommendations[ImplStatus]="Implemented")+(Recommendations[ImplStatus]="Compensated"))*ISNUMBER(MATCH(Recommendations[Id],J8:AW8,0)))/COUNTIF(J8:AW8,"&lt;&gt;"))</f>
        <v/>
      </c>
      <c r="J8" s="133"/>
      <c r="K8" s="133"/>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43"/>
    </row>
    <row r="9" spans="1:49" ht="60" customHeight="1" x14ac:dyDescent="0.35">
      <c r="A9" s="140" t="s">
        <v>3987</v>
      </c>
      <c r="B9" s="126" t="s">
        <v>4029</v>
      </c>
      <c r="C9" s="127" t="s">
        <v>4030</v>
      </c>
      <c r="D9" s="129" t="s">
        <v>4031</v>
      </c>
      <c r="E9" s="129" t="s">
        <v>4032</v>
      </c>
      <c r="F9" s="129" t="s">
        <v>4033</v>
      </c>
      <c r="G9" s="129" t="s">
        <v>4034</v>
      </c>
      <c r="H9" s="129" t="s">
        <v>4035</v>
      </c>
      <c r="I9" s="131" t="str">
        <f>IF(COUNTIF(J9:AW9,"&lt;&gt;")=0,"",SUMPRODUCT(((Recommendations[ImplStatus]="Implemented")+(Recommendations[ImplStatus]="Compensated"))*ISNUMBER(MATCH(Recommendations[Id],J9:AW9,0)))/COUNTIF(J9:AW9,"&lt;&gt;"))</f>
        <v/>
      </c>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43"/>
    </row>
    <row r="10" spans="1:49" ht="60" customHeight="1" x14ac:dyDescent="0.35">
      <c r="A10" s="140" t="s">
        <v>3987</v>
      </c>
      <c r="B10" s="126" t="s">
        <v>4036</v>
      </c>
      <c r="C10" s="127" t="s">
        <v>4037</v>
      </c>
      <c r="D10" s="129" t="s">
        <v>4038</v>
      </c>
      <c r="E10" s="129" t="s">
        <v>4039</v>
      </c>
      <c r="F10" s="129" t="s">
        <v>4040</v>
      </c>
      <c r="G10" s="129" t="s">
        <v>4041</v>
      </c>
      <c r="H10" s="129" t="s">
        <v>4042</v>
      </c>
      <c r="I10" s="131" t="str">
        <f>IF(COUNTIF(J10:AW10,"&lt;&gt;")=0,"",SUMPRODUCT(((Recommendations[ImplStatus]="Implemented")+(Recommendations[ImplStatus]="Compensated"))*ISNUMBER(MATCH(Recommendations[Id],J10:AW10,0)))/COUNTIF(J10:AW10,"&lt;&gt;"))</f>
        <v/>
      </c>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43"/>
    </row>
    <row r="11" spans="1:49" ht="60" customHeight="1" x14ac:dyDescent="0.35">
      <c r="A11" s="140" t="s">
        <v>3987</v>
      </c>
      <c r="B11" s="126" t="s">
        <v>4043</v>
      </c>
      <c r="C11" s="127" t="s">
        <v>4044</v>
      </c>
      <c r="D11" s="129" t="s">
        <v>4045</v>
      </c>
      <c r="E11" s="129" t="s">
        <v>4046</v>
      </c>
      <c r="F11" s="129" t="s">
        <v>4047</v>
      </c>
      <c r="G11" s="129" t="s">
        <v>4048</v>
      </c>
      <c r="H11" s="129" t="s">
        <v>4049</v>
      </c>
      <c r="I11" s="131" t="str">
        <f>IF(COUNTIF(J11:AW11,"&lt;&gt;")=0,"",SUMPRODUCT(((Recommendations[ImplStatus]="Implemented")+(Recommendations[ImplStatus]="Compensated"))*ISNUMBER(MATCH(Recommendations[Id],J11:AW11,0)))/COUNTIF(J11:AW11,"&lt;&gt;"))</f>
        <v/>
      </c>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43"/>
    </row>
    <row r="12" spans="1:49" ht="60" customHeight="1" x14ac:dyDescent="0.35">
      <c r="A12" s="140" t="s">
        <v>3987</v>
      </c>
      <c r="B12" s="126" t="s">
        <v>2092</v>
      </c>
      <c r="C12" s="127" t="s">
        <v>4050</v>
      </c>
      <c r="D12" s="129" t="s">
        <v>4051</v>
      </c>
      <c r="E12" s="129" t="s">
        <v>4052</v>
      </c>
      <c r="F12" s="129" t="s">
        <v>4053</v>
      </c>
      <c r="G12" s="129" t="s">
        <v>4041</v>
      </c>
      <c r="H12" s="129" t="s">
        <v>4054</v>
      </c>
      <c r="I12" s="131">
        <f>IF(COUNTIF(J12:AW12,"&lt;&gt;")=0,"",SUMPRODUCT(((Recommendations[ImplStatus]="Implemented")+(Recommendations[ImplStatus]="Compensated"))*ISNUMBER(MATCH(Recommendations[Id],J12:AW12,0)))/COUNTIF(J12:AW12,"&lt;&gt;"))</f>
        <v>0</v>
      </c>
      <c r="J12" s="133" t="s">
        <v>23</v>
      </c>
      <c r="K12" s="133" t="s">
        <v>41</v>
      </c>
      <c r="L12" s="133" t="s">
        <v>222</v>
      </c>
      <c r="M12" s="133" t="s">
        <v>333</v>
      </c>
      <c r="N12" s="133" t="s">
        <v>346</v>
      </c>
      <c r="O12" s="133" t="s">
        <v>354</v>
      </c>
      <c r="P12" s="133" t="s">
        <v>363</v>
      </c>
      <c r="Q12" s="133" t="s">
        <v>1561</v>
      </c>
      <c r="R12" s="133" t="s">
        <v>1573</v>
      </c>
      <c r="S12" s="133" t="s">
        <v>2366</v>
      </c>
      <c r="T12" s="133" t="s">
        <v>2373</v>
      </c>
      <c r="U12" s="133" t="s">
        <v>2547</v>
      </c>
      <c r="V12" s="133" t="s">
        <v>2803</v>
      </c>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43"/>
    </row>
    <row r="13" spans="1:49" ht="60" customHeight="1" x14ac:dyDescent="0.35">
      <c r="A13" s="140" t="s">
        <v>3987</v>
      </c>
      <c r="B13" s="126" t="s">
        <v>4055</v>
      </c>
      <c r="C13" s="127" t="s">
        <v>4056</v>
      </c>
      <c r="D13" s="129" t="s">
        <v>4057</v>
      </c>
      <c r="E13" s="129" t="s">
        <v>4058</v>
      </c>
      <c r="F13" s="129" t="s">
        <v>4059</v>
      </c>
      <c r="G13" s="129" t="s">
        <v>4041</v>
      </c>
      <c r="H13" s="129" t="s">
        <v>4060</v>
      </c>
      <c r="I13" s="131" t="str">
        <f>IF(COUNTIF(J13:AW13,"&lt;&gt;")=0,"",SUMPRODUCT(((Recommendations[ImplStatus]="Implemented")+(Recommendations[ImplStatus]="Compensated"))*ISNUMBER(MATCH(Recommendations[Id],J13:AW13,0)))/COUNTIF(J13:AW13,"&lt;&gt;"))</f>
        <v/>
      </c>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43"/>
    </row>
    <row r="14" spans="1:49" ht="60" customHeight="1" x14ac:dyDescent="0.35">
      <c r="A14" s="140" t="s">
        <v>3987</v>
      </c>
      <c r="B14" s="126" t="s">
        <v>4061</v>
      </c>
      <c r="C14" s="127" t="s">
        <v>4062</v>
      </c>
      <c r="D14" s="129" t="s">
        <v>4063</v>
      </c>
      <c r="E14" s="129" t="s">
        <v>4064</v>
      </c>
      <c r="F14" s="129" t="s">
        <v>4065</v>
      </c>
      <c r="G14" s="129" t="s">
        <v>4066</v>
      </c>
      <c r="H14" s="129" t="s">
        <v>4067</v>
      </c>
      <c r="I14" s="131" t="str">
        <f>IF(COUNTIF(J14:AW14,"&lt;&gt;")=0,"",SUMPRODUCT(((Recommendations[ImplStatus]="Implemented")+(Recommendations[ImplStatus]="Compensated"))*ISNUMBER(MATCH(Recommendations[Id],J14:AW14,0)))/COUNTIF(J14:AW14,"&lt;&gt;"))</f>
        <v/>
      </c>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43"/>
    </row>
    <row r="15" spans="1:49" ht="60" customHeight="1" x14ac:dyDescent="0.35">
      <c r="A15" s="140" t="s">
        <v>3987</v>
      </c>
      <c r="B15" s="126" t="s">
        <v>4068</v>
      </c>
      <c r="C15" s="127" t="s">
        <v>4069</v>
      </c>
      <c r="D15" s="129" t="s">
        <v>4070</v>
      </c>
      <c r="E15" s="129" t="s">
        <v>4071</v>
      </c>
      <c r="F15" s="129" t="s">
        <v>4072</v>
      </c>
      <c r="G15" s="129" t="s">
        <v>4073</v>
      </c>
      <c r="H15" s="129" t="s">
        <v>4074</v>
      </c>
      <c r="I15" s="131" t="str">
        <f>IF(COUNTIF(J15:AW15,"&lt;&gt;")=0,"",SUMPRODUCT(((Recommendations[ImplStatus]="Implemented")+(Recommendations[ImplStatus]="Compensated"))*ISNUMBER(MATCH(Recommendations[Id],J15:AW15,0)))/COUNTIF(J15:AW15,"&lt;&gt;"))</f>
        <v/>
      </c>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43"/>
    </row>
    <row r="16" spans="1:49" ht="60" customHeight="1" x14ac:dyDescent="0.35">
      <c r="A16" s="140" t="s">
        <v>3987</v>
      </c>
      <c r="B16" s="126" t="s">
        <v>4075</v>
      </c>
      <c r="C16" s="127" t="s">
        <v>4076</v>
      </c>
      <c r="D16" s="129" t="s">
        <v>4077</v>
      </c>
      <c r="E16" s="129" t="s">
        <v>4078</v>
      </c>
      <c r="F16" s="129" t="s">
        <v>4079</v>
      </c>
      <c r="G16" s="129" t="s">
        <v>4080</v>
      </c>
      <c r="H16" s="129" t="s">
        <v>4081</v>
      </c>
      <c r="I16" s="131" t="str">
        <f>IF(COUNTIF(J16:AW16,"&lt;&gt;")=0,"",SUMPRODUCT(((Recommendations[ImplStatus]="Implemented")+(Recommendations[ImplStatus]="Compensated"))*ISNUMBER(MATCH(Recommendations[Id],J16:AW16,0)))/COUNTIF(J16:AW16,"&lt;&gt;"))</f>
        <v/>
      </c>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43"/>
    </row>
    <row r="17" spans="1:49" ht="60" customHeight="1" x14ac:dyDescent="0.35">
      <c r="A17" s="140" t="s">
        <v>3987</v>
      </c>
      <c r="B17" s="126" t="s">
        <v>4082</v>
      </c>
      <c r="C17" s="127" t="s">
        <v>4083</v>
      </c>
      <c r="D17" s="129" t="s">
        <v>4084</v>
      </c>
      <c r="E17" s="129" t="s">
        <v>4085</v>
      </c>
      <c r="F17" s="129" t="s">
        <v>4086</v>
      </c>
      <c r="G17" s="129" t="s">
        <v>4087</v>
      </c>
      <c r="H17" s="129" t="s">
        <v>4088</v>
      </c>
      <c r="I17" s="131" t="str">
        <f>IF(COUNTIF(J17:AW17,"&lt;&gt;")=0,"",SUMPRODUCT(((Recommendations[ImplStatus]="Implemented")+(Recommendations[ImplStatus]="Compensated"))*ISNUMBER(MATCH(Recommendations[Id],J17:AW17,0)))/COUNTIF(J17:AW17,"&lt;&gt;"))</f>
        <v/>
      </c>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43"/>
    </row>
    <row r="18" spans="1:49" ht="60" customHeight="1" x14ac:dyDescent="0.35">
      <c r="A18" s="140" t="s">
        <v>3987</v>
      </c>
      <c r="B18" s="126" t="s">
        <v>4089</v>
      </c>
      <c r="C18" s="127" t="s">
        <v>4090</v>
      </c>
      <c r="D18" s="129" t="s">
        <v>4091</v>
      </c>
      <c r="E18" s="129" t="s">
        <v>4092</v>
      </c>
      <c r="F18" s="129" t="s">
        <v>28</v>
      </c>
      <c r="G18" s="129" t="s">
        <v>28</v>
      </c>
      <c r="H18" s="129" t="s">
        <v>28</v>
      </c>
      <c r="I18" s="131" t="str">
        <f>IF(COUNTIF(J18:AW18,"&lt;&gt;")=0,"",SUMPRODUCT(((Recommendations[ImplStatus]="Implemented")+(Recommendations[ImplStatus]="Compensated"))*ISNUMBER(MATCH(Recommendations[Id],J18:AW18,0)))/COUNTIF(J18:AW18,"&lt;&gt;"))</f>
        <v/>
      </c>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43"/>
    </row>
    <row r="19" spans="1:49" ht="60" customHeight="1" outlineLevel="1" x14ac:dyDescent="0.35">
      <c r="A19" s="139" t="s">
        <v>4093</v>
      </c>
      <c r="B19" s="125"/>
      <c r="C19" s="124" t="s">
        <v>4094</v>
      </c>
      <c r="D19" s="128"/>
      <c r="E19" s="128"/>
      <c r="F19" s="128"/>
      <c r="G19" s="128"/>
      <c r="H19" s="128"/>
      <c r="I19" s="130" t="str">
        <f>IF(COUNTIF(J19:AW19,"&lt;&gt;")=0,"",SUMPRODUCT(((Recommendations[ImplStatus]="Implemented")+(Recommendations[ImplStatus]="Compensated"))*ISNUMBER(MATCH(Recommendations[Id],J19:AW19,0)))/COUNTIF(J19:AW19,"&lt;&gt;"))</f>
        <v/>
      </c>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42"/>
    </row>
    <row r="20" spans="1:49" ht="60" customHeight="1" x14ac:dyDescent="0.35">
      <c r="A20" s="140" t="s">
        <v>4093</v>
      </c>
      <c r="B20" s="126" t="s">
        <v>4095</v>
      </c>
      <c r="C20" s="127" t="s">
        <v>4096</v>
      </c>
      <c r="D20" s="129" t="s">
        <v>4097</v>
      </c>
      <c r="E20" s="129" t="s">
        <v>4098</v>
      </c>
      <c r="F20" s="129" t="s">
        <v>4099</v>
      </c>
      <c r="G20" s="129" t="s">
        <v>4100</v>
      </c>
      <c r="H20" s="129" t="s">
        <v>4101</v>
      </c>
      <c r="I20" s="131" t="str">
        <f>IF(COUNTIF(J20:AW20,"&lt;&gt;")=0,"",SUMPRODUCT(((Recommendations[ImplStatus]="Implemented")+(Recommendations[ImplStatus]="Compensated"))*ISNUMBER(MATCH(Recommendations[Id],J20:AW20,0)))/COUNTIF(J20:AW20,"&lt;&gt;"))</f>
        <v/>
      </c>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43"/>
    </row>
    <row r="21" spans="1:49" ht="60" customHeight="1" x14ac:dyDescent="0.35">
      <c r="A21" s="140" t="s">
        <v>4093</v>
      </c>
      <c r="B21" s="126" t="s">
        <v>4102</v>
      </c>
      <c r="C21" s="127" t="s">
        <v>4103</v>
      </c>
      <c r="D21" s="129" t="s">
        <v>4104</v>
      </c>
      <c r="E21" s="129" t="s">
        <v>4105</v>
      </c>
      <c r="F21" s="129" t="s">
        <v>4106</v>
      </c>
      <c r="G21" s="129" t="s">
        <v>4107</v>
      </c>
      <c r="H21" s="129" t="s">
        <v>4108</v>
      </c>
      <c r="I21" s="131" t="str">
        <f>IF(COUNTIF(J21:AW21,"&lt;&gt;")=0,"",SUMPRODUCT(((Recommendations[ImplStatus]="Implemented")+(Recommendations[ImplStatus]="Compensated"))*ISNUMBER(MATCH(Recommendations[Id],J21:AW21,0)))/COUNTIF(J21:AW21,"&lt;&gt;"))</f>
        <v/>
      </c>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43"/>
    </row>
    <row r="22" spans="1:49" ht="60" customHeight="1" outlineLevel="1" x14ac:dyDescent="0.35">
      <c r="A22" s="139" t="s">
        <v>4109</v>
      </c>
      <c r="B22" s="125"/>
      <c r="C22" s="124" t="s">
        <v>4110</v>
      </c>
      <c r="D22" s="128"/>
      <c r="E22" s="128"/>
      <c r="F22" s="128"/>
      <c r="G22" s="128"/>
      <c r="H22" s="128"/>
      <c r="I22" s="130" t="str">
        <f>IF(COUNTIF(J22:AW22,"&lt;&gt;")=0,"",SUMPRODUCT(((Recommendations[ImplStatus]="Implemented")+(Recommendations[ImplStatus]="Compensated"))*ISNUMBER(MATCH(Recommendations[Id],J22:AW22,0)))/COUNTIF(J22:AW22,"&lt;&gt;"))</f>
        <v/>
      </c>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42"/>
    </row>
    <row r="23" spans="1:49" ht="60" customHeight="1" x14ac:dyDescent="0.35">
      <c r="A23" s="140" t="s">
        <v>4109</v>
      </c>
      <c r="B23" s="126" t="s">
        <v>4111</v>
      </c>
      <c r="C23" s="127" t="s">
        <v>4112</v>
      </c>
      <c r="D23" s="129" t="s">
        <v>4113</v>
      </c>
      <c r="E23" s="129" t="s">
        <v>4114</v>
      </c>
      <c r="F23" s="129" t="s">
        <v>4115</v>
      </c>
      <c r="G23" s="129" t="s">
        <v>4116</v>
      </c>
      <c r="H23" s="129" t="s">
        <v>4117</v>
      </c>
      <c r="I23" s="131">
        <f>IF(COUNTIF(J23:AW23,"&lt;&gt;")=0,"",SUMPRODUCT(((Recommendations[ImplStatus]="Implemented")+(Recommendations[ImplStatus]="Compensated"))*ISNUMBER(MATCH(Recommendations[Id],J23:AW23,0)))/COUNTIF(J23:AW23,"&lt;&gt;"))</f>
        <v>0</v>
      </c>
      <c r="J23" s="133" t="s">
        <v>481</v>
      </c>
      <c r="K23" s="133" t="s">
        <v>494</v>
      </c>
      <c r="L23" s="133" t="s">
        <v>505</v>
      </c>
      <c r="M23" s="133" t="s">
        <v>1583</v>
      </c>
      <c r="N23" s="133" t="s">
        <v>1635</v>
      </c>
      <c r="O23" s="133" t="s">
        <v>1644</v>
      </c>
      <c r="P23" s="133" t="s">
        <v>1652</v>
      </c>
      <c r="Q23" s="133" t="s">
        <v>1659</v>
      </c>
      <c r="R23" s="133" t="s">
        <v>1666</v>
      </c>
      <c r="S23" s="133" t="s">
        <v>1674</v>
      </c>
      <c r="T23" s="133" t="s">
        <v>1681</v>
      </c>
      <c r="U23" s="133" t="s">
        <v>1689</v>
      </c>
      <c r="V23" s="133" t="s">
        <v>1696</v>
      </c>
      <c r="W23" s="133" t="s">
        <v>1704</v>
      </c>
      <c r="X23" s="133" t="s">
        <v>1712</v>
      </c>
      <c r="Y23" s="133" t="s">
        <v>1719</v>
      </c>
      <c r="Z23" s="133" t="s">
        <v>1726</v>
      </c>
      <c r="AA23" s="133" t="s">
        <v>1734</v>
      </c>
      <c r="AB23" s="133" t="s">
        <v>1741</v>
      </c>
      <c r="AC23" s="133" t="s">
        <v>1748</v>
      </c>
      <c r="AD23" s="133" t="s">
        <v>1755</v>
      </c>
      <c r="AE23" s="133" t="s">
        <v>1762</v>
      </c>
      <c r="AF23" s="133" t="s">
        <v>1769</v>
      </c>
      <c r="AG23" s="133" t="s">
        <v>1776</v>
      </c>
      <c r="AH23" s="133" t="s">
        <v>1784</v>
      </c>
      <c r="AI23" s="133" t="s">
        <v>1791</v>
      </c>
      <c r="AJ23" s="133" t="s">
        <v>1798</v>
      </c>
      <c r="AK23" s="133" t="s">
        <v>2139</v>
      </c>
      <c r="AL23" s="133" t="s">
        <v>2148</v>
      </c>
      <c r="AM23" s="133" t="s">
        <v>2156</v>
      </c>
      <c r="AN23" s="133" t="s">
        <v>2164</v>
      </c>
      <c r="AO23" s="133" t="s">
        <v>2172</v>
      </c>
      <c r="AP23" s="133" t="s">
        <v>2176</v>
      </c>
      <c r="AQ23" s="133" t="s">
        <v>2188</v>
      </c>
      <c r="AR23" s="133" t="s">
        <v>2192</v>
      </c>
      <c r="AS23" s="133" t="s">
        <v>2212</v>
      </c>
      <c r="AT23" s="133" t="s">
        <v>2221</v>
      </c>
      <c r="AU23" s="133" t="s">
        <v>2234</v>
      </c>
      <c r="AV23" s="133" t="s">
        <v>2314</v>
      </c>
      <c r="AW23" s="143" t="s">
        <v>2323</v>
      </c>
    </row>
    <row r="24" spans="1:49" ht="60" customHeight="1" x14ac:dyDescent="0.35">
      <c r="A24" s="140" t="s">
        <v>4109</v>
      </c>
      <c r="B24" s="126" t="s">
        <v>4118</v>
      </c>
      <c r="C24" s="127" t="s">
        <v>4119</v>
      </c>
      <c r="D24" s="129" t="s">
        <v>4120</v>
      </c>
      <c r="E24" s="129" t="s">
        <v>4121</v>
      </c>
      <c r="F24" s="129" t="s">
        <v>4122</v>
      </c>
      <c r="G24" s="129" t="s">
        <v>4123</v>
      </c>
      <c r="H24" s="129" t="s">
        <v>4124</v>
      </c>
      <c r="I24" s="131">
        <f>IF(COUNTIF(J24:AW24,"&lt;&gt;")=0,"",SUMPRODUCT(((Recommendations[ImplStatus]="Implemented")+(Recommendations[ImplStatus]="Compensated"))*ISNUMBER(MATCH(Recommendations[Id],J24:AW24,0)))/COUNTIF(J24:AW24,"&lt;&gt;"))</f>
        <v>0</v>
      </c>
      <c r="J24" s="133" t="s">
        <v>1755</v>
      </c>
      <c r="K24" s="133" t="s">
        <v>1776</v>
      </c>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43"/>
    </row>
    <row r="25" spans="1:49" ht="60" customHeight="1" x14ac:dyDescent="0.35">
      <c r="A25" s="140" t="s">
        <v>4109</v>
      </c>
      <c r="B25" s="126" t="s">
        <v>4125</v>
      </c>
      <c r="C25" s="127" t="s">
        <v>4126</v>
      </c>
      <c r="D25" s="129" t="s">
        <v>4127</v>
      </c>
      <c r="E25" s="129" t="s">
        <v>4128</v>
      </c>
      <c r="F25" s="129" t="s">
        <v>4129</v>
      </c>
      <c r="G25" s="129" t="s">
        <v>4130</v>
      </c>
      <c r="H25" s="129" t="s">
        <v>4131</v>
      </c>
      <c r="I25" s="131" t="str">
        <f>IF(COUNTIF(J25:AW25,"&lt;&gt;")=0,"",SUMPRODUCT(((Recommendations[ImplStatus]="Implemented")+(Recommendations[ImplStatus]="Compensated"))*ISNUMBER(MATCH(Recommendations[Id],J25:AW25,0)))/COUNTIF(J25:AW25,"&lt;&gt;"))</f>
        <v/>
      </c>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43"/>
    </row>
    <row r="26" spans="1:49" ht="60" customHeight="1" x14ac:dyDescent="0.35">
      <c r="A26" s="140" t="s">
        <v>4109</v>
      </c>
      <c r="B26" s="126" t="s">
        <v>4132</v>
      </c>
      <c r="C26" s="127" t="s">
        <v>4133</v>
      </c>
      <c r="D26" s="129" t="s">
        <v>4134</v>
      </c>
      <c r="E26" s="129" t="s">
        <v>4135</v>
      </c>
      <c r="F26" s="129" t="s">
        <v>4136</v>
      </c>
      <c r="G26" s="129" t="s">
        <v>4123</v>
      </c>
      <c r="H26" s="129" t="s">
        <v>4137</v>
      </c>
      <c r="I26" s="131" t="str">
        <f>IF(COUNTIF(J26:AW26,"&lt;&gt;")=0,"",SUMPRODUCT(((Recommendations[ImplStatus]="Implemented")+(Recommendations[ImplStatus]="Compensated"))*ISNUMBER(MATCH(Recommendations[Id],J26:AW26,0)))/COUNTIF(J26:AW26,"&lt;&gt;"))</f>
        <v/>
      </c>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43"/>
    </row>
    <row r="27" spans="1:49" ht="60" customHeight="1" x14ac:dyDescent="0.35">
      <c r="A27" s="140" t="s">
        <v>4109</v>
      </c>
      <c r="B27" s="126" t="s">
        <v>4138</v>
      </c>
      <c r="C27" s="127" t="s">
        <v>4139</v>
      </c>
      <c r="D27" s="129" t="s">
        <v>4140</v>
      </c>
      <c r="E27" s="129" t="s">
        <v>4141</v>
      </c>
      <c r="F27" s="129" t="s">
        <v>4142</v>
      </c>
      <c r="G27" s="129" t="s">
        <v>4143</v>
      </c>
      <c r="H27" s="129" t="s">
        <v>4144</v>
      </c>
      <c r="I27" s="131" t="str">
        <f>IF(COUNTIF(J27:AW27,"&lt;&gt;")=0,"",SUMPRODUCT(((Recommendations[ImplStatus]="Implemented")+(Recommendations[ImplStatus]="Compensated"))*ISNUMBER(MATCH(Recommendations[Id],J27:AW27,0)))/COUNTIF(J27:AW27,"&lt;&gt;"))</f>
        <v/>
      </c>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43"/>
    </row>
    <row r="28" spans="1:49" ht="60" customHeight="1" x14ac:dyDescent="0.35">
      <c r="A28" s="140" t="s">
        <v>4109</v>
      </c>
      <c r="B28" s="126" t="s">
        <v>4145</v>
      </c>
      <c r="C28" s="127" t="s">
        <v>4146</v>
      </c>
      <c r="D28" s="129" t="s">
        <v>4147</v>
      </c>
      <c r="E28" s="129" t="s">
        <v>4148</v>
      </c>
      <c r="F28" s="129" t="s">
        <v>4149</v>
      </c>
      <c r="G28" s="129" t="s">
        <v>4150</v>
      </c>
      <c r="H28" s="129" t="s">
        <v>4151</v>
      </c>
      <c r="I28" s="131" t="str">
        <f>IF(COUNTIF(J28:AW28,"&lt;&gt;")=0,"",SUMPRODUCT(((Recommendations[ImplStatus]="Implemented")+(Recommendations[ImplStatus]="Compensated"))*ISNUMBER(MATCH(Recommendations[Id],J28:AW28,0)))/COUNTIF(J28:AW28,"&lt;&gt;"))</f>
        <v/>
      </c>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43"/>
    </row>
    <row r="29" spans="1:49" ht="60" customHeight="1" x14ac:dyDescent="0.35">
      <c r="A29" s="140" t="s">
        <v>4109</v>
      </c>
      <c r="B29" s="126" t="s">
        <v>4152</v>
      </c>
      <c r="C29" s="127" t="s">
        <v>4153</v>
      </c>
      <c r="D29" s="129" t="s">
        <v>4154</v>
      </c>
      <c r="E29" s="129" t="s">
        <v>4155</v>
      </c>
      <c r="F29" s="129" t="s">
        <v>4156</v>
      </c>
      <c r="G29" s="129" t="s">
        <v>4041</v>
      </c>
      <c r="H29" s="129" t="s">
        <v>4157</v>
      </c>
      <c r="I29" s="131" t="str">
        <f>IF(COUNTIF(J29:AW29,"&lt;&gt;")=0,"",SUMPRODUCT(((Recommendations[ImplStatus]="Implemented")+(Recommendations[ImplStatus]="Compensated"))*ISNUMBER(MATCH(Recommendations[Id],J29:AW29,0)))/COUNTIF(J29:AW29,"&lt;&gt;"))</f>
        <v/>
      </c>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43"/>
    </row>
    <row r="30" spans="1:49" ht="60" customHeight="1" x14ac:dyDescent="0.35">
      <c r="A30" s="140" t="s">
        <v>4109</v>
      </c>
      <c r="B30" s="126" t="s">
        <v>4158</v>
      </c>
      <c r="C30" s="127" t="s">
        <v>4159</v>
      </c>
      <c r="D30" s="129" t="s">
        <v>4160</v>
      </c>
      <c r="E30" s="129" t="s">
        <v>4161</v>
      </c>
      <c r="F30" s="129" t="s">
        <v>4162</v>
      </c>
      <c r="G30" s="129" t="s">
        <v>4123</v>
      </c>
      <c r="H30" s="129" t="s">
        <v>4163</v>
      </c>
      <c r="I30" s="131" t="str">
        <f>IF(COUNTIF(J30:AW30,"&lt;&gt;")=0,"",SUMPRODUCT(((Recommendations[ImplStatus]="Implemented")+(Recommendations[ImplStatus]="Compensated"))*ISNUMBER(MATCH(Recommendations[Id],J30:AW30,0)))/COUNTIF(J30:AW30,"&lt;&gt;"))</f>
        <v/>
      </c>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43"/>
    </row>
    <row r="31" spans="1:49" ht="60" customHeight="1" outlineLevel="1" x14ac:dyDescent="0.35">
      <c r="A31" s="139" t="s">
        <v>4164</v>
      </c>
      <c r="B31" s="125"/>
      <c r="C31" s="124" t="s">
        <v>4165</v>
      </c>
      <c r="D31" s="128"/>
      <c r="E31" s="128"/>
      <c r="F31" s="128"/>
      <c r="G31" s="128"/>
      <c r="H31" s="128"/>
      <c r="I31" s="130" t="str">
        <f>IF(COUNTIF(J31:AW31,"&lt;&gt;")=0,"",SUMPRODUCT(((Recommendations[ImplStatus]="Implemented")+(Recommendations[ImplStatus]="Compensated"))*ISNUMBER(MATCH(Recommendations[Id],J31:AW31,0)))/COUNTIF(J31:AW31,"&lt;&gt;"))</f>
        <v/>
      </c>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42"/>
    </row>
    <row r="32" spans="1:49" ht="60" customHeight="1" x14ac:dyDescent="0.35">
      <c r="A32" s="140" t="s">
        <v>4164</v>
      </c>
      <c r="B32" s="126" t="s">
        <v>4166</v>
      </c>
      <c r="C32" s="127" t="s">
        <v>4167</v>
      </c>
      <c r="D32" s="129" t="s">
        <v>4168</v>
      </c>
      <c r="E32" s="129" t="s">
        <v>4169</v>
      </c>
      <c r="F32" s="129" t="s">
        <v>4170</v>
      </c>
      <c r="G32" s="129" t="s">
        <v>4171</v>
      </c>
      <c r="H32" s="129" t="s">
        <v>4172</v>
      </c>
      <c r="I32" s="131">
        <f>IF(COUNTIF(J32:AW32,"&lt;&gt;")=0,"",SUMPRODUCT(((Recommendations[ImplStatus]="Implemented")+(Recommendations[ImplStatus]="Compensated"))*ISNUMBER(MATCH(Recommendations[Id],J32:AW32,0)))/COUNTIF(J32:AW32,"&lt;&gt;"))</f>
        <v>0</v>
      </c>
      <c r="J32" s="133" t="s">
        <v>288</v>
      </c>
      <c r="K32" s="133" t="s">
        <v>293</v>
      </c>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43"/>
    </row>
    <row r="33" spans="1:49" ht="60" customHeight="1" x14ac:dyDescent="0.35">
      <c r="A33" s="140" t="s">
        <v>4164</v>
      </c>
      <c r="B33" s="126" t="s">
        <v>4173</v>
      </c>
      <c r="C33" s="127" t="s">
        <v>4174</v>
      </c>
      <c r="D33" s="129" t="s">
        <v>4175</v>
      </c>
      <c r="E33" s="129" t="s">
        <v>4176</v>
      </c>
      <c r="F33" s="129" t="s">
        <v>4177</v>
      </c>
      <c r="G33" s="129" t="s">
        <v>4178</v>
      </c>
      <c r="H33" s="129" t="s">
        <v>4179</v>
      </c>
      <c r="I33" s="131" t="str">
        <f>IF(COUNTIF(J33:AW33,"&lt;&gt;")=0,"",SUMPRODUCT(((Recommendations[ImplStatus]="Implemented")+(Recommendations[ImplStatus]="Compensated"))*ISNUMBER(MATCH(Recommendations[Id],J33:AW33,0)))/COUNTIF(J33:AW33,"&lt;&gt;"))</f>
        <v/>
      </c>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43"/>
    </row>
    <row r="34" spans="1:49" ht="60" customHeight="1" x14ac:dyDescent="0.35">
      <c r="A34" s="140" t="s">
        <v>4164</v>
      </c>
      <c r="B34" s="126" t="s">
        <v>4180</v>
      </c>
      <c r="C34" s="127" t="s">
        <v>4181</v>
      </c>
      <c r="D34" s="129" t="s">
        <v>4182</v>
      </c>
      <c r="E34" s="129" t="s">
        <v>4183</v>
      </c>
      <c r="F34" s="129" t="s">
        <v>4184</v>
      </c>
      <c r="G34" s="129" t="s">
        <v>4185</v>
      </c>
      <c r="H34" s="129" t="s">
        <v>4186</v>
      </c>
      <c r="I34" s="131" t="str">
        <f>IF(COUNTIF(J34:AW34,"&lt;&gt;")=0,"",SUMPRODUCT(((Recommendations[ImplStatus]="Implemented")+(Recommendations[ImplStatus]="Compensated"))*ISNUMBER(MATCH(Recommendations[Id],J34:AW34,0)))/COUNTIF(J34:AW34,"&lt;&gt;"))</f>
        <v/>
      </c>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43"/>
    </row>
    <row r="35" spans="1:49" ht="60" customHeight="1" x14ac:dyDescent="0.35">
      <c r="A35" s="140" t="s">
        <v>4164</v>
      </c>
      <c r="B35" s="126" t="s">
        <v>4187</v>
      </c>
      <c r="C35" s="127" t="s">
        <v>4188</v>
      </c>
      <c r="D35" s="129" t="s">
        <v>4189</v>
      </c>
      <c r="E35" s="129" t="s">
        <v>4190</v>
      </c>
      <c r="F35" s="129" t="s">
        <v>4191</v>
      </c>
      <c r="G35" s="129" t="s">
        <v>4192</v>
      </c>
      <c r="H35" s="129" t="s">
        <v>4193</v>
      </c>
      <c r="I35" s="131" t="str">
        <f>IF(COUNTIF(J35:AW35,"&lt;&gt;")=0,"",SUMPRODUCT(((Recommendations[ImplStatus]="Implemented")+(Recommendations[ImplStatus]="Compensated"))*ISNUMBER(MATCH(Recommendations[Id],J35:AW35,0)))/COUNTIF(J35:AW35,"&lt;&gt;"))</f>
        <v/>
      </c>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43"/>
    </row>
    <row r="36" spans="1:49" ht="60" customHeight="1" x14ac:dyDescent="0.35">
      <c r="A36" s="140" t="s">
        <v>4164</v>
      </c>
      <c r="B36" s="126" t="s">
        <v>4194</v>
      </c>
      <c r="C36" s="127" t="s">
        <v>4195</v>
      </c>
      <c r="D36" s="129" t="s">
        <v>4196</v>
      </c>
      <c r="E36" s="129" t="s">
        <v>4197</v>
      </c>
      <c r="F36" s="129" t="s">
        <v>4198</v>
      </c>
      <c r="G36" s="129" t="s">
        <v>4199</v>
      </c>
      <c r="H36" s="129" t="s">
        <v>4200</v>
      </c>
      <c r="I36" s="131" t="str">
        <f>IF(COUNTIF(J36:AW36,"&lt;&gt;")=0,"",SUMPRODUCT(((Recommendations[ImplStatus]="Implemented")+(Recommendations[ImplStatus]="Compensated"))*ISNUMBER(MATCH(Recommendations[Id],J36:AW36,0)))/COUNTIF(J36:AW36,"&lt;&gt;"))</f>
        <v/>
      </c>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43"/>
    </row>
    <row r="37" spans="1:49" ht="60" customHeight="1" x14ac:dyDescent="0.35">
      <c r="A37" s="140" t="s">
        <v>4164</v>
      </c>
      <c r="B37" s="126" t="s">
        <v>4201</v>
      </c>
      <c r="C37" s="127" t="s">
        <v>4202</v>
      </c>
      <c r="D37" s="129" t="s">
        <v>4203</v>
      </c>
      <c r="E37" s="129" t="s">
        <v>4204</v>
      </c>
      <c r="F37" s="129" t="s">
        <v>4205</v>
      </c>
      <c r="G37" s="129" t="s">
        <v>4206</v>
      </c>
      <c r="H37" s="129" t="s">
        <v>4207</v>
      </c>
      <c r="I37" s="131">
        <f>IF(COUNTIF(J37:AW37,"&lt;&gt;")=0,"",SUMPRODUCT(((Recommendations[ImplStatus]="Implemented")+(Recommendations[ImplStatus]="Compensated"))*ISNUMBER(MATCH(Recommendations[Id],J37:AW37,0)))/COUNTIF(J37:AW37,"&lt;&gt;"))</f>
        <v>0</v>
      </c>
      <c r="J37" s="133" t="s">
        <v>59</v>
      </c>
      <c r="K37" s="133" t="s">
        <v>65</v>
      </c>
      <c r="L37" s="133" t="s">
        <v>257</v>
      </c>
      <c r="M37" s="133" t="s">
        <v>270</v>
      </c>
      <c r="N37" s="133" t="s">
        <v>2507</v>
      </c>
      <c r="O37" s="133" t="s">
        <v>2519</v>
      </c>
      <c r="P37" s="133" t="s">
        <v>2530</v>
      </c>
      <c r="Q37" s="133" t="s">
        <v>2604</v>
      </c>
      <c r="R37" s="133" t="s">
        <v>2613</v>
      </c>
      <c r="S37" s="133" t="s">
        <v>2619</v>
      </c>
      <c r="T37" s="133" t="s">
        <v>2625</v>
      </c>
      <c r="U37" s="133" t="s">
        <v>2632</v>
      </c>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43"/>
    </row>
    <row r="38" spans="1:49" ht="60" customHeight="1" x14ac:dyDescent="0.35">
      <c r="A38" s="140" t="s">
        <v>4164</v>
      </c>
      <c r="B38" s="126" t="s">
        <v>4208</v>
      </c>
      <c r="C38" s="127" t="s">
        <v>4209</v>
      </c>
      <c r="D38" s="129" t="s">
        <v>4210</v>
      </c>
      <c r="E38" s="129" t="s">
        <v>4211</v>
      </c>
      <c r="F38" s="129" t="s">
        <v>4212</v>
      </c>
      <c r="G38" s="129" t="s">
        <v>4213</v>
      </c>
      <c r="H38" s="129" t="s">
        <v>4214</v>
      </c>
      <c r="I38" s="131" t="str">
        <f>IF(COUNTIF(J38:AW38,"&lt;&gt;")=0,"",SUMPRODUCT(((Recommendations[ImplStatus]="Implemented")+(Recommendations[ImplStatus]="Compensated"))*ISNUMBER(MATCH(Recommendations[Id],J38:AW38,0)))/COUNTIF(J38:AW38,"&lt;&gt;"))</f>
        <v/>
      </c>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43"/>
    </row>
    <row r="39" spans="1:49" ht="60" customHeight="1" x14ac:dyDescent="0.35">
      <c r="A39" s="140" t="s">
        <v>4164</v>
      </c>
      <c r="B39" s="126" t="s">
        <v>4215</v>
      </c>
      <c r="C39" s="127" t="s">
        <v>4216</v>
      </c>
      <c r="D39" s="129" t="s">
        <v>4217</v>
      </c>
      <c r="E39" s="129" t="s">
        <v>4218</v>
      </c>
      <c r="F39" s="129" t="s">
        <v>4219</v>
      </c>
      <c r="G39" s="129" t="s">
        <v>4220</v>
      </c>
      <c r="H39" s="129" t="s">
        <v>4221</v>
      </c>
      <c r="I39" s="131" t="str">
        <f>IF(COUNTIF(J39:AW39,"&lt;&gt;")=0,"",SUMPRODUCT(((Recommendations[ImplStatus]="Implemented")+(Recommendations[ImplStatus]="Compensated"))*ISNUMBER(MATCH(Recommendations[Id],J39:AW39,0)))/COUNTIF(J39:AW39,"&lt;&gt;"))</f>
        <v/>
      </c>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43"/>
    </row>
    <row r="40" spans="1:49" ht="60" customHeight="1" x14ac:dyDescent="0.35">
      <c r="A40" s="140" t="s">
        <v>4164</v>
      </c>
      <c r="B40" s="126" t="s">
        <v>4222</v>
      </c>
      <c r="C40" s="127" t="s">
        <v>4223</v>
      </c>
      <c r="D40" s="129" t="s">
        <v>4224</v>
      </c>
      <c r="E40" s="129" t="s">
        <v>4225</v>
      </c>
      <c r="F40" s="129" t="s">
        <v>4226</v>
      </c>
      <c r="G40" s="129" t="s">
        <v>4227</v>
      </c>
      <c r="H40" s="129" t="s">
        <v>4228</v>
      </c>
      <c r="I40" s="131" t="str">
        <f>IF(COUNTIF(J40:AW40,"&lt;&gt;")=0,"",SUMPRODUCT(((Recommendations[ImplStatus]="Implemented")+(Recommendations[ImplStatus]="Compensated"))*ISNUMBER(MATCH(Recommendations[Id],J40:AW40,0)))/COUNTIF(J40:AW40,"&lt;&gt;"))</f>
        <v/>
      </c>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43"/>
    </row>
    <row r="41" spans="1:49" ht="60" customHeight="1" x14ac:dyDescent="0.35">
      <c r="A41" s="140" t="s">
        <v>4164</v>
      </c>
      <c r="B41" s="126" t="s">
        <v>4229</v>
      </c>
      <c r="C41" s="127" t="s">
        <v>4230</v>
      </c>
      <c r="D41" s="129" t="s">
        <v>4231</v>
      </c>
      <c r="E41" s="129" t="s">
        <v>4232</v>
      </c>
      <c r="F41" s="129" t="s">
        <v>4233</v>
      </c>
      <c r="G41" s="129" t="s">
        <v>4171</v>
      </c>
      <c r="H41" s="129" t="s">
        <v>4234</v>
      </c>
      <c r="I41" s="131" t="str">
        <f>IF(COUNTIF(J41:AW41,"&lt;&gt;")=0,"",SUMPRODUCT(((Recommendations[ImplStatus]="Implemented")+(Recommendations[ImplStatus]="Compensated"))*ISNUMBER(MATCH(Recommendations[Id],J41:AW41,0)))/COUNTIF(J41:AW41,"&lt;&gt;"))</f>
        <v/>
      </c>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43"/>
    </row>
    <row r="42" spans="1:49" ht="60" customHeight="1" outlineLevel="1" x14ac:dyDescent="0.35">
      <c r="A42" s="139" t="s">
        <v>4235</v>
      </c>
      <c r="B42" s="125"/>
      <c r="C42" s="124" t="s">
        <v>4236</v>
      </c>
      <c r="D42" s="128"/>
      <c r="E42" s="128"/>
      <c r="F42" s="128"/>
      <c r="G42" s="128"/>
      <c r="H42" s="128"/>
      <c r="I42" s="130" t="str">
        <f>IF(COUNTIF(J42:AW42,"&lt;&gt;")=0,"",SUMPRODUCT(((Recommendations[ImplStatus]="Implemented")+(Recommendations[ImplStatus]="Compensated"))*ISNUMBER(MATCH(Recommendations[Id],J42:AW42,0)))/COUNTIF(J42:AW42,"&lt;&gt;"))</f>
        <v/>
      </c>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42"/>
    </row>
    <row r="43" spans="1:49" ht="60" customHeight="1" x14ac:dyDescent="0.35">
      <c r="A43" s="140" t="s">
        <v>4235</v>
      </c>
      <c r="B43" s="126" t="s">
        <v>4237</v>
      </c>
      <c r="C43" s="127" t="s">
        <v>4238</v>
      </c>
      <c r="D43" s="129" t="s">
        <v>4239</v>
      </c>
      <c r="E43" s="129" t="s">
        <v>4240</v>
      </c>
      <c r="F43" s="129" t="s">
        <v>4241</v>
      </c>
      <c r="G43" s="129" t="s">
        <v>4242</v>
      </c>
      <c r="H43" s="129" t="s">
        <v>4243</v>
      </c>
      <c r="I43" s="131">
        <f>IF(COUNTIF(J43:AW43,"&lt;&gt;")=0,"",SUMPRODUCT(((Recommendations[ImplStatus]="Implemented")+(Recommendations[ImplStatus]="Compensated"))*ISNUMBER(MATCH(Recommendations[Id],J43:AW43,0)))/COUNTIF(J43:AW43,"&lt;&gt;"))</f>
        <v>0</v>
      </c>
      <c r="J43" s="133" t="s">
        <v>77</v>
      </c>
      <c r="K43" s="133" t="s">
        <v>247</v>
      </c>
      <c r="L43" s="133" t="s">
        <v>398</v>
      </c>
      <c r="M43" s="133" t="s">
        <v>2067</v>
      </c>
      <c r="N43" s="133" t="s">
        <v>2086</v>
      </c>
      <c r="O43" s="133" t="s">
        <v>2816</v>
      </c>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43"/>
    </row>
    <row r="44" spans="1:49" ht="60" customHeight="1" x14ac:dyDescent="0.35">
      <c r="A44" s="140" t="s">
        <v>4235</v>
      </c>
      <c r="B44" s="126" t="s">
        <v>4244</v>
      </c>
      <c r="C44" s="127" t="s">
        <v>4245</v>
      </c>
      <c r="D44" s="129" t="s">
        <v>4246</v>
      </c>
      <c r="E44" s="129" t="s">
        <v>4247</v>
      </c>
      <c r="F44" s="129" t="s">
        <v>4248</v>
      </c>
      <c r="G44" s="129" t="s">
        <v>4249</v>
      </c>
      <c r="H44" s="129" t="s">
        <v>4250</v>
      </c>
      <c r="I44" s="131" t="str">
        <f>IF(COUNTIF(J44:AW44,"&lt;&gt;")=0,"",SUMPRODUCT(((Recommendations[ImplStatus]="Implemented")+(Recommendations[ImplStatus]="Compensated"))*ISNUMBER(MATCH(Recommendations[Id],J44:AW44,0)))/COUNTIF(J44:AW44,"&lt;&gt;"))</f>
        <v/>
      </c>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43"/>
    </row>
    <row r="45" spans="1:49" ht="60" customHeight="1" x14ac:dyDescent="0.35">
      <c r="A45" s="140" t="s">
        <v>4235</v>
      </c>
      <c r="B45" s="126" t="s">
        <v>4251</v>
      </c>
      <c r="C45" s="127" t="s">
        <v>4252</v>
      </c>
      <c r="D45" s="129" t="s">
        <v>4253</v>
      </c>
      <c r="E45" s="129" t="s">
        <v>4254</v>
      </c>
      <c r="F45" s="129" t="s">
        <v>4255</v>
      </c>
      <c r="G45" s="129" t="s">
        <v>4256</v>
      </c>
      <c r="H45" s="129" t="s">
        <v>4257</v>
      </c>
      <c r="I45" s="131" t="str">
        <f>IF(COUNTIF(J45:AW45,"&lt;&gt;")=0,"",SUMPRODUCT(((Recommendations[ImplStatus]="Implemented")+(Recommendations[ImplStatus]="Compensated"))*ISNUMBER(MATCH(Recommendations[Id],J45:AW45,0)))/COUNTIF(J45:AW45,"&lt;&gt;"))</f>
        <v/>
      </c>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43"/>
    </row>
    <row r="46" spans="1:49" ht="60" customHeight="1" x14ac:dyDescent="0.35">
      <c r="A46" s="140" t="s">
        <v>4235</v>
      </c>
      <c r="B46" s="126" t="s">
        <v>4258</v>
      </c>
      <c r="C46" s="127" t="s">
        <v>4259</v>
      </c>
      <c r="D46" s="129" t="s">
        <v>4260</v>
      </c>
      <c r="E46" s="129" t="s">
        <v>4261</v>
      </c>
      <c r="F46" s="129" t="s">
        <v>4262</v>
      </c>
      <c r="G46" s="129" t="s">
        <v>4256</v>
      </c>
      <c r="H46" s="129" t="s">
        <v>4263</v>
      </c>
      <c r="I46" s="131" t="str">
        <f>IF(COUNTIF(J46:AW46,"&lt;&gt;")=0,"",SUMPRODUCT(((Recommendations[ImplStatus]="Implemented")+(Recommendations[ImplStatus]="Compensated"))*ISNUMBER(MATCH(Recommendations[Id],J46:AW46,0)))/COUNTIF(J46:AW46,"&lt;&gt;"))</f>
        <v/>
      </c>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43"/>
    </row>
    <row r="47" spans="1:49" ht="60" customHeight="1" x14ac:dyDescent="0.35">
      <c r="A47" s="140" t="s">
        <v>4235</v>
      </c>
      <c r="B47" s="126" t="s">
        <v>4264</v>
      </c>
      <c r="C47" s="127" t="s">
        <v>4265</v>
      </c>
      <c r="D47" s="129" t="s">
        <v>4266</v>
      </c>
      <c r="E47" s="129" t="s">
        <v>4267</v>
      </c>
      <c r="F47" s="129" t="s">
        <v>4268</v>
      </c>
      <c r="G47" s="129" t="s">
        <v>4269</v>
      </c>
      <c r="H47" s="129" t="s">
        <v>4270</v>
      </c>
      <c r="I47" s="131" t="str">
        <f>IF(COUNTIF(J47:AW47,"&lt;&gt;")=0,"",SUMPRODUCT(((Recommendations[ImplStatus]="Implemented")+(Recommendations[ImplStatus]="Compensated"))*ISNUMBER(MATCH(Recommendations[Id],J47:AW47,0)))/COUNTIF(J47:AW47,"&lt;&gt;"))</f>
        <v/>
      </c>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43"/>
    </row>
    <row r="48" spans="1:49" ht="60" customHeight="1" x14ac:dyDescent="0.35">
      <c r="A48" s="140" t="s">
        <v>4235</v>
      </c>
      <c r="B48" s="126" t="s">
        <v>4271</v>
      </c>
      <c r="C48" s="127" t="s">
        <v>4272</v>
      </c>
      <c r="D48" s="129" t="s">
        <v>4273</v>
      </c>
      <c r="E48" s="129" t="s">
        <v>4274</v>
      </c>
      <c r="F48" s="129" t="s">
        <v>4275</v>
      </c>
      <c r="G48" s="129" t="s">
        <v>4276</v>
      </c>
      <c r="H48" s="129" t="s">
        <v>4277</v>
      </c>
      <c r="I48" s="131">
        <f>IF(COUNTIF(J48:AW48,"&lt;&gt;")=0,"",SUMPRODUCT(((Recommendations[ImplStatus]="Implemented")+(Recommendations[ImplStatus]="Compensated"))*ISNUMBER(MATCH(Recommendations[Id],J48:AW48,0)))/COUNTIF(J48:AW48,"&lt;&gt;"))</f>
        <v>0</v>
      </c>
      <c r="J48" s="133" t="s">
        <v>1449</v>
      </c>
      <c r="K48" s="133" t="s">
        <v>1806</v>
      </c>
      <c r="L48" s="133" t="s">
        <v>2093</v>
      </c>
      <c r="M48" s="133" t="s">
        <v>2100</v>
      </c>
      <c r="N48" s="133" t="s">
        <v>2357</v>
      </c>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43"/>
    </row>
    <row r="49" spans="1:49" ht="60" customHeight="1" x14ac:dyDescent="0.35">
      <c r="A49" s="140" t="s">
        <v>4235</v>
      </c>
      <c r="B49" s="126" t="s">
        <v>4278</v>
      </c>
      <c r="C49" s="127" t="s">
        <v>4279</v>
      </c>
      <c r="D49" s="129" t="s">
        <v>4280</v>
      </c>
      <c r="E49" s="129" t="s">
        <v>4281</v>
      </c>
      <c r="F49" s="129" t="s">
        <v>4282</v>
      </c>
      <c r="G49" s="129" t="s">
        <v>4041</v>
      </c>
      <c r="H49" s="129" t="s">
        <v>4283</v>
      </c>
      <c r="I49" s="131" t="str">
        <f>IF(COUNTIF(J49:AW49,"&lt;&gt;")=0,"",SUMPRODUCT(((Recommendations[ImplStatus]="Implemented")+(Recommendations[ImplStatus]="Compensated"))*ISNUMBER(MATCH(Recommendations[Id],J49:AW49,0)))/COUNTIF(J49:AW49,"&lt;&gt;"))</f>
        <v/>
      </c>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43"/>
    </row>
    <row r="50" spans="1:49" ht="60" customHeight="1" x14ac:dyDescent="0.35">
      <c r="A50" s="140" t="s">
        <v>4235</v>
      </c>
      <c r="B50" s="126" t="s">
        <v>4284</v>
      </c>
      <c r="C50" s="127" t="s">
        <v>4285</v>
      </c>
      <c r="D50" s="129" t="s">
        <v>4286</v>
      </c>
      <c r="E50" s="129" t="s">
        <v>4287</v>
      </c>
      <c r="F50" s="129" t="s">
        <v>4288</v>
      </c>
      <c r="G50" s="129" t="s">
        <v>4289</v>
      </c>
      <c r="H50" s="129" t="s">
        <v>4290</v>
      </c>
      <c r="I50" s="131" t="str">
        <f>IF(COUNTIF(J50:AW50,"&lt;&gt;")=0,"",SUMPRODUCT(((Recommendations[ImplStatus]="Implemented")+(Recommendations[ImplStatus]="Compensated"))*ISNUMBER(MATCH(Recommendations[Id],J50:AW50,0)))/COUNTIF(J50:AW50,"&lt;&gt;"))</f>
        <v/>
      </c>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43"/>
    </row>
    <row r="51" spans="1:49" ht="60" customHeight="1" outlineLevel="1" x14ac:dyDescent="0.35">
      <c r="A51" s="139" t="s">
        <v>4291</v>
      </c>
      <c r="B51" s="125"/>
      <c r="C51" s="124" t="s">
        <v>4292</v>
      </c>
      <c r="D51" s="128"/>
      <c r="E51" s="128"/>
      <c r="F51" s="128"/>
      <c r="G51" s="128"/>
      <c r="H51" s="128"/>
      <c r="I51" s="130" t="str">
        <f>IF(COUNTIF(J51:AW51,"&lt;&gt;")=0,"",SUMPRODUCT(((Recommendations[ImplStatus]="Implemented")+(Recommendations[ImplStatus]="Compensated"))*ISNUMBER(MATCH(Recommendations[Id],J51:AW51,0)))/COUNTIF(J51:AW51,"&lt;&gt;"))</f>
        <v/>
      </c>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42"/>
    </row>
    <row r="52" spans="1:49" ht="60" customHeight="1" x14ac:dyDescent="0.35">
      <c r="A52" s="140" t="s">
        <v>4291</v>
      </c>
      <c r="B52" s="126" t="s">
        <v>4293</v>
      </c>
      <c r="C52" s="127" t="s">
        <v>4294</v>
      </c>
      <c r="D52" s="129" t="s">
        <v>4295</v>
      </c>
      <c r="E52" s="129" t="s">
        <v>4296</v>
      </c>
      <c r="F52" s="129" t="s">
        <v>4297</v>
      </c>
      <c r="G52" s="129" t="s">
        <v>4298</v>
      </c>
      <c r="H52" s="129" t="s">
        <v>4299</v>
      </c>
      <c r="I52" s="131" t="str">
        <f>IF(COUNTIF(J52:AW52,"&lt;&gt;")=0,"",SUMPRODUCT(((Recommendations[ImplStatus]="Implemented")+(Recommendations[ImplStatus]="Compensated"))*ISNUMBER(MATCH(Recommendations[Id],J52:AW52,0)))/COUNTIF(J52:AW52,"&lt;&gt;"))</f>
        <v/>
      </c>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43"/>
    </row>
    <row r="53" spans="1:49" ht="60" customHeight="1" x14ac:dyDescent="0.35">
      <c r="A53" s="140" t="s">
        <v>4291</v>
      </c>
      <c r="B53" s="126" t="s">
        <v>4300</v>
      </c>
      <c r="C53" s="127" t="s">
        <v>4301</v>
      </c>
      <c r="D53" s="129" t="s">
        <v>4302</v>
      </c>
      <c r="E53" s="129" t="s">
        <v>4303</v>
      </c>
      <c r="F53" s="129" t="s">
        <v>4304</v>
      </c>
      <c r="G53" s="129" t="s">
        <v>4305</v>
      </c>
      <c r="H53" s="129" t="s">
        <v>4306</v>
      </c>
      <c r="I53" s="131" t="str">
        <f>IF(COUNTIF(J53:AW53,"&lt;&gt;")=0,"",SUMPRODUCT(((Recommendations[ImplStatus]="Implemented")+(Recommendations[ImplStatus]="Compensated"))*ISNUMBER(MATCH(Recommendations[Id],J53:AW53,0)))/COUNTIF(J53:AW53,"&lt;&gt;"))</f>
        <v/>
      </c>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43"/>
    </row>
    <row r="54" spans="1:49" ht="60" customHeight="1" x14ac:dyDescent="0.35">
      <c r="A54" s="140" t="s">
        <v>4291</v>
      </c>
      <c r="B54" s="126" t="s">
        <v>4307</v>
      </c>
      <c r="C54" s="127" t="s">
        <v>4308</v>
      </c>
      <c r="D54" s="129" t="s">
        <v>4309</v>
      </c>
      <c r="E54" s="129" t="s">
        <v>4310</v>
      </c>
      <c r="F54" s="129" t="s">
        <v>4311</v>
      </c>
      <c r="G54" s="129" t="s">
        <v>4312</v>
      </c>
      <c r="H54" s="129" t="s">
        <v>28</v>
      </c>
      <c r="I54" s="131" t="str">
        <f>IF(COUNTIF(J54:AW54,"&lt;&gt;")=0,"",SUMPRODUCT(((Recommendations[ImplStatus]="Implemented")+(Recommendations[ImplStatus]="Compensated"))*ISNUMBER(MATCH(Recommendations[Id],J54:AW54,0)))/COUNTIF(J54:AW54,"&lt;&gt;"))</f>
        <v/>
      </c>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43"/>
    </row>
    <row r="55" spans="1:49" ht="60" customHeight="1" x14ac:dyDescent="0.35">
      <c r="A55" s="140" t="s">
        <v>4291</v>
      </c>
      <c r="B55" s="126" t="s">
        <v>4313</v>
      </c>
      <c r="C55" s="127" t="s">
        <v>4314</v>
      </c>
      <c r="D55" s="129" t="s">
        <v>4315</v>
      </c>
      <c r="E55" s="129" t="s">
        <v>4316</v>
      </c>
      <c r="F55" s="129" t="s">
        <v>4317</v>
      </c>
      <c r="G55" s="129" t="s">
        <v>4318</v>
      </c>
      <c r="H55" s="129" t="s">
        <v>28</v>
      </c>
      <c r="I55" s="131" t="str">
        <f>IF(COUNTIF(J55:AW55,"&lt;&gt;")=0,"",SUMPRODUCT(((Recommendations[ImplStatus]="Implemented")+(Recommendations[ImplStatus]="Compensated"))*ISNUMBER(MATCH(Recommendations[Id],J55:AW55,0)))/COUNTIF(J55:AW55,"&lt;&gt;"))</f>
        <v/>
      </c>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43"/>
    </row>
    <row r="56" spans="1:49" ht="60" customHeight="1" x14ac:dyDescent="0.35">
      <c r="A56" s="140" t="s">
        <v>4291</v>
      </c>
      <c r="B56" s="126" t="s">
        <v>4319</v>
      </c>
      <c r="C56" s="127" t="s">
        <v>4320</v>
      </c>
      <c r="D56" s="129" t="s">
        <v>4321</v>
      </c>
      <c r="E56" s="129" t="s">
        <v>4322</v>
      </c>
      <c r="F56" s="129" t="s">
        <v>4323</v>
      </c>
      <c r="G56" s="129" t="s">
        <v>4324</v>
      </c>
      <c r="H56" s="129" t="s">
        <v>4325</v>
      </c>
      <c r="I56" s="131" t="str">
        <f>IF(COUNTIF(J56:AW56,"&lt;&gt;")=0,"",SUMPRODUCT(((Recommendations[ImplStatus]="Implemented")+(Recommendations[ImplStatus]="Compensated"))*ISNUMBER(MATCH(Recommendations[Id],J56:AW56,0)))/COUNTIF(J56:AW56,"&lt;&gt;"))</f>
        <v/>
      </c>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43"/>
    </row>
    <row r="57" spans="1:49" ht="60" customHeight="1" outlineLevel="1" x14ac:dyDescent="0.35">
      <c r="A57" s="139" t="s">
        <v>4326</v>
      </c>
      <c r="B57" s="125"/>
      <c r="C57" s="124" t="s">
        <v>4327</v>
      </c>
      <c r="D57" s="128"/>
      <c r="E57" s="128"/>
      <c r="F57" s="128"/>
      <c r="G57" s="128"/>
      <c r="H57" s="128"/>
      <c r="I57" s="130" t="str">
        <f>IF(COUNTIF(J57:AW57,"&lt;&gt;")=0,"",SUMPRODUCT(((Recommendations[ImplStatus]="Implemented")+(Recommendations[ImplStatus]="Compensated"))*ISNUMBER(MATCH(Recommendations[Id],J57:AW57,0)))/COUNTIF(J57:AW57,"&lt;&gt;"))</f>
        <v/>
      </c>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42"/>
    </row>
    <row r="58" spans="1:49" ht="60" customHeight="1" x14ac:dyDescent="0.35">
      <c r="A58" s="140" t="s">
        <v>4326</v>
      </c>
      <c r="B58" s="126" t="s">
        <v>4328</v>
      </c>
      <c r="C58" s="127" t="s">
        <v>4329</v>
      </c>
      <c r="D58" s="129" t="s">
        <v>4330</v>
      </c>
      <c r="E58" s="129" t="s">
        <v>4331</v>
      </c>
      <c r="F58" s="129" t="s">
        <v>4332</v>
      </c>
      <c r="G58" s="129" t="s">
        <v>4333</v>
      </c>
      <c r="H58" s="129" t="s">
        <v>4334</v>
      </c>
      <c r="I58" s="131" t="str">
        <f>IF(COUNTIF(J58:AW58,"&lt;&gt;")=0,"",SUMPRODUCT(((Recommendations[ImplStatus]="Implemented")+(Recommendations[ImplStatus]="Compensated"))*ISNUMBER(MATCH(Recommendations[Id],J58:AW58,0)))/COUNTIF(J58:AW58,"&lt;&gt;"))</f>
        <v/>
      </c>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43"/>
    </row>
    <row r="59" spans="1:49" ht="60" customHeight="1" x14ac:dyDescent="0.35">
      <c r="A59" s="140" t="s">
        <v>4326</v>
      </c>
      <c r="B59" s="126" t="s">
        <v>4335</v>
      </c>
      <c r="C59" s="127" t="s">
        <v>4336</v>
      </c>
      <c r="D59" s="129" t="s">
        <v>4337</v>
      </c>
      <c r="E59" s="129" t="s">
        <v>4338</v>
      </c>
      <c r="F59" s="129" t="s">
        <v>4339</v>
      </c>
      <c r="G59" s="129" t="s">
        <v>4340</v>
      </c>
      <c r="H59" s="129" t="s">
        <v>4341</v>
      </c>
      <c r="I59" s="131" t="str">
        <f>IF(COUNTIF(J59:AW59,"&lt;&gt;")=0,"",SUMPRODUCT(((Recommendations[ImplStatus]="Implemented")+(Recommendations[ImplStatus]="Compensated"))*ISNUMBER(MATCH(Recommendations[Id],J59:AW59,0)))/COUNTIF(J59:AW59,"&lt;&gt;"))</f>
        <v/>
      </c>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43"/>
    </row>
    <row r="60" spans="1:49" ht="60" customHeight="1" x14ac:dyDescent="0.35">
      <c r="A60" s="140" t="s">
        <v>4326</v>
      </c>
      <c r="B60" s="126" t="s">
        <v>4342</v>
      </c>
      <c r="C60" s="127" t="s">
        <v>4343</v>
      </c>
      <c r="D60" s="129" t="s">
        <v>4344</v>
      </c>
      <c r="E60" s="129" t="s">
        <v>4345</v>
      </c>
      <c r="F60" s="129" t="s">
        <v>4346</v>
      </c>
      <c r="G60" s="129" t="s">
        <v>4347</v>
      </c>
      <c r="H60" s="129" t="s">
        <v>4348</v>
      </c>
      <c r="I60" s="131" t="str">
        <f>IF(COUNTIF(J60:AW60,"&lt;&gt;")=0,"",SUMPRODUCT(((Recommendations[ImplStatus]="Implemented")+(Recommendations[ImplStatus]="Compensated"))*ISNUMBER(MATCH(Recommendations[Id],J60:AW60,0)))/COUNTIF(J60:AW60,"&lt;&gt;"))</f>
        <v/>
      </c>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43"/>
    </row>
    <row r="61" spans="1:49" ht="60" customHeight="1" outlineLevel="1" x14ac:dyDescent="0.35">
      <c r="A61" s="139" t="s">
        <v>4349</v>
      </c>
      <c r="B61" s="125"/>
      <c r="C61" s="124" t="s">
        <v>4350</v>
      </c>
      <c r="D61" s="128"/>
      <c r="E61" s="128"/>
      <c r="F61" s="128"/>
      <c r="G61" s="128"/>
      <c r="H61" s="128"/>
      <c r="I61" s="130" t="str">
        <f>IF(COUNTIF(J61:AW61,"&lt;&gt;")=0,"",SUMPRODUCT(((Recommendations[ImplStatus]="Implemented")+(Recommendations[ImplStatus]="Compensated"))*ISNUMBER(MATCH(Recommendations[Id],J61:AW61,0)))/COUNTIF(J61:AW61,"&lt;&gt;"))</f>
        <v/>
      </c>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2"/>
      <c r="AI61" s="132"/>
      <c r="AJ61" s="132"/>
      <c r="AK61" s="132"/>
      <c r="AL61" s="132"/>
      <c r="AM61" s="132"/>
      <c r="AN61" s="132"/>
      <c r="AO61" s="132"/>
      <c r="AP61" s="132"/>
      <c r="AQ61" s="132"/>
      <c r="AR61" s="132"/>
      <c r="AS61" s="132"/>
      <c r="AT61" s="132"/>
      <c r="AU61" s="132"/>
      <c r="AV61" s="132"/>
      <c r="AW61" s="142"/>
    </row>
    <row r="62" spans="1:49" ht="60" customHeight="1" x14ac:dyDescent="0.35">
      <c r="A62" s="140" t="s">
        <v>4349</v>
      </c>
      <c r="B62" s="126" t="s">
        <v>4351</v>
      </c>
      <c r="C62" s="127" t="s">
        <v>4352</v>
      </c>
      <c r="D62" s="129" t="s">
        <v>4353</v>
      </c>
      <c r="E62" s="129" t="s">
        <v>4354</v>
      </c>
      <c r="F62" s="129" t="s">
        <v>4355</v>
      </c>
      <c r="G62" s="129" t="s">
        <v>4356</v>
      </c>
      <c r="H62" s="129" t="s">
        <v>4357</v>
      </c>
      <c r="I62" s="131" t="str">
        <f>IF(COUNTIF(J62:AW62,"&lt;&gt;")=0,"",SUMPRODUCT(((Recommendations[ImplStatus]="Implemented")+(Recommendations[ImplStatus]="Compensated"))*ISNUMBER(MATCH(Recommendations[Id],J62:AW62,0)))/COUNTIF(J62:AW62,"&lt;&gt;"))</f>
        <v/>
      </c>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43"/>
    </row>
    <row r="63" spans="1:49" ht="60" customHeight="1" x14ac:dyDescent="0.35">
      <c r="A63" s="140" t="s">
        <v>4349</v>
      </c>
      <c r="B63" s="126" t="s">
        <v>4358</v>
      </c>
      <c r="C63" s="127" t="s">
        <v>4359</v>
      </c>
      <c r="D63" s="129" t="s">
        <v>4360</v>
      </c>
      <c r="E63" s="129" t="s">
        <v>4361</v>
      </c>
      <c r="F63" s="129" t="s">
        <v>4362</v>
      </c>
      <c r="G63" s="129" t="s">
        <v>4363</v>
      </c>
      <c r="H63" s="129" t="s">
        <v>4364</v>
      </c>
      <c r="I63" s="131" t="str">
        <f>IF(COUNTIF(J63:AW63,"&lt;&gt;")=0,"",SUMPRODUCT(((Recommendations[ImplStatus]="Implemented")+(Recommendations[ImplStatus]="Compensated"))*ISNUMBER(MATCH(Recommendations[Id],J63:AW63,0)))/COUNTIF(J63:AW63,"&lt;&gt;"))</f>
        <v/>
      </c>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43"/>
    </row>
    <row r="64" spans="1:49" ht="60" customHeight="1" x14ac:dyDescent="0.35">
      <c r="A64" s="140" t="s">
        <v>4349</v>
      </c>
      <c r="B64" s="126" t="s">
        <v>4365</v>
      </c>
      <c r="C64" s="127" t="s">
        <v>4366</v>
      </c>
      <c r="D64" s="129" t="s">
        <v>4367</v>
      </c>
      <c r="E64" s="129" t="s">
        <v>4368</v>
      </c>
      <c r="F64" s="129" t="s">
        <v>4369</v>
      </c>
      <c r="G64" s="129" t="s">
        <v>4370</v>
      </c>
      <c r="H64" s="129" t="s">
        <v>4371</v>
      </c>
      <c r="I64" s="131" t="str">
        <f>IF(COUNTIF(J64:AW64,"&lt;&gt;")=0,"",SUMPRODUCT(((Recommendations[ImplStatus]="Implemented")+(Recommendations[ImplStatus]="Compensated"))*ISNUMBER(MATCH(Recommendations[Id],J64:AW64,0)))/COUNTIF(J64:AW64,"&lt;&gt;"))</f>
        <v/>
      </c>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43"/>
    </row>
    <row r="65" spans="1:49" ht="60" customHeight="1" x14ac:dyDescent="0.35">
      <c r="A65" s="140" t="s">
        <v>4349</v>
      </c>
      <c r="B65" s="126" t="s">
        <v>4372</v>
      </c>
      <c r="C65" s="127" t="s">
        <v>4373</v>
      </c>
      <c r="D65" s="129" t="s">
        <v>4374</v>
      </c>
      <c r="E65" s="129" t="s">
        <v>4375</v>
      </c>
      <c r="F65" s="129" t="s">
        <v>4376</v>
      </c>
      <c r="G65" s="129" t="s">
        <v>4377</v>
      </c>
      <c r="H65" s="129" t="s">
        <v>4378</v>
      </c>
      <c r="I65" s="131" t="str">
        <f>IF(COUNTIF(J65:AW65,"&lt;&gt;")=0,"",SUMPRODUCT(((Recommendations[ImplStatus]="Implemented")+(Recommendations[ImplStatus]="Compensated"))*ISNUMBER(MATCH(Recommendations[Id],J65:AW65,0)))/COUNTIF(J65:AW65,"&lt;&gt;"))</f>
        <v/>
      </c>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43"/>
    </row>
    <row r="66" spans="1:49" ht="60" customHeight="1" x14ac:dyDescent="0.35">
      <c r="A66" s="140" t="s">
        <v>4349</v>
      </c>
      <c r="B66" s="126" t="s">
        <v>4379</v>
      </c>
      <c r="C66" s="127" t="s">
        <v>4380</v>
      </c>
      <c r="D66" s="129" t="s">
        <v>4381</v>
      </c>
      <c r="E66" s="129" t="s">
        <v>4382</v>
      </c>
      <c r="F66" s="129" t="s">
        <v>4383</v>
      </c>
      <c r="G66" s="129" t="s">
        <v>4384</v>
      </c>
      <c r="H66" s="129" t="s">
        <v>4385</v>
      </c>
      <c r="I66" s="131" t="str">
        <f>IF(COUNTIF(J66:AW66,"&lt;&gt;")=0,"",SUMPRODUCT(((Recommendations[ImplStatus]="Implemented")+(Recommendations[ImplStatus]="Compensated"))*ISNUMBER(MATCH(Recommendations[Id],J66:AW66,0)))/COUNTIF(J66:AW66,"&lt;&gt;"))</f>
        <v/>
      </c>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43"/>
    </row>
    <row r="67" spans="1:49" ht="60" customHeight="1" x14ac:dyDescent="0.35">
      <c r="A67" s="140" t="s">
        <v>4349</v>
      </c>
      <c r="B67" s="126" t="s">
        <v>4386</v>
      </c>
      <c r="C67" s="127" t="s">
        <v>4387</v>
      </c>
      <c r="D67" s="129" t="s">
        <v>4388</v>
      </c>
      <c r="E67" s="129" t="s">
        <v>4389</v>
      </c>
      <c r="F67" s="129" t="s">
        <v>4390</v>
      </c>
      <c r="G67" s="129" t="s">
        <v>4391</v>
      </c>
      <c r="H67" s="129" t="s">
        <v>4392</v>
      </c>
      <c r="I67" s="131" t="str">
        <f>IF(COUNTIF(J67:AW67,"&lt;&gt;")=0,"",SUMPRODUCT(((Recommendations[ImplStatus]="Implemented")+(Recommendations[ImplStatus]="Compensated"))*ISNUMBER(MATCH(Recommendations[Id],J67:AW67,0)))/COUNTIF(J67:AW67,"&lt;&gt;"))</f>
        <v/>
      </c>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43"/>
    </row>
    <row r="68" spans="1:49" ht="60" customHeight="1" x14ac:dyDescent="0.35">
      <c r="A68" s="140" t="s">
        <v>4349</v>
      </c>
      <c r="B68" s="126" t="s">
        <v>4393</v>
      </c>
      <c r="C68" s="127" t="s">
        <v>4394</v>
      </c>
      <c r="D68" s="129" t="s">
        <v>4395</v>
      </c>
      <c r="E68" s="129" t="s">
        <v>4396</v>
      </c>
      <c r="F68" s="129" t="s">
        <v>4397</v>
      </c>
      <c r="G68" s="129" t="s">
        <v>4398</v>
      </c>
      <c r="H68" s="129" t="s">
        <v>4399</v>
      </c>
      <c r="I68" s="131" t="str">
        <f>IF(COUNTIF(J68:AW68,"&lt;&gt;")=0,"",SUMPRODUCT(((Recommendations[ImplStatus]="Implemented")+(Recommendations[ImplStatus]="Compensated"))*ISNUMBER(MATCH(Recommendations[Id],J68:AW68,0)))/COUNTIF(J68:AW68,"&lt;&gt;"))</f>
        <v/>
      </c>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43"/>
    </row>
    <row r="69" spans="1:49" ht="60" customHeight="1" outlineLevel="1" x14ac:dyDescent="0.35">
      <c r="A69" s="139" t="s">
        <v>4400</v>
      </c>
      <c r="B69" s="125"/>
      <c r="C69" s="124" t="s">
        <v>4401</v>
      </c>
      <c r="D69" s="128"/>
      <c r="E69" s="128"/>
      <c r="F69" s="128"/>
      <c r="G69" s="128"/>
      <c r="H69" s="128"/>
      <c r="I69" s="130" t="str">
        <f>IF(COUNTIF(J69:AW69,"&lt;&gt;")=0,"",SUMPRODUCT(((Recommendations[ImplStatus]="Implemented")+(Recommendations[ImplStatus]="Compensated"))*ISNUMBER(MATCH(Recommendations[Id],J69:AW69,0)))/COUNTIF(J69:AW69,"&lt;&gt;"))</f>
        <v/>
      </c>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42"/>
    </row>
    <row r="70" spans="1:49" ht="60" customHeight="1" x14ac:dyDescent="0.35">
      <c r="A70" s="140" t="s">
        <v>4400</v>
      </c>
      <c r="B70" s="126" t="s">
        <v>4402</v>
      </c>
      <c r="C70" s="127" t="s">
        <v>4403</v>
      </c>
      <c r="D70" s="129" t="s">
        <v>4404</v>
      </c>
      <c r="E70" s="129" t="s">
        <v>4405</v>
      </c>
      <c r="F70" s="129" t="s">
        <v>4406</v>
      </c>
      <c r="G70" s="129" t="s">
        <v>4407</v>
      </c>
      <c r="H70" s="129" t="s">
        <v>4408</v>
      </c>
      <c r="I70" s="131" t="str">
        <f>IF(COUNTIF(J70:AW70,"&lt;&gt;")=0,"",SUMPRODUCT(((Recommendations[ImplStatus]="Implemented")+(Recommendations[ImplStatus]="Compensated"))*ISNUMBER(MATCH(Recommendations[Id],J70:AW70,0)))/COUNTIF(J70:AW70,"&lt;&gt;"))</f>
        <v/>
      </c>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43"/>
    </row>
    <row r="71" spans="1:49" ht="60" customHeight="1" x14ac:dyDescent="0.35">
      <c r="A71" s="140" t="s">
        <v>4400</v>
      </c>
      <c r="B71" s="126" t="s">
        <v>4409</v>
      </c>
      <c r="C71" s="127" t="s">
        <v>4410</v>
      </c>
      <c r="D71" s="129" t="s">
        <v>4411</v>
      </c>
      <c r="E71" s="129" t="s">
        <v>4412</v>
      </c>
      <c r="F71" s="129" t="s">
        <v>4413</v>
      </c>
      <c r="G71" s="129" t="s">
        <v>4414</v>
      </c>
      <c r="H71" s="129" t="s">
        <v>4415</v>
      </c>
      <c r="I71" s="131" t="str">
        <f>IF(COUNTIF(J71:AW71,"&lt;&gt;")=0,"",SUMPRODUCT(((Recommendations[ImplStatus]="Implemented")+(Recommendations[ImplStatus]="Compensated"))*ISNUMBER(MATCH(Recommendations[Id],J71:AW71,0)))/COUNTIF(J71:AW71,"&lt;&gt;"))</f>
        <v/>
      </c>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43"/>
    </row>
    <row r="72" spans="1:49" ht="60" customHeight="1" outlineLevel="1" x14ac:dyDescent="0.35">
      <c r="A72" s="139" t="s">
        <v>4416</v>
      </c>
      <c r="B72" s="125"/>
      <c r="C72" s="124" t="s">
        <v>4417</v>
      </c>
      <c r="D72" s="128"/>
      <c r="E72" s="128"/>
      <c r="F72" s="128"/>
      <c r="G72" s="128"/>
      <c r="H72" s="128"/>
      <c r="I72" s="130" t="str">
        <f>IF(COUNTIF(J72:AW72,"&lt;&gt;")=0,"",SUMPRODUCT(((Recommendations[ImplStatus]="Implemented")+(Recommendations[ImplStatus]="Compensated"))*ISNUMBER(MATCH(Recommendations[Id],J72:AW72,0)))/COUNTIF(J72:AW72,"&lt;&gt;"))</f>
        <v/>
      </c>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c r="AW72" s="142"/>
    </row>
    <row r="73" spans="1:49" ht="60" customHeight="1" x14ac:dyDescent="0.35">
      <c r="A73" s="140" t="s">
        <v>4416</v>
      </c>
      <c r="B73" s="126" t="s">
        <v>4418</v>
      </c>
      <c r="C73" s="127" t="s">
        <v>4419</v>
      </c>
      <c r="D73" s="129" t="s">
        <v>4420</v>
      </c>
      <c r="E73" s="129" t="s">
        <v>4421</v>
      </c>
      <c r="F73" s="129" t="s">
        <v>4422</v>
      </c>
      <c r="G73" s="129" t="s">
        <v>4423</v>
      </c>
      <c r="H73" s="129" t="s">
        <v>4424</v>
      </c>
      <c r="I73" s="131" t="str">
        <f>IF(COUNTIF(J73:AW73,"&lt;&gt;")=0,"",SUMPRODUCT(((Recommendations[ImplStatus]="Implemented")+(Recommendations[ImplStatus]="Compensated"))*ISNUMBER(MATCH(Recommendations[Id],J73:AW73,0)))/COUNTIF(J73:AW73,"&lt;&gt;"))</f>
        <v/>
      </c>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43"/>
    </row>
    <row r="74" spans="1:49" ht="60" customHeight="1" x14ac:dyDescent="0.35">
      <c r="A74" s="140" t="s">
        <v>4416</v>
      </c>
      <c r="B74" s="126" t="s">
        <v>4425</v>
      </c>
      <c r="C74" s="127" t="s">
        <v>4426</v>
      </c>
      <c r="D74" s="129" t="s">
        <v>4427</v>
      </c>
      <c r="E74" s="129" t="s">
        <v>4428</v>
      </c>
      <c r="F74" s="129" t="s">
        <v>4429</v>
      </c>
      <c r="G74" s="129" t="s">
        <v>4430</v>
      </c>
      <c r="H74" s="129" t="s">
        <v>4431</v>
      </c>
      <c r="I74" s="131" t="str">
        <f>IF(COUNTIF(J74:AW74,"&lt;&gt;")=0,"",SUMPRODUCT(((Recommendations[ImplStatus]="Implemented")+(Recommendations[ImplStatus]="Compensated"))*ISNUMBER(MATCH(Recommendations[Id],J74:AW74,0)))/COUNTIF(J74:AW74,"&lt;&gt;"))</f>
        <v/>
      </c>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43"/>
    </row>
    <row r="75" spans="1:49" ht="60" customHeight="1" x14ac:dyDescent="0.35">
      <c r="A75" s="140" t="s">
        <v>4416</v>
      </c>
      <c r="B75" s="126" t="s">
        <v>4432</v>
      </c>
      <c r="C75" s="127" t="s">
        <v>4433</v>
      </c>
      <c r="D75" s="129" t="s">
        <v>4434</v>
      </c>
      <c r="E75" s="129" t="s">
        <v>4435</v>
      </c>
      <c r="F75" s="129" t="s">
        <v>4436</v>
      </c>
      <c r="G75" s="129" t="s">
        <v>4437</v>
      </c>
      <c r="H75" s="129" t="s">
        <v>4438</v>
      </c>
      <c r="I75" s="131" t="str">
        <f>IF(COUNTIF(J75:AW75,"&lt;&gt;")=0,"",SUMPRODUCT(((Recommendations[ImplStatus]="Implemented")+(Recommendations[ImplStatus]="Compensated"))*ISNUMBER(MATCH(Recommendations[Id],J75:AW75,0)))/COUNTIF(J75:AW75,"&lt;&gt;"))</f>
        <v/>
      </c>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43"/>
    </row>
    <row r="76" spans="1:49" ht="60" customHeight="1" x14ac:dyDescent="0.35">
      <c r="A76" s="140" t="s">
        <v>4416</v>
      </c>
      <c r="B76" s="126" t="s">
        <v>4439</v>
      </c>
      <c r="C76" s="127" t="s">
        <v>4440</v>
      </c>
      <c r="D76" s="129" t="s">
        <v>4441</v>
      </c>
      <c r="E76" s="129" t="s">
        <v>4442</v>
      </c>
      <c r="F76" s="129" t="s">
        <v>4443</v>
      </c>
      <c r="G76" s="129" t="s">
        <v>4444</v>
      </c>
      <c r="H76" s="129" t="s">
        <v>4445</v>
      </c>
      <c r="I76" s="131" t="str">
        <f>IF(COUNTIF(J76:AW76,"&lt;&gt;")=0,"",SUMPRODUCT(((Recommendations[ImplStatus]="Implemented")+(Recommendations[ImplStatus]="Compensated"))*ISNUMBER(MATCH(Recommendations[Id],J76:AW76,0)))/COUNTIF(J76:AW76,"&lt;&gt;"))</f>
        <v/>
      </c>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43"/>
    </row>
    <row r="77" spans="1:49" ht="60" customHeight="1" x14ac:dyDescent="0.35">
      <c r="A77" s="140" t="s">
        <v>4416</v>
      </c>
      <c r="B77" s="126" t="s">
        <v>4446</v>
      </c>
      <c r="C77" s="127" t="s">
        <v>4447</v>
      </c>
      <c r="D77" s="129" t="s">
        <v>4448</v>
      </c>
      <c r="E77" s="129" t="s">
        <v>4449</v>
      </c>
      <c r="F77" s="129" t="s">
        <v>4450</v>
      </c>
      <c r="G77" s="129" t="s">
        <v>4444</v>
      </c>
      <c r="H77" s="129" t="s">
        <v>4451</v>
      </c>
      <c r="I77" s="131" t="str">
        <f>IF(COUNTIF(J77:AW77,"&lt;&gt;")=0,"",SUMPRODUCT(((Recommendations[ImplStatus]="Implemented")+(Recommendations[ImplStatus]="Compensated"))*ISNUMBER(MATCH(Recommendations[Id],J77:AW77,0)))/COUNTIF(J77:AW77,"&lt;&gt;"))</f>
        <v/>
      </c>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43"/>
    </row>
    <row r="78" spans="1:49" ht="60" customHeight="1" outlineLevel="1" x14ac:dyDescent="0.35">
      <c r="A78" s="139" t="s">
        <v>4452</v>
      </c>
      <c r="B78" s="125"/>
      <c r="C78" s="124" t="s">
        <v>4453</v>
      </c>
      <c r="D78" s="128"/>
      <c r="E78" s="128"/>
      <c r="F78" s="128"/>
      <c r="G78" s="128"/>
      <c r="H78" s="128"/>
      <c r="I78" s="130" t="str">
        <f>IF(COUNTIF(J78:AW78,"&lt;&gt;")=0,"",SUMPRODUCT(((Recommendations[ImplStatus]="Implemented")+(Recommendations[ImplStatus]="Compensated"))*ISNUMBER(MATCH(Recommendations[Id],J78:AW78,0)))/COUNTIF(J78:AW78,"&lt;&gt;"))</f>
        <v/>
      </c>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42"/>
    </row>
    <row r="79" spans="1:49" ht="60" customHeight="1" x14ac:dyDescent="0.35">
      <c r="A79" s="140" t="s">
        <v>4452</v>
      </c>
      <c r="B79" s="126" t="s">
        <v>4452</v>
      </c>
      <c r="C79" s="127" t="s">
        <v>4454</v>
      </c>
      <c r="D79" s="129" t="s">
        <v>4455</v>
      </c>
      <c r="E79" s="129" t="s">
        <v>4456</v>
      </c>
      <c r="F79" s="129" t="s">
        <v>4457</v>
      </c>
      <c r="G79" s="129" t="s">
        <v>4458</v>
      </c>
      <c r="H79" s="129" t="s">
        <v>4459</v>
      </c>
      <c r="I79" s="131" t="str">
        <f>IF(COUNTIF(J79:AW79,"&lt;&gt;")=0,"",SUMPRODUCT(((Recommendations[ImplStatus]="Implemented")+(Recommendations[ImplStatus]="Compensated"))*ISNUMBER(MATCH(Recommendations[Id],J79:AW79,0)))/COUNTIF(J79:AW79,"&lt;&gt;"))</f>
        <v/>
      </c>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43"/>
    </row>
    <row r="80" spans="1:49" ht="60" customHeight="1" x14ac:dyDescent="0.35">
      <c r="A80" s="140" t="s">
        <v>4452</v>
      </c>
      <c r="B80" s="126" t="s">
        <v>4460</v>
      </c>
      <c r="C80" s="127" t="s">
        <v>4461</v>
      </c>
      <c r="D80" s="129" t="s">
        <v>4462</v>
      </c>
      <c r="E80" s="129" t="s">
        <v>4463</v>
      </c>
      <c r="F80" s="129" t="s">
        <v>4464</v>
      </c>
      <c r="G80" s="129" t="s">
        <v>4465</v>
      </c>
      <c r="H80" s="129" t="s">
        <v>4466</v>
      </c>
      <c r="I80" s="131" t="str">
        <f>IF(COUNTIF(J80:AW80,"&lt;&gt;")=0,"",SUMPRODUCT(((Recommendations[ImplStatus]="Implemented")+(Recommendations[ImplStatus]="Compensated"))*ISNUMBER(MATCH(Recommendations[Id],J80:AW80,0)))/COUNTIF(J80:AW80,"&lt;&gt;"))</f>
        <v/>
      </c>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43"/>
    </row>
    <row r="81" spans="1:49" ht="60" customHeight="1" x14ac:dyDescent="0.35">
      <c r="A81" s="140" t="s">
        <v>4452</v>
      </c>
      <c r="B81" s="126" t="s">
        <v>4467</v>
      </c>
      <c r="C81" s="127" t="s">
        <v>4468</v>
      </c>
      <c r="D81" s="129" t="s">
        <v>4469</v>
      </c>
      <c r="E81" s="129" t="s">
        <v>4470</v>
      </c>
      <c r="F81" s="129" t="s">
        <v>4471</v>
      </c>
      <c r="G81" s="129" t="s">
        <v>4472</v>
      </c>
      <c r="H81" s="129" t="s">
        <v>4473</v>
      </c>
      <c r="I81" s="131" t="str">
        <f>IF(COUNTIF(J81:AW81,"&lt;&gt;")=0,"",SUMPRODUCT(((Recommendations[ImplStatus]="Implemented")+(Recommendations[ImplStatus]="Compensated"))*ISNUMBER(MATCH(Recommendations[Id],J81:AW81,0)))/COUNTIF(J81:AW81,"&lt;&gt;"))</f>
        <v/>
      </c>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43"/>
    </row>
    <row r="82" spans="1:49" ht="60" customHeight="1" outlineLevel="1" x14ac:dyDescent="0.35">
      <c r="A82" s="139" t="s">
        <v>4474</v>
      </c>
      <c r="B82" s="125"/>
      <c r="C82" s="124" t="s">
        <v>4475</v>
      </c>
      <c r="D82" s="128"/>
      <c r="E82" s="128"/>
      <c r="F82" s="128"/>
      <c r="G82" s="128"/>
      <c r="H82" s="128"/>
      <c r="I82" s="130" t="str">
        <f>IF(COUNTIF(J82:AW82,"&lt;&gt;")=0,"",SUMPRODUCT(((Recommendations[ImplStatus]="Implemented")+(Recommendations[ImplStatus]="Compensated"))*ISNUMBER(MATCH(Recommendations[Id],J82:AW82,0)))/COUNTIF(J82:AW82,"&lt;&gt;"))</f>
        <v/>
      </c>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42"/>
    </row>
    <row r="83" spans="1:49" ht="60" customHeight="1" x14ac:dyDescent="0.35">
      <c r="A83" s="140" t="s">
        <v>4474</v>
      </c>
      <c r="B83" s="126" t="s">
        <v>4476</v>
      </c>
      <c r="C83" s="127" t="s">
        <v>4477</v>
      </c>
      <c r="D83" s="129" t="s">
        <v>4478</v>
      </c>
      <c r="E83" s="129" t="s">
        <v>4479</v>
      </c>
      <c r="F83" s="129" t="s">
        <v>4480</v>
      </c>
      <c r="G83" s="129" t="s">
        <v>4481</v>
      </c>
      <c r="H83" s="129" t="s">
        <v>4482</v>
      </c>
      <c r="I83" s="131" t="str">
        <f>IF(COUNTIF(J83:AW83,"&lt;&gt;")=0,"",SUMPRODUCT(((Recommendations[ImplStatus]="Implemented")+(Recommendations[ImplStatus]="Compensated"))*ISNUMBER(MATCH(Recommendations[Id],J83:AW83,0)))/COUNTIF(J83:AW83,"&lt;&gt;"))</f>
        <v/>
      </c>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43"/>
    </row>
    <row r="84" spans="1:49" ht="60" customHeight="1" x14ac:dyDescent="0.35">
      <c r="A84" s="140" t="s">
        <v>4474</v>
      </c>
      <c r="B84" s="126" t="s">
        <v>4483</v>
      </c>
      <c r="C84" s="127" t="s">
        <v>4484</v>
      </c>
      <c r="D84" s="129" t="s">
        <v>4485</v>
      </c>
      <c r="E84" s="129" t="s">
        <v>4486</v>
      </c>
      <c r="F84" s="129" t="s">
        <v>4487</v>
      </c>
      <c r="G84" s="129" t="s">
        <v>4488</v>
      </c>
      <c r="H84" s="129" t="s">
        <v>4489</v>
      </c>
      <c r="I84" s="131" t="str">
        <f>IF(COUNTIF(J84:AW84,"&lt;&gt;")=0,"",SUMPRODUCT(((Recommendations[ImplStatus]="Implemented")+(Recommendations[ImplStatus]="Compensated"))*ISNUMBER(MATCH(Recommendations[Id],J84:AW84,0)))/COUNTIF(J84:AW84,"&lt;&gt;"))</f>
        <v/>
      </c>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c r="AU84" s="133"/>
      <c r="AV84" s="133"/>
      <c r="AW84" s="143"/>
    </row>
    <row r="85" spans="1:49" ht="60" customHeight="1" x14ac:dyDescent="0.35">
      <c r="A85" s="140" t="s">
        <v>4474</v>
      </c>
      <c r="B85" s="126" t="s">
        <v>4490</v>
      </c>
      <c r="C85" s="127" t="s">
        <v>4491</v>
      </c>
      <c r="D85" s="129" t="s">
        <v>4492</v>
      </c>
      <c r="E85" s="129" t="s">
        <v>4493</v>
      </c>
      <c r="F85" s="129" t="s">
        <v>4494</v>
      </c>
      <c r="G85" s="129" t="s">
        <v>4495</v>
      </c>
      <c r="H85" s="129" t="s">
        <v>4496</v>
      </c>
      <c r="I85" s="131" t="str">
        <f>IF(COUNTIF(J85:AW85,"&lt;&gt;")=0,"",SUMPRODUCT(((Recommendations[ImplStatus]="Implemented")+(Recommendations[ImplStatus]="Compensated"))*ISNUMBER(MATCH(Recommendations[Id],J85:AW85,0)))/COUNTIF(J85:AW85,"&lt;&gt;"))</f>
        <v/>
      </c>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43"/>
    </row>
    <row r="86" spans="1:49" ht="60" customHeight="1" x14ac:dyDescent="0.35">
      <c r="A86" s="140" t="s">
        <v>4474</v>
      </c>
      <c r="B86" s="126" t="s">
        <v>4497</v>
      </c>
      <c r="C86" s="127" t="s">
        <v>4498</v>
      </c>
      <c r="D86" s="129" t="s">
        <v>4499</v>
      </c>
      <c r="E86" s="129" t="s">
        <v>4500</v>
      </c>
      <c r="F86" s="129" t="s">
        <v>4501</v>
      </c>
      <c r="G86" s="129" t="s">
        <v>4502</v>
      </c>
      <c r="H86" s="129" t="s">
        <v>28</v>
      </c>
      <c r="I86" s="131" t="str">
        <f>IF(COUNTIF(J86:AW86,"&lt;&gt;")=0,"",SUMPRODUCT(((Recommendations[ImplStatus]="Implemented")+(Recommendations[ImplStatus]="Compensated"))*ISNUMBER(MATCH(Recommendations[Id],J86:AW86,0)))/COUNTIF(J86:AW86,"&lt;&gt;"))</f>
        <v/>
      </c>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43"/>
    </row>
    <row r="87" spans="1:49" ht="60" customHeight="1" outlineLevel="1" x14ac:dyDescent="0.35">
      <c r="A87" s="139" t="s">
        <v>4503</v>
      </c>
      <c r="B87" s="125"/>
      <c r="C87" s="124" t="s">
        <v>4504</v>
      </c>
      <c r="D87" s="128"/>
      <c r="E87" s="128"/>
      <c r="F87" s="128"/>
      <c r="G87" s="128"/>
      <c r="H87" s="128"/>
      <c r="I87" s="130" t="str">
        <f>IF(COUNTIF(J87:AW87,"&lt;&gt;")=0,"",SUMPRODUCT(((Recommendations[ImplStatus]="Implemented")+(Recommendations[ImplStatus]="Compensated"))*ISNUMBER(MATCH(Recommendations[Id],J87:AW87,0)))/COUNTIF(J87:AW87,"&lt;&gt;"))</f>
        <v/>
      </c>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c r="AU87" s="132"/>
      <c r="AV87" s="132"/>
      <c r="AW87" s="142"/>
    </row>
    <row r="88" spans="1:49" ht="60" customHeight="1" x14ac:dyDescent="0.35">
      <c r="A88" s="140" t="s">
        <v>4503</v>
      </c>
      <c r="B88" s="126" t="s">
        <v>4505</v>
      </c>
      <c r="C88" s="127" t="s">
        <v>4506</v>
      </c>
      <c r="D88" s="129" t="s">
        <v>4507</v>
      </c>
      <c r="E88" s="129" t="s">
        <v>4508</v>
      </c>
      <c r="F88" s="129" t="s">
        <v>4509</v>
      </c>
      <c r="G88" s="129" t="s">
        <v>4510</v>
      </c>
      <c r="H88" s="129" t="s">
        <v>4511</v>
      </c>
      <c r="I88" s="131">
        <f>IF(COUNTIF(J88:AW88,"&lt;&gt;")=0,"",SUMPRODUCT(((Recommendations[ImplStatus]="Implemented")+(Recommendations[ImplStatus]="Compensated"))*ISNUMBER(MATCH(Recommendations[Id],J88:AW88,0)))/COUNTIF(J88:AW88,"&lt;&gt;"))</f>
        <v>0</v>
      </c>
      <c r="J88" s="133" t="s">
        <v>84</v>
      </c>
      <c r="K88" s="133" t="s">
        <v>93</v>
      </c>
      <c r="L88" s="133" t="s">
        <v>100</v>
      </c>
      <c r="M88" s="133" t="s">
        <v>107</v>
      </c>
      <c r="N88" s="133" t="s">
        <v>129</v>
      </c>
      <c r="O88" s="133" t="s">
        <v>148</v>
      </c>
      <c r="P88" s="133" t="s">
        <v>173</v>
      </c>
      <c r="Q88" s="133" t="s">
        <v>182</v>
      </c>
      <c r="R88" s="133" t="s">
        <v>185</v>
      </c>
      <c r="S88" s="133" t="s">
        <v>193</v>
      </c>
      <c r="T88" s="133" t="s">
        <v>196</v>
      </c>
      <c r="U88" s="133" t="s">
        <v>2144</v>
      </c>
      <c r="V88" s="133" t="s">
        <v>2160</v>
      </c>
      <c r="W88" s="133" t="s">
        <v>2168</v>
      </c>
      <c r="X88" s="133" t="s">
        <v>2180</v>
      </c>
      <c r="Y88" s="133" t="s">
        <v>2196</v>
      </c>
      <c r="Z88" s="133" t="s">
        <v>2204</v>
      </c>
      <c r="AA88" s="133" t="s">
        <v>2770</v>
      </c>
      <c r="AB88" s="133" t="s">
        <v>2783</v>
      </c>
      <c r="AC88" s="133"/>
      <c r="AD88" s="133"/>
      <c r="AE88" s="133"/>
      <c r="AF88" s="133"/>
      <c r="AG88" s="133"/>
      <c r="AH88" s="133"/>
      <c r="AI88" s="133"/>
      <c r="AJ88" s="133"/>
      <c r="AK88" s="133"/>
      <c r="AL88" s="133"/>
      <c r="AM88" s="133"/>
      <c r="AN88" s="133"/>
      <c r="AO88" s="133"/>
      <c r="AP88" s="133"/>
      <c r="AQ88" s="133"/>
      <c r="AR88" s="133"/>
      <c r="AS88" s="133"/>
      <c r="AT88" s="133"/>
      <c r="AU88" s="133"/>
      <c r="AV88" s="133"/>
      <c r="AW88" s="143"/>
    </row>
    <row r="89" spans="1:49" ht="60" customHeight="1" x14ac:dyDescent="0.35">
      <c r="A89" s="140" t="s">
        <v>4503</v>
      </c>
      <c r="B89" s="126" t="s">
        <v>4512</v>
      </c>
      <c r="C89" s="127" t="s">
        <v>4513</v>
      </c>
      <c r="D89" s="129" t="s">
        <v>4514</v>
      </c>
      <c r="E89" s="129" t="s">
        <v>4515</v>
      </c>
      <c r="F89" s="129" t="s">
        <v>4516</v>
      </c>
      <c r="G89" s="129" t="s">
        <v>4041</v>
      </c>
      <c r="H89" s="129" t="s">
        <v>4517</v>
      </c>
      <c r="I89" s="131" t="str">
        <f>IF(COUNTIF(J89:AW89,"&lt;&gt;")=0,"",SUMPRODUCT(((Recommendations[ImplStatus]="Implemented")+(Recommendations[ImplStatus]="Compensated"))*ISNUMBER(MATCH(Recommendations[Id],J89:AW89,0)))/COUNTIF(J89:AW89,"&lt;&gt;"))</f>
        <v/>
      </c>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43"/>
    </row>
    <row r="90" spans="1:49" ht="60" customHeight="1" x14ac:dyDescent="0.35">
      <c r="A90" s="140" t="s">
        <v>4503</v>
      </c>
      <c r="B90" s="126" t="s">
        <v>4518</v>
      </c>
      <c r="C90" s="127" t="s">
        <v>4519</v>
      </c>
      <c r="D90" s="129" t="s">
        <v>4520</v>
      </c>
      <c r="E90" s="129" t="s">
        <v>4521</v>
      </c>
      <c r="F90" s="129" t="s">
        <v>4522</v>
      </c>
      <c r="G90" s="129" t="s">
        <v>4510</v>
      </c>
      <c r="H90" s="129" t="s">
        <v>4523</v>
      </c>
      <c r="I90" s="131" t="str">
        <f>IF(COUNTIF(J90:AW90,"&lt;&gt;")=0,"",SUMPRODUCT(((Recommendations[ImplStatus]="Implemented")+(Recommendations[ImplStatus]="Compensated"))*ISNUMBER(MATCH(Recommendations[Id],J90:AW90,0)))/COUNTIF(J90:AW90,"&lt;&gt;"))</f>
        <v/>
      </c>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43"/>
    </row>
    <row r="91" spans="1:49" ht="60" customHeight="1" x14ac:dyDescent="0.35">
      <c r="A91" s="140" t="s">
        <v>4503</v>
      </c>
      <c r="B91" s="126" t="s">
        <v>4524</v>
      </c>
      <c r="C91" s="127" t="s">
        <v>4525</v>
      </c>
      <c r="D91" s="129" t="s">
        <v>4526</v>
      </c>
      <c r="E91" s="129" t="s">
        <v>4527</v>
      </c>
      <c r="F91" s="129" t="s">
        <v>4528</v>
      </c>
      <c r="G91" s="129" t="s">
        <v>4041</v>
      </c>
      <c r="H91" s="129" t="s">
        <v>4529</v>
      </c>
      <c r="I91" s="131">
        <f>IF(COUNTIF(J91:AW91,"&lt;&gt;")=0,"",SUMPRODUCT(((Recommendations[ImplStatus]="Implemented")+(Recommendations[ImplStatus]="Compensated"))*ISNUMBER(MATCH(Recommendations[Id],J91:AW91,0)))/COUNTIF(J91:AW91,"&lt;&gt;"))</f>
        <v>0</v>
      </c>
      <c r="J91" s="133" t="s">
        <v>59</v>
      </c>
      <c r="K91" s="133" t="s">
        <v>65</v>
      </c>
      <c r="L91" s="133" t="s">
        <v>77</v>
      </c>
      <c r="M91" s="133" t="s">
        <v>135</v>
      </c>
      <c r="N91" s="133" t="s">
        <v>235</v>
      </c>
      <c r="O91" s="133" t="s">
        <v>610</v>
      </c>
      <c r="P91" s="133" t="s">
        <v>1286</v>
      </c>
      <c r="Q91" s="133" t="s">
        <v>1508</v>
      </c>
      <c r="R91" s="133" t="s">
        <v>1519</v>
      </c>
      <c r="S91" s="133" t="s">
        <v>1530</v>
      </c>
      <c r="T91" s="133" t="s">
        <v>1539</v>
      </c>
      <c r="U91" s="133" t="s">
        <v>1596</v>
      </c>
      <c r="V91" s="133" t="s">
        <v>1601</v>
      </c>
      <c r="W91" s="133" t="s">
        <v>1605</v>
      </c>
      <c r="X91" s="133" t="s">
        <v>1618</v>
      </c>
      <c r="Y91" s="133" t="s">
        <v>1621</v>
      </c>
      <c r="Z91" s="133" t="s">
        <v>1624</v>
      </c>
      <c r="AA91" s="133" t="s">
        <v>2269</v>
      </c>
      <c r="AB91" s="133" t="s">
        <v>2277</v>
      </c>
      <c r="AC91" s="133" t="s">
        <v>2332</v>
      </c>
      <c r="AD91" s="133" t="s">
        <v>2336</v>
      </c>
      <c r="AE91" s="133" t="s">
        <v>2341</v>
      </c>
      <c r="AF91" s="133" t="s">
        <v>2380</v>
      </c>
      <c r="AG91" s="133" t="s">
        <v>2387</v>
      </c>
      <c r="AH91" s="133" t="s">
        <v>2394</v>
      </c>
      <c r="AI91" s="133" t="s">
        <v>2426</v>
      </c>
      <c r="AJ91" s="133" t="s">
        <v>2433</v>
      </c>
      <c r="AK91" s="133" t="s">
        <v>2440</v>
      </c>
      <c r="AL91" s="133" t="s">
        <v>2447</v>
      </c>
      <c r="AM91" s="133" t="s">
        <v>2824</v>
      </c>
      <c r="AN91" s="133" t="s">
        <v>2837</v>
      </c>
      <c r="AO91" s="133" t="s">
        <v>2843</v>
      </c>
      <c r="AP91" s="133" t="s">
        <v>2849</v>
      </c>
      <c r="AQ91" s="133"/>
      <c r="AR91" s="133"/>
      <c r="AS91" s="133"/>
      <c r="AT91" s="133"/>
      <c r="AU91" s="133"/>
      <c r="AV91" s="133"/>
      <c r="AW91" s="143"/>
    </row>
    <row r="92" spans="1:49" ht="60" customHeight="1" x14ac:dyDescent="0.35">
      <c r="A92" s="140" t="s">
        <v>4503</v>
      </c>
      <c r="B92" s="126" t="s">
        <v>4530</v>
      </c>
      <c r="C92" s="127" t="s">
        <v>4531</v>
      </c>
      <c r="D92" s="129" t="s">
        <v>4532</v>
      </c>
      <c r="E92" s="129" t="s">
        <v>4533</v>
      </c>
      <c r="F92" s="129" t="s">
        <v>4534</v>
      </c>
      <c r="G92" s="129" t="s">
        <v>4041</v>
      </c>
      <c r="H92" s="129" t="s">
        <v>4535</v>
      </c>
      <c r="I92" s="131" t="str">
        <f>IF(COUNTIF(J92:AW92,"&lt;&gt;")=0,"",SUMPRODUCT(((Recommendations[ImplStatus]="Implemented")+(Recommendations[ImplStatus]="Compensated"))*ISNUMBER(MATCH(Recommendations[Id],J92:AW92,0)))/COUNTIF(J92:AW92,"&lt;&gt;"))</f>
        <v/>
      </c>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43"/>
    </row>
    <row r="93" spans="1:49" ht="60" customHeight="1" x14ac:dyDescent="0.35">
      <c r="A93" s="140" t="s">
        <v>4503</v>
      </c>
      <c r="B93" s="126" t="s">
        <v>4536</v>
      </c>
      <c r="C93" s="127" t="s">
        <v>4537</v>
      </c>
      <c r="D93" s="129" t="s">
        <v>4538</v>
      </c>
      <c r="E93" s="129" t="s">
        <v>4539</v>
      </c>
      <c r="F93" s="129" t="s">
        <v>4540</v>
      </c>
      <c r="G93" s="129" t="s">
        <v>4541</v>
      </c>
      <c r="H93" s="129" t="s">
        <v>4542</v>
      </c>
      <c r="I93" s="131" t="str">
        <f>IF(COUNTIF(J93:AW93,"&lt;&gt;")=0,"",SUMPRODUCT(((Recommendations[ImplStatus]="Implemented")+(Recommendations[ImplStatus]="Compensated"))*ISNUMBER(MATCH(Recommendations[Id],J93:AW93,0)))/COUNTIF(J93:AW93,"&lt;&gt;"))</f>
        <v/>
      </c>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43"/>
    </row>
    <row r="94" spans="1:49" ht="60" customHeight="1" x14ac:dyDescent="0.35">
      <c r="A94" s="140" t="s">
        <v>4503</v>
      </c>
      <c r="B94" s="126" t="s">
        <v>4543</v>
      </c>
      <c r="C94" s="127" t="s">
        <v>4544</v>
      </c>
      <c r="D94" s="129" t="s">
        <v>4545</v>
      </c>
      <c r="E94" s="129" t="s">
        <v>4546</v>
      </c>
      <c r="F94" s="129" t="s">
        <v>4547</v>
      </c>
      <c r="G94" s="129" t="s">
        <v>4548</v>
      </c>
      <c r="H94" s="129" t="s">
        <v>4549</v>
      </c>
      <c r="I94" s="131" t="str">
        <f>IF(COUNTIF(J94:AW94,"&lt;&gt;")=0,"",SUMPRODUCT(((Recommendations[ImplStatus]="Implemented")+(Recommendations[ImplStatus]="Compensated"))*ISNUMBER(MATCH(Recommendations[Id],J94:AW94,0)))/COUNTIF(J94:AW94,"&lt;&gt;"))</f>
        <v/>
      </c>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43"/>
    </row>
    <row r="95" spans="1:49" ht="60" customHeight="1" x14ac:dyDescent="0.35">
      <c r="A95" s="140" t="s">
        <v>4503</v>
      </c>
      <c r="B95" s="126" t="s">
        <v>4550</v>
      </c>
      <c r="C95" s="127" t="s">
        <v>4551</v>
      </c>
      <c r="D95" s="129" t="s">
        <v>4552</v>
      </c>
      <c r="E95" s="129" t="s">
        <v>4553</v>
      </c>
      <c r="F95" s="129" t="s">
        <v>4554</v>
      </c>
      <c r="G95" s="129" t="s">
        <v>4555</v>
      </c>
      <c r="H95" s="129" t="s">
        <v>4556</v>
      </c>
      <c r="I95" s="131" t="str">
        <f>IF(COUNTIF(J95:AW95,"&lt;&gt;")=0,"",SUMPRODUCT(((Recommendations[ImplStatus]="Implemented")+(Recommendations[ImplStatus]="Compensated"))*ISNUMBER(MATCH(Recommendations[Id],J95:AW95,0)))/COUNTIF(J95:AW95,"&lt;&gt;"))</f>
        <v/>
      </c>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43"/>
    </row>
    <row r="96" spans="1:49" ht="60" customHeight="1" x14ac:dyDescent="0.35">
      <c r="A96" s="140" t="s">
        <v>4503</v>
      </c>
      <c r="B96" s="126" t="s">
        <v>4557</v>
      </c>
      <c r="C96" s="127" t="s">
        <v>4558</v>
      </c>
      <c r="D96" s="129" t="s">
        <v>4559</v>
      </c>
      <c r="E96" s="129" t="s">
        <v>4560</v>
      </c>
      <c r="F96" s="129" t="s">
        <v>4561</v>
      </c>
      <c r="G96" s="129" t="s">
        <v>4562</v>
      </c>
      <c r="H96" s="129" t="s">
        <v>4563</v>
      </c>
      <c r="I96" s="131" t="str">
        <f>IF(COUNTIF(J96:AW96,"&lt;&gt;")=0,"",SUMPRODUCT(((Recommendations[ImplStatus]="Implemented")+(Recommendations[ImplStatus]="Compensated"))*ISNUMBER(MATCH(Recommendations[Id],J96:AW96,0)))/COUNTIF(J96:AW96,"&lt;&gt;"))</f>
        <v/>
      </c>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43"/>
    </row>
    <row r="97" spans="1:49" ht="60" customHeight="1" x14ac:dyDescent="0.35">
      <c r="A97" s="140" t="s">
        <v>4503</v>
      </c>
      <c r="B97" s="126" t="s">
        <v>4564</v>
      </c>
      <c r="C97" s="127" t="s">
        <v>4565</v>
      </c>
      <c r="D97" s="129" t="s">
        <v>4566</v>
      </c>
      <c r="E97" s="129" t="s">
        <v>4567</v>
      </c>
      <c r="F97" s="129" t="s">
        <v>4568</v>
      </c>
      <c r="G97" s="129" t="s">
        <v>4569</v>
      </c>
      <c r="H97" s="129" t="s">
        <v>4570</v>
      </c>
      <c r="I97" s="131" t="str">
        <f>IF(COUNTIF(J97:AW97,"&lt;&gt;")=0,"",SUMPRODUCT(((Recommendations[ImplStatus]="Implemented")+(Recommendations[ImplStatus]="Compensated"))*ISNUMBER(MATCH(Recommendations[Id],J97:AW97,0)))/COUNTIF(J97:AW97,"&lt;&gt;"))</f>
        <v/>
      </c>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c r="AO97" s="133"/>
      <c r="AP97" s="133"/>
      <c r="AQ97" s="133"/>
      <c r="AR97" s="133"/>
      <c r="AS97" s="133"/>
      <c r="AT97" s="133"/>
      <c r="AU97" s="133"/>
      <c r="AV97" s="133"/>
      <c r="AW97" s="143"/>
    </row>
    <row r="98" spans="1:49" ht="60" customHeight="1" outlineLevel="1" x14ac:dyDescent="0.35">
      <c r="A98" s="139" t="s">
        <v>4571</v>
      </c>
      <c r="B98" s="125"/>
      <c r="C98" s="124" t="s">
        <v>4572</v>
      </c>
      <c r="D98" s="128"/>
      <c r="E98" s="128"/>
      <c r="F98" s="128"/>
      <c r="G98" s="128"/>
      <c r="H98" s="128"/>
      <c r="I98" s="130" t="str">
        <f>IF(COUNTIF(J98:AW98,"&lt;&gt;")=0,"",SUMPRODUCT(((Recommendations[ImplStatus]="Implemented")+(Recommendations[ImplStatus]="Compensated"))*ISNUMBER(MATCH(Recommendations[Id],J98:AW98,0)))/COUNTIF(J98:AW98,"&lt;&gt;"))</f>
        <v/>
      </c>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42"/>
    </row>
    <row r="99" spans="1:49" ht="60" customHeight="1" x14ac:dyDescent="0.35">
      <c r="A99" s="140" t="s">
        <v>4571</v>
      </c>
      <c r="B99" s="126" t="s">
        <v>4573</v>
      </c>
      <c r="C99" s="127" t="s">
        <v>4574</v>
      </c>
      <c r="D99" s="129" t="s">
        <v>4575</v>
      </c>
      <c r="E99" s="129" t="s">
        <v>4576</v>
      </c>
      <c r="F99" s="129" t="s">
        <v>4577</v>
      </c>
      <c r="G99" s="129" t="s">
        <v>4578</v>
      </c>
      <c r="H99" s="129" t="s">
        <v>4579</v>
      </c>
      <c r="I99" s="131">
        <f>IF(COUNTIF(J99:AW99,"&lt;&gt;")=0,"",SUMPRODUCT(((Recommendations[ImplStatus]="Implemented")+(Recommendations[ImplStatus]="Compensated"))*ISNUMBER(MATCH(Recommendations[Id],J99:AW99,0)))/COUNTIF(J99:AW99,"&lt;&gt;"))</f>
        <v>0</v>
      </c>
      <c r="J99" s="133" t="s">
        <v>274</v>
      </c>
      <c r="K99" s="133" t="s">
        <v>1457</v>
      </c>
      <c r="L99" s="133" t="s">
        <v>1470</v>
      </c>
      <c r="M99" s="133" t="s">
        <v>1482</v>
      </c>
      <c r="N99" s="133" t="s">
        <v>1488</v>
      </c>
      <c r="O99" s="133" t="s">
        <v>1861</v>
      </c>
      <c r="P99" s="133" t="s">
        <v>1873</v>
      </c>
      <c r="Q99" s="133" t="s">
        <v>1884</v>
      </c>
      <c r="R99" s="133" t="s">
        <v>1892</v>
      </c>
      <c r="S99" s="133" t="s">
        <v>1901</v>
      </c>
      <c r="T99" s="133" t="s">
        <v>1910</v>
      </c>
      <c r="U99" s="133" t="s">
        <v>1918</v>
      </c>
      <c r="V99" s="133" t="s">
        <v>1927</v>
      </c>
      <c r="W99" s="133" t="s">
        <v>1931</v>
      </c>
      <c r="X99" s="133" t="s">
        <v>1934</v>
      </c>
      <c r="Y99" s="133" t="s">
        <v>1937</v>
      </c>
      <c r="Z99" s="133" t="s">
        <v>1940</v>
      </c>
      <c r="AA99" s="133" t="s">
        <v>1943</v>
      </c>
      <c r="AB99" s="133" t="s">
        <v>1946</v>
      </c>
      <c r="AC99" s="133" t="s">
        <v>1949</v>
      </c>
      <c r="AD99" s="133" t="s">
        <v>1952</v>
      </c>
      <c r="AE99" s="133" t="s">
        <v>1955</v>
      </c>
      <c r="AF99" s="133" t="s">
        <v>1958</v>
      </c>
      <c r="AG99" s="133" t="s">
        <v>1961</v>
      </c>
      <c r="AH99" s="133" t="s">
        <v>1964</v>
      </c>
      <c r="AI99" s="133" t="s">
        <v>1974</v>
      </c>
      <c r="AJ99" s="133" t="s">
        <v>1982</v>
      </c>
      <c r="AK99" s="133" t="s">
        <v>1988</v>
      </c>
      <c r="AL99" s="133" t="s">
        <v>2004</v>
      </c>
      <c r="AM99" s="133" t="s">
        <v>2010</v>
      </c>
      <c r="AN99" s="133" t="s">
        <v>2018</v>
      </c>
      <c r="AO99" s="133" t="s">
        <v>2022</v>
      </c>
      <c r="AP99" s="133" t="s">
        <v>2030</v>
      </c>
      <c r="AQ99" s="133" t="s">
        <v>2036</v>
      </c>
      <c r="AR99" s="133" t="s">
        <v>2042</v>
      </c>
      <c r="AS99" s="133" t="s">
        <v>2048</v>
      </c>
      <c r="AT99" s="133"/>
      <c r="AU99" s="133"/>
      <c r="AV99" s="133"/>
      <c r="AW99" s="143"/>
    </row>
    <row r="100" spans="1:49" ht="60" customHeight="1" x14ac:dyDescent="0.35">
      <c r="A100" s="140" t="s">
        <v>4571</v>
      </c>
      <c r="B100" s="126" t="s">
        <v>4580</v>
      </c>
      <c r="C100" s="127" t="s">
        <v>4581</v>
      </c>
      <c r="D100" s="129" t="s">
        <v>4582</v>
      </c>
      <c r="E100" s="129" t="s">
        <v>4583</v>
      </c>
      <c r="F100" s="129" t="s">
        <v>4584</v>
      </c>
      <c r="G100" s="129" t="s">
        <v>4585</v>
      </c>
      <c r="H100" s="129" t="s">
        <v>4586</v>
      </c>
      <c r="I100" s="131">
        <f>IF(COUNTIF(J100:AW100,"&lt;&gt;")=0,"",SUMPRODUCT(((Recommendations[ImplStatus]="Implemented")+(Recommendations[ImplStatus]="Compensated"))*ISNUMBER(MATCH(Recommendations[Id],J100:AW100,0)))/COUNTIF(J100:AW100,"&lt;&gt;"))</f>
        <v>0</v>
      </c>
      <c r="J100" s="133" t="s">
        <v>71</v>
      </c>
      <c r="K100" s="133" t="s">
        <v>320</v>
      </c>
      <c r="L100" s="133" t="s">
        <v>1704</v>
      </c>
      <c r="M100" s="133" t="s">
        <v>1798</v>
      </c>
      <c r="N100" s="133" t="s">
        <v>2497</v>
      </c>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43"/>
    </row>
    <row r="101" spans="1:49" ht="60" customHeight="1" x14ac:dyDescent="0.35">
      <c r="A101" s="140" t="s">
        <v>4571</v>
      </c>
      <c r="B101" s="126" t="s">
        <v>4587</v>
      </c>
      <c r="C101" s="127" t="s">
        <v>4588</v>
      </c>
      <c r="D101" s="129" t="s">
        <v>4589</v>
      </c>
      <c r="E101" s="129" t="s">
        <v>4590</v>
      </c>
      <c r="F101" s="129" t="s">
        <v>28</v>
      </c>
      <c r="G101" s="129" t="s">
        <v>28</v>
      </c>
      <c r="H101" s="129" t="s">
        <v>28</v>
      </c>
      <c r="I101" s="131">
        <f>IF(COUNTIF(J101:AW101,"&lt;&gt;")=0,"",SUMPRODUCT(((Recommendations[ImplStatus]="Implemented")+(Recommendations[ImplStatus]="Compensated"))*ISNUMBER(MATCH(Recommendations[Id],J101:AW101,0)))/COUNTIF(J101:AW101,"&lt;&gt;"))</f>
        <v>0</v>
      </c>
      <c r="J101" s="133" t="s">
        <v>115</v>
      </c>
      <c r="K101" s="133" t="s">
        <v>412</v>
      </c>
      <c r="L101" s="133" t="s">
        <v>425</v>
      </c>
      <c r="M101" s="133" t="s">
        <v>433</v>
      </c>
      <c r="N101" s="133" t="s">
        <v>514</v>
      </c>
      <c r="O101" s="133" t="s">
        <v>543</v>
      </c>
      <c r="P101" s="133" t="s">
        <v>557</v>
      </c>
      <c r="Q101" s="133" t="s">
        <v>570</v>
      </c>
      <c r="R101" s="133" t="s">
        <v>582</v>
      </c>
      <c r="S101" s="133" t="s">
        <v>591</v>
      </c>
      <c r="T101" s="133" t="s">
        <v>600</v>
      </c>
      <c r="U101" s="133" t="s">
        <v>618</v>
      </c>
      <c r="V101" s="133" t="s">
        <v>626</v>
      </c>
      <c r="W101" s="133" t="s">
        <v>636</v>
      </c>
      <c r="X101" s="133" t="s">
        <v>649</v>
      </c>
      <c r="Y101" s="133" t="s">
        <v>660</v>
      </c>
      <c r="Z101" s="133" t="s">
        <v>668</v>
      </c>
      <c r="AA101" s="133" t="s">
        <v>676</v>
      </c>
      <c r="AB101" s="133" t="s">
        <v>684</v>
      </c>
      <c r="AC101" s="133" t="s">
        <v>692</v>
      </c>
      <c r="AD101" s="133" t="s">
        <v>700</v>
      </c>
      <c r="AE101" s="133" t="s">
        <v>708</v>
      </c>
      <c r="AF101" s="133" t="s">
        <v>716</v>
      </c>
      <c r="AG101" s="133" t="s">
        <v>724</v>
      </c>
      <c r="AH101" s="133" t="s">
        <v>732</v>
      </c>
      <c r="AI101" s="133" t="s">
        <v>740</v>
      </c>
      <c r="AJ101" s="133" t="s">
        <v>748</v>
      </c>
      <c r="AK101" s="133" t="s">
        <v>756</v>
      </c>
      <c r="AL101" s="133" t="s">
        <v>764</v>
      </c>
      <c r="AM101" s="133" t="s">
        <v>772</v>
      </c>
      <c r="AN101" s="133" t="s">
        <v>780</v>
      </c>
      <c r="AO101" s="133" t="s">
        <v>783</v>
      </c>
      <c r="AP101" s="133" t="s">
        <v>791</v>
      </c>
      <c r="AQ101" s="133" t="s">
        <v>799</v>
      </c>
      <c r="AR101" s="133" t="s">
        <v>807</v>
      </c>
      <c r="AS101" s="133" t="s">
        <v>815</v>
      </c>
      <c r="AT101" s="133" t="s">
        <v>823</v>
      </c>
      <c r="AU101" s="133" t="s">
        <v>831</v>
      </c>
      <c r="AV101" s="133" t="s">
        <v>839</v>
      </c>
      <c r="AW101" s="143" t="s">
        <v>847</v>
      </c>
    </row>
    <row r="102" spans="1:49" ht="60" customHeight="1" x14ac:dyDescent="0.35">
      <c r="A102" s="140" t="s">
        <v>4571</v>
      </c>
      <c r="B102" s="126" t="s">
        <v>4591</v>
      </c>
      <c r="C102" s="127" t="s">
        <v>4592</v>
      </c>
      <c r="D102" s="129" t="s">
        <v>4593</v>
      </c>
      <c r="E102" s="129" t="s">
        <v>4594</v>
      </c>
      <c r="F102" s="129" t="s">
        <v>4595</v>
      </c>
      <c r="G102" s="129" t="s">
        <v>4596</v>
      </c>
      <c r="H102" s="129" t="s">
        <v>4597</v>
      </c>
      <c r="I102" s="131" t="str">
        <f>IF(COUNTIF(J102:AW102,"&lt;&gt;")=0,"",SUMPRODUCT(((Recommendations[ImplStatus]="Implemented")+(Recommendations[ImplStatus]="Compensated"))*ISNUMBER(MATCH(Recommendations[Id],J102:AW102,0)))/COUNTIF(J102:AW102,"&lt;&gt;"))</f>
        <v/>
      </c>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c r="AQ102" s="133"/>
      <c r="AR102" s="133"/>
      <c r="AS102" s="133"/>
      <c r="AT102" s="133"/>
      <c r="AU102" s="133"/>
      <c r="AV102" s="133"/>
      <c r="AW102" s="143"/>
    </row>
    <row r="103" spans="1:49" ht="60" customHeight="1" x14ac:dyDescent="0.35">
      <c r="A103" s="140" t="s">
        <v>4571</v>
      </c>
      <c r="B103" s="126" t="s">
        <v>4598</v>
      </c>
      <c r="C103" s="127" t="s">
        <v>4599</v>
      </c>
      <c r="D103" s="129" t="s">
        <v>4600</v>
      </c>
      <c r="E103" s="129" t="s">
        <v>4601</v>
      </c>
      <c r="F103" s="129" t="s">
        <v>4602</v>
      </c>
      <c r="G103" s="129" t="s">
        <v>4603</v>
      </c>
      <c r="H103" s="129" t="s">
        <v>4604</v>
      </c>
      <c r="I103" s="131" t="str">
        <f>IF(COUNTIF(J103:AW103,"&lt;&gt;")=0,"",SUMPRODUCT(((Recommendations[ImplStatus]="Implemented")+(Recommendations[ImplStatus]="Compensated"))*ISNUMBER(MATCH(Recommendations[Id],J103:AW103,0)))/COUNTIF(J103:AW103,"&lt;&gt;"))</f>
        <v/>
      </c>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c r="AQ103" s="133"/>
      <c r="AR103" s="133"/>
      <c r="AS103" s="133"/>
      <c r="AT103" s="133"/>
      <c r="AU103" s="133"/>
      <c r="AV103" s="133"/>
      <c r="AW103" s="143"/>
    </row>
    <row r="104" spans="1:49" ht="60" customHeight="1" outlineLevel="1" x14ac:dyDescent="0.35">
      <c r="A104" s="139" t="s">
        <v>4605</v>
      </c>
      <c r="B104" s="125"/>
      <c r="C104" s="124" t="s">
        <v>4606</v>
      </c>
      <c r="D104" s="128"/>
      <c r="E104" s="128"/>
      <c r="F104" s="128"/>
      <c r="G104" s="128"/>
      <c r="H104" s="128"/>
      <c r="I104" s="130" t="str">
        <f>IF(COUNTIF(J104:AW104,"&lt;&gt;")=0,"",SUMPRODUCT(((Recommendations[ImplStatus]="Implemented")+(Recommendations[ImplStatus]="Compensated"))*ISNUMBER(MATCH(Recommendations[Id],J104:AW104,0)))/COUNTIF(J104:AW104,"&lt;&gt;"))</f>
        <v/>
      </c>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42"/>
    </row>
    <row r="105" spans="1:49" ht="60" customHeight="1" x14ac:dyDescent="0.35">
      <c r="A105" s="140" t="s">
        <v>4605</v>
      </c>
      <c r="B105" s="126" t="s">
        <v>4607</v>
      </c>
      <c r="C105" s="127" t="s">
        <v>4608</v>
      </c>
      <c r="D105" s="129" t="s">
        <v>4609</v>
      </c>
      <c r="E105" s="129" t="s">
        <v>4610</v>
      </c>
      <c r="F105" s="129" t="s">
        <v>4611</v>
      </c>
      <c r="G105" s="129" t="s">
        <v>4612</v>
      </c>
      <c r="H105" s="129" t="s">
        <v>28</v>
      </c>
      <c r="I105" s="131" t="str">
        <f>IF(COUNTIF(J105:AW105,"&lt;&gt;")=0,"",SUMPRODUCT(((Recommendations[ImplStatus]="Implemented")+(Recommendations[ImplStatus]="Compensated"))*ISNUMBER(MATCH(Recommendations[Id],J105:AW105,0)))/COUNTIF(J105:AW105,"&lt;&gt;"))</f>
        <v/>
      </c>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c r="AQ105" s="133"/>
      <c r="AR105" s="133"/>
      <c r="AS105" s="133"/>
      <c r="AT105" s="133"/>
      <c r="AU105" s="133"/>
      <c r="AV105" s="133"/>
      <c r="AW105" s="143"/>
    </row>
    <row r="106" spans="1:49" ht="60" customHeight="1" x14ac:dyDescent="0.35">
      <c r="A106" s="140" t="s">
        <v>4605</v>
      </c>
      <c r="B106" s="126" t="s">
        <v>4613</v>
      </c>
      <c r="C106" s="127" t="s">
        <v>4614</v>
      </c>
      <c r="D106" s="129" t="s">
        <v>4615</v>
      </c>
      <c r="E106" s="129" t="s">
        <v>4616</v>
      </c>
      <c r="F106" s="129" t="s">
        <v>4617</v>
      </c>
      <c r="G106" s="129" t="s">
        <v>4618</v>
      </c>
      <c r="H106" s="129" t="s">
        <v>4619</v>
      </c>
      <c r="I106" s="131" t="str">
        <f>IF(COUNTIF(J106:AW106,"&lt;&gt;")=0,"",SUMPRODUCT(((Recommendations[ImplStatus]="Implemented")+(Recommendations[ImplStatus]="Compensated"))*ISNUMBER(MATCH(Recommendations[Id],J106:AW106,0)))/COUNTIF(J106:AW106,"&lt;&gt;"))</f>
        <v/>
      </c>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c r="AQ106" s="133"/>
      <c r="AR106" s="133"/>
      <c r="AS106" s="133"/>
      <c r="AT106" s="133"/>
      <c r="AU106" s="133"/>
      <c r="AV106" s="133"/>
      <c r="AW106" s="143"/>
    </row>
    <row r="107" spans="1:49" ht="60" customHeight="1" x14ac:dyDescent="0.35">
      <c r="A107" s="140" t="s">
        <v>4605</v>
      </c>
      <c r="B107" s="126" t="s">
        <v>4620</v>
      </c>
      <c r="C107" s="127" t="s">
        <v>4621</v>
      </c>
      <c r="D107" s="129" t="s">
        <v>4622</v>
      </c>
      <c r="E107" s="129" t="s">
        <v>4623</v>
      </c>
      <c r="F107" s="129" t="s">
        <v>4624</v>
      </c>
      <c r="G107" s="129" t="s">
        <v>4625</v>
      </c>
      <c r="H107" s="129" t="s">
        <v>4626</v>
      </c>
      <c r="I107" s="131" t="str">
        <f>IF(COUNTIF(J107:AW107,"&lt;&gt;")=0,"",SUMPRODUCT(((Recommendations[ImplStatus]="Implemented")+(Recommendations[ImplStatus]="Compensated"))*ISNUMBER(MATCH(Recommendations[Id],J107:AW107,0)))/COUNTIF(J107:AW107,"&lt;&gt;"))</f>
        <v/>
      </c>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43"/>
    </row>
    <row r="108" spans="1:49" ht="60" customHeight="1" outlineLevel="1" x14ac:dyDescent="0.35">
      <c r="A108" s="139" t="s">
        <v>4627</v>
      </c>
      <c r="B108" s="125"/>
      <c r="C108" s="124" t="s">
        <v>4628</v>
      </c>
      <c r="D108" s="128"/>
      <c r="E108" s="128"/>
      <c r="F108" s="128"/>
      <c r="G108" s="128"/>
      <c r="H108" s="128"/>
      <c r="I108" s="130" t="str">
        <f>IF(COUNTIF(J108:AW108,"&lt;&gt;")=0,"",SUMPRODUCT(((Recommendations[ImplStatus]="Implemented")+(Recommendations[ImplStatus]="Compensated"))*ISNUMBER(MATCH(Recommendations[Id],J108:AW108,0)))/COUNTIF(J108:AW108,"&lt;&gt;"))</f>
        <v/>
      </c>
      <c r="J108" s="132"/>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c r="AU108" s="132"/>
      <c r="AV108" s="132"/>
      <c r="AW108" s="142"/>
    </row>
    <row r="109" spans="1:49" ht="60" customHeight="1" x14ac:dyDescent="0.35">
      <c r="A109" s="140" t="s">
        <v>4627</v>
      </c>
      <c r="B109" s="126" t="s">
        <v>4629</v>
      </c>
      <c r="C109" s="127" t="s">
        <v>4630</v>
      </c>
      <c r="D109" s="129" t="s">
        <v>4631</v>
      </c>
      <c r="E109" s="129" t="s">
        <v>4632</v>
      </c>
      <c r="F109" s="129" t="s">
        <v>4633</v>
      </c>
      <c r="G109" s="129" t="s">
        <v>4634</v>
      </c>
      <c r="H109" s="129" t="s">
        <v>4635</v>
      </c>
      <c r="I109" s="131" t="str">
        <f>IF(COUNTIF(J109:AW109,"&lt;&gt;")=0,"",SUMPRODUCT(((Recommendations[ImplStatus]="Implemented")+(Recommendations[ImplStatus]="Compensated"))*ISNUMBER(MATCH(Recommendations[Id],J109:AW109,0)))/COUNTIF(J109:AW109,"&lt;&gt;"))</f>
        <v/>
      </c>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c r="AM109" s="133"/>
      <c r="AN109" s="133"/>
      <c r="AO109" s="133"/>
      <c r="AP109" s="133"/>
      <c r="AQ109" s="133"/>
      <c r="AR109" s="133"/>
      <c r="AS109" s="133"/>
      <c r="AT109" s="133"/>
      <c r="AU109" s="133"/>
      <c r="AV109" s="133"/>
      <c r="AW109" s="143"/>
    </row>
    <row r="110" spans="1:49" ht="60" customHeight="1" x14ac:dyDescent="0.35">
      <c r="A110" s="140" t="s">
        <v>4627</v>
      </c>
      <c r="B110" s="126" t="s">
        <v>4636</v>
      </c>
      <c r="C110" s="127" t="s">
        <v>4637</v>
      </c>
      <c r="D110" s="129" t="s">
        <v>4638</v>
      </c>
      <c r="E110" s="129" t="s">
        <v>4639</v>
      </c>
      <c r="F110" s="129" t="s">
        <v>4640</v>
      </c>
      <c r="G110" s="129" t="s">
        <v>4641</v>
      </c>
      <c r="H110" s="129" t="s">
        <v>4642</v>
      </c>
      <c r="I110" s="131" t="str">
        <f>IF(COUNTIF(J110:AW110,"&lt;&gt;")=0,"",SUMPRODUCT(((Recommendations[ImplStatus]="Implemented")+(Recommendations[ImplStatus]="Compensated"))*ISNUMBER(MATCH(Recommendations[Id],J110:AW110,0)))/COUNTIF(J110:AW110,"&lt;&gt;"))</f>
        <v/>
      </c>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133"/>
      <c r="AT110" s="133"/>
      <c r="AU110" s="133"/>
      <c r="AV110" s="133"/>
      <c r="AW110" s="143"/>
    </row>
    <row r="111" spans="1:49" ht="60" customHeight="1" x14ac:dyDescent="0.35">
      <c r="A111" s="140" t="s">
        <v>4627</v>
      </c>
      <c r="B111" s="126" t="s">
        <v>4643</v>
      </c>
      <c r="C111" s="127" t="s">
        <v>4644</v>
      </c>
      <c r="D111" s="129" t="s">
        <v>4645</v>
      </c>
      <c r="E111" s="129" t="s">
        <v>4646</v>
      </c>
      <c r="F111" s="129" t="s">
        <v>4647</v>
      </c>
      <c r="G111" s="129" t="s">
        <v>4648</v>
      </c>
      <c r="H111" s="129" t="s">
        <v>4649</v>
      </c>
      <c r="I111" s="131" t="str">
        <f>IF(COUNTIF(J111:AW111,"&lt;&gt;")=0,"",SUMPRODUCT(((Recommendations[ImplStatus]="Implemented")+(Recommendations[ImplStatus]="Compensated"))*ISNUMBER(MATCH(Recommendations[Id],J111:AW111,0)))/COUNTIF(J111:AW111,"&lt;&gt;"))</f>
        <v/>
      </c>
      <c r="J111" s="133"/>
      <c r="K111" s="133"/>
      <c r="L111" s="133"/>
      <c r="M111" s="133"/>
      <c r="N111" s="133"/>
      <c r="O111" s="133"/>
      <c r="P111" s="133"/>
      <c r="Q111" s="133"/>
      <c r="R111" s="133"/>
      <c r="S111" s="133"/>
      <c r="T111" s="133"/>
      <c r="U111" s="133"/>
      <c r="V111" s="133"/>
      <c r="W111" s="133"/>
      <c r="X111" s="133"/>
      <c r="Y111" s="133"/>
      <c r="Z111" s="133"/>
      <c r="AA111" s="133"/>
      <c r="AB111" s="133"/>
      <c r="AC111" s="133"/>
      <c r="AD111" s="133"/>
      <c r="AE111" s="133"/>
      <c r="AF111" s="133"/>
      <c r="AG111" s="133"/>
      <c r="AH111" s="133"/>
      <c r="AI111" s="133"/>
      <c r="AJ111" s="133"/>
      <c r="AK111" s="133"/>
      <c r="AL111" s="133"/>
      <c r="AM111" s="133"/>
      <c r="AN111" s="133"/>
      <c r="AO111" s="133"/>
      <c r="AP111" s="133"/>
      <c r="AQ111" s="133"/>
      <c r="AR111" s="133"/>
      <c r="AS111" s="133"/>
      <c r="AT111" s="133"/>
      <c r="AU111" s="133"/>
      <c r="AV111" s="133"/>
      <c r="AW111" s="143"/>
    </row>
    <row r="112" spans="1:49" ht="60" customHeight="1" outlineLevel="1" x14ac:dyDescent="0.35">
      <c r="A112" s="139" t="s">
        <v>4650</v>
      </c>
      <c r="B112" s="125"/>
      <c r="C112" s="124" t="s">
        <v>4651</v>
      </c>
      <c r="D112" s="128"/>
      <c r="E112" s="128"/>
      <c r="F112" s="128"/>
      <c r="G112" s="128"/>
      <c r="H112" s="128"/>
      <c r="I112" s="130" t="str">
        <f>IF(COUNTIF(J112:AW112,"&lt;&gt;")=0,"",SUMPRODUCT(((Recommendations[ImplStatus]="Implemented")+(Recommendations[ImplStatus]="Compensated"))*ISNUMBER(MATCH(Recommendations[Id],J112:AW112,0)))/COUNTIF(J112:AW112,"&lt;&gt;"))</f>
        <v/>
      </c>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42"/>
    </row>
    <row r="113" spans="1:49" ht="60" customHeight="1" x14ac:dyDescent="0.35">
      <c r="A113" s="140" t="s">
        <v>4650</v>
      </c>
      <c r="B113" s="126" t="s">
        <v>4652</v>
      </c>
      <c r="C113" s="127" t="s">
        <v>4653</v>
      </c>
      <c r="D113" s="129" t="s">
        <v>4654</v>
      </c>
      <c r="E113" s="129" t="s">
        <v>4655</v>
      </c>
      <c r="F113" s="129" t="s">
        <v>4656</v>
      </c>
      <c r="G113" s="129" t="s">
        <v>4657</v>
      </c>
      <c r="H113" s="129" t="s">
        <v>4658</v>
      </c>
      <c r="I113" s="131" t="str">
        <f>IF(COUNTIF(J113:AW113,"&lt;&gt;")=0,"",SUMPRODUCT(((Recommendations[ImplStatus]="Implemented")+(Recommendations[ImplStatus]="Compensated"))*ISNUMBER(MATCH(Recommendations[Id],J113:AW113,0)))/COUNTIF(J113:AW113,"&lt;&gt;"))</f>
        <v/>
      </c>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c r="AS113" s="133"/>
      <c r="AT113" s="133"/>
      <c r="AU113" s="133"/>
      <c r="AV113" s="133"/>
      <c r="AW113" s="143"/>
    </row>
    <row r="114" spans="1:49" ht="60" customHeight="1" x14ac:dyDescent="0.35">
      <c r="A114" s="140" t="s">
        <v>4650</v>
      </c>
      <c r="B114" s="126" t="s">
        <v>4659</v>
      </c>
      <c r="C114" s="127" t="s">
        <v>4660</v>
      </c>
      <c r="D114" s="129" t="s">
        <v>4661</v>
      </c>
      <c r="E114" s="129" t="s">
        <v>4662</v>
      </c>
      <c r="F114" s="129" t="s">
        <v>4663</v>
      </c>
      <c r="G114" s="129" t="s">
        <v>4657</v>
      </c>
      <c r="H114" s="129" t="s">
        <v>4664</v>
      </c>
      <c r="I114" s="131" t="str">
        <f>IF(COUNTIF(J114:AW114,"&lt;&gt;")=0,"",SUMPRODUCT(((Recommendations[ImplStatus]="Implemented")+(Recommendations[ImplStatus]="Compensated"))*ISNUMBER(MATCH(Recommendations[Id],J114:AW114,0)))/COUNTIF(J114:AW114,"&lt;&gt;"))</f>
        <v/>
      </c>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c r="AS114" s="133"/>
      <c r="AT114" s="133"/>
      <c r="AU114" s="133"/>
      <c r="AV114" s="133"/>
      <c r="AW114" s="143"/>
    </row>
    <row r="115" spans="1:49" ht="60" customHeight="1" x14ac:dyDescent="0.35">
      <c r="A115" s="141" t="s">
        <v>4650</v>
      </c>
      <c r="B115" s="134" t="s">
        <v>4665</v>
      </c>
      <c r="C115" s="135" t="s">
        <v>4666</v>
      </c>
      <c r="D115" s="136" t="s">
        <v>4667</v>
      </c>
      <c r="E115" s="136" t="s">
        <v>4668</v>
      </c>
      <c r="F115" s="136" t="s">
        <v>4669</v>
      </c>
      <c r="G115" s="136" t="s">
        <v>4670</v>
      </c>
      <c r="H115" s="136" t="s">
        <v>4671</v>
      </c>
      <c r="I115" s="137" t="str">
        <f>IF(COUNTIF(J115:AW115,"&lt;&gt;")=0,"",SUMPRODUCT(((Recommendations[ImplStatus]="Implemented")+(Recommendations[ImplStatus]="Compensated"))*ISNUMBER(MATCH(Recommendations[Id],J115:AW115,0)))/COUNTIF(J115:AW115,"&lt;&gt;"))</f>
        <v/>
      </c>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138"/>
      <c r="AO115" s="138"/>
      <c r="AP115" s="138"/>
      <c r="AQ115" s="138"/>
      <c r="AR115" s="138"/>
      <c r="AS115" s="138"/>
      <c r="AT115" s="138"/>
      <c r="AU115" s="138"/>
      <c r="AV115" s="138"/>
      <c r="AW115" s="144"/>
    </row>
    <row r="119" spans="1:49" ht="32" customHeight="1" x14ac:dyDescent="0.35">
      <c r="A119" s="266" t="s">
        <v>2861</v>
      </c>
      <c r="B119" s="266"/>
      <c r="C119" s="266"/>
      <c r="D119" s="266"/>
      <c r="E119" s="266"/>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IFERROR(INDEX('Recommendations'!$G$2:$G$365, MATCH(J2,'Recommendations'!$B$2:$B$365,0))="Implemented", FALSE))</xm:f>
            <x14:dxf>
              <font>
                <color rgb="FF000000"/>
              </font>
              <fill>
                <patternFill>
                  <bgColor rgb="FF3C7D22"/>
                </patternFill>
              </fill>
            </x14:dxf>
          </x14:cfRule>
          <x14:cfRule type="expression" priority="2" id="{00000000-000E-0000-0600-000002000000}">
            <xm:f>AND(J2&lt;&gt;"", IFERROR(INDEX('Recommendations'!$G$2:$G$365, MATCH(J2,'Recommendations'!$B$2:$B$365,0))="Compensated", FALSE))</xm:f>
            <x14:dxf>
              <font>
                <color rgb="FF000000"/>
              </font>
              <fill>
                <patternFill>
                  <bgColor rgb="FFC6E0B4"/>
                </patternFill>
              </fill>
            </x14:dxf>
          </x14:cfRule>
          <x14:cfRule type="expression" priority="3" id="{00000000-000E-0000-0600-000003000000}">
            <xm:f>AND(J2&lt;&gt;"", IFERROR(INDEX('Recommendations'!$G$2:$G$365, MATCH(J2,'Recommendations'!$B$2:$B$365,0))="Testing", FALSE))</xm:f>
            <x14:dxf>
              <font>
                <color rgb="FF000000"/>
              </font>
              <fill>
                <patternFill>
                  <bgColor rgb="FFFFC000"/>
                </patternFill>
              </fill>
            </x14:dxf>
          </x14:cfRule>
          <x14:cfRule type="expression" priority="4" id="{00000000-000E-0000-0600-000004000000}">
            <xm:f>AND(J2&lt;&gt;"", IFERROR(INDEX('Recommendations'!$G$2:$G$365, MATCH(J2,'Recommendations'!$B$2:$B$365,0))="Failed", FALSE))</xm:f>
            <x14:dxf>
              <font>
                <color rgb="FF000000"/>
              </font>
              <fill>
                <patternFill>
                  <bgColor rgb="FFD82891"/>
                </patternFill>
              </fill>
            </x14:dxf>
          </x14:cfRule>
          <x14:cfRule type="expression" priority="5" id="{00000000-000E-0000-0600-000005000000}">
            <xm:f>AND(J2&lt;&gt;"", IFERROR(INDEX('Recommendations'!$G$2:$G$365, MATCH(J2,'Recommendations'!$B$2:$B$365,0))="Risk Accepted", FALSE))</xm:f>
            <x14:dxf>
              <font>
                <color rgb="FF000000"/>
              </font>
              <fill>
                <patternFill>
                  <bgColor rgb="FFD9D9D9"/>
                </patternFill>
              </fill>
            </x14:dxf>
          </x14:cfRule>
          <x14:cfRule type="expression" priority="6" id="{00000000-000E-0000-0600-000006000000}">
            <xm:f>AND(J2&lt;&gt;"", IFERROR(INDEX('Recommendations'!$G$2:$G$365, MATCH(J2,'Recommendations'!$B$2:$B$365,0))="N/A",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4" t="s">
        <v>4672</v>
      </c>
      <c r="B1" s="185" t="s">
        <v>4673</v>
      </c>
      <c r="C1" s="185" t="s">
        <v>1</v>
      </c>
      <c r="D1" s="185" t="s">
        <v>4674</v>
      </c>
      <c r="E1" s="185" t="s">
        <v>4675</v>
      </c>
      <c r="F1" s="185" t="s">
        <v>4676</v>
      </c>
      <c r="G1" s="185" t="s">
        <v>3097</v>
      </c>
      <c r="H1" s="185" t="s">
        <v>3098</v>
      </c>
      <c r="I1" s="185" t="s">
        <v>3099</v>
      </c>
      <c r="J1" s="185" t="s">
        <v>3100</v>
      </c>
      <c r="K1" s="185" t="s">
        <v>3101</v>
      </c>
      <c r="L1" s="185" t="s">
        <v>3102</v>
      </c>
      <c r="M1" s="185" t="s">
        <v>3103</v>
      </c>
      <c r="N1" s="185" t="s">
        <v>3104</v>
      </c>
      <c r="O1" s="185" t="s">
        <v>3105</v>
      </c>
      <c r="P1" s="185" t="s">
        <v>3106</v>
      </c>
      <c r="Q1" s="185" t="s">
        <v>3107</v>
      </c>
      <c r="R1" s="185" t="s">
        <v>3108</v>
      </c>
      <c r="S1" s="185" t="s">
        <v>3109</v>
      </c>
      <c r="T1" s="185" t="s">
        <v>3110</v>
      </c>
      <c r="U1" s="185" t="s">
        <v>3111</v>
      </c>
      <c r="V1" s="185" t="s">
        <v>3112</v>
      </c>
      <c r="W1" s="185" t="s">
        <v>3113</v>
      </c>
      <c r="X1" s="185" t="s">
        <v>3114</v>
      </c>
      <c r="Y1" s="185" t="s">
        <v>3115</v>
      </c>
      <c r="Z1" s="185" t="s">
        <v>3116</v>
      </c>
      <c r="AA1" s="185" t="s">
        <v>3117</v>
      </c>
      <c r="AB1" s="185" t="s">
        <v>3118</v>
      </c>
      <c r="AC1" s="185" t="s">
        <v>3119</v>
      </c>
      <c r="AD1" s="185" t="s">
        <v>3120</v>
      </c>
      <c r="AE1" s="185" t="s">
        <v>3121</v>
      </c>
      <c r="AF1" s="185" t="s">
        <v>3122</v>
      </c>
      <c r="AG1" s="185" t="s">
        <v>3123</v>
      </c>
      <c r="AH1" s="185" t="s">
        <v>3124</v>
      </c>
      <c r="AI1" s="185" t="s">
        <v>3125</v>
      </c>
      <c r="AJ1" s="185" t="s">
        <v>3126</v>
      </c>
      <c r="AK1" s="185" t="s">
        <v>3127</v>
      </c>
      <c r="AL1" s="185" t="s">
        <v>3128</v>
      </c>
      <c r="AM1" s="185" t="s">
        <v>3129</v>
      </c>
      <c r="AN1" s="185" t="s">
        <v>3130</v>
      </c>
      <c r="AO1" s="185" t="s">
        <v>3131</v>
      </c>
      <c r="AP1" s="185" t="s">
        <v>3132</v>
      </c>
      <c r="AQ1" s="185" t="s">
        <v>3133</v>
      </c>
      <c r="AR1" s="185" t="s">
        <v>3134</v>
      </c>
      <c r="AS1" s="185" t="s">
        <v>3135</v>
      </c>
      <c r="AT1" s="185" t="s">
        <v>3136</v>
      </c>
      <c r="AU1" s="186" t="s">
        <v>3137</v>
      </c>
    </row>
    <row r="2" spans="1:47" ht="60" customHeight="1" outlineLevel="1" x14ac:dyDescent="0.35">
      <c r="A2" s="176" t="s">
        <v>4677</v>
      </c>
      <c r="B2" s="150" t="s">
        <v>28</v>
      </c>
      <c r="C2" s="148" t="s">
        <v>4678</v>
      </c>
      <c r="D2" s="154" t="s">
        <v>4679</v>
      </c>
      <c r="E2" s="157" t="s">
        <v>28</v>
      </c>
      <c r="F2" s="160" t="s">
        <v>28</v>
      </c>
      <c r="G2" s="163" t="str">
        <f>IF(COUNTIF(H2:AU2,"&lt;&gt;")=0,"",SUMPRODUCT(((Recommendations[ImplStatus]="Implemented")+(Recommendations[ImplStatus]="Compensated"))*ISNUMBER(MATCH(Recommendations[Id],H2:AU2,0)))/COUNTIF(H2:AU2,"&lt;&gt;"))</f>
        <v/>
      </c>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80"/>
    </row>
    <row r="3" spans="1:47" ht="60" customHeight="1" outlineLevel="1" x14ac:dyDescent="0.35">
      <c r="A3" s="177" t="s">
        <v>4677</v>
      </c>
      <c r="B3" s="151" t="s">
        <v>4680</v>
      </c>
      <c r="C3" s="149" t="s">
        <v>4681</v>
      </c>
      <c r="D3" s="155" t="s">
        <v>4682</v>
      </c>
      <c r="E3" s="158" t="s">
        <v>28</v>
      </c>
      <c r="F3" s="161" t="s">
        <v>28</v>
      </c>
      <c r="G3" s="164" t="str">
        <f>IF(COUNTIF(H3:AU3,"&lt;&gt;")=0,"",SUMPRODUCT(((Recommendations[ImplStatus]="Implemented")+(Recommendations[ImplStatus]="Compensated"))*ISNUMBER(MATCH(Recommendations[Id],H3:AU3,0)))/COUNTIF(H3:AU3,"&lt;&gt;"))</f>
        <v/>
      </c>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81"/>
    </row>
    <row r="4" spans="1:47" ht="60" customHeight="1" x14ac:dyDescent="0.35">
      <c r="A4" s="178" t="s">
        <v>4677</v>
      </c>
      <c r="B4" s="152" t="s">
        <v>4680</v>
      </c>
      <c r="C4" s="153" t="s">
        <v>4683</v>
      </c>
      <c r="D4" s="156" t="s">
        <v>4684</v>
      </c>
      <c r="E4" s="159" t="s">
        <v>4685</v>
      </c>
      <c r="F4" s="162" t="s">
        <v>4686</v>
      </c>
      <c r="G4" s="165" t="str">
        <f>IF(COUNTIF(H4:AU4,"&lt;&gt;")=0,"",SUMPRODUCT(((Recommendations[ImplStatus]="Implemented")+(Recommendations[ImplStatus]="Compensated"))*ISNUMBER(MATCH(Recommendations[Id],H4:AU4,0)))/COUNTIF(H4:AU4,"&lt;&gt;"))</f>
        <v/>
      </c>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Q4" s="168"/>
      <c r="AR4" s="168"/>
      <c r="AS4" s="168"/>
      <c r="AT4" s="168"/>
      <c r="AU4" s="182"/>
    </row>
    <row r="5" spans="1:47" ht="60" customHeight="1" x14ac:dyDescent="0.35">
      <c r="A5" s="178" t="s">
        <v>4677</v>
      </c>
      <c r="B5" s="152" t="s">
        <v>4680</v>
      </c>
      <c r="C5" s="153" t="s">
        <v>4687</v>
      </c>
      <c r="D5" s="156" t="s">
        <v>4688</v>
      </c>
      <c r="E5" s="159" t="s">
        <v>4689</v>
      </c>
      <c r="F5" s="162" t="s">
        <v>4690</v>
      </c>
      <c r="G5" s="165" t="str">
        <f>IF(COUNTIF(H5:AU5,"&lt;&gt;")=0,"",SUMPRODUCT(((Recommendations[ImplStatus]="Implemented")+(Recommendations[ImplStatus]="Compensated"))*ISNUMBER(MATCH(Recommendations[Id],H5:AU5,0)))/COUNTIF(H5:AU5,"&lt;&gt;"))</f>
        <v/>
      </c>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82"/>
    </row>
    <row r="6" spans="1:47" ht="60" customHeight="1" x14ac:dyDescent="0.35">
      <c r="A6" s="178" t="s">
        <v>4677</v>
      </c>
      <c r="B6" s="152" t="s">
        <v>4680</v>
      </c>
      <c r="C6" s="153" t="s">
        <v>4691</v>
      </c>
      <c r="D6" s="156" t="s">
        <v>4692</v>
      </c>
      <c r="E6" s="159" t="s">
        <v>4693</v>
      </c>
      <c r="F6" s="162" t="s">
        <v>4690</v>
      </c>
      <c r="G6" s="165" t="str">
        <f>IF(COUNTIF(H6:AU6,"&lt;&gt;")=0,"",SUMPRODUCT(((Recommendations[ImplStatus]="Implemented")+(Recommendations[ImplStatus]="Compensated"))*ISNUMBER(MATCH(Recommendations[Id],H6:AU6,0)))/COUNTIF(H6:AU6,"&lt;&gt;"))</f>
        <v/>
      </c>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c r="AU6" s="182"/>
    </row>
    <row r="7" spans="1:47" ht="60" customHeight="1" x14ac:dyDescent="0.35">
      <c r="A7" s="178" t="s">
        <v>4677</v>
      </c>
      <c r="B7" s="152" t="s">
        <v>4680</v>
      </c>
      <c r="C7" s="153" t="s">
        <v>4694</v>
      </c>
      <c r="D7" s="156" t="s">
        <v>4695</v>
      </c>
      <c r="E7" s="159" t="s">
        <v>4696</v>
      </c>
      <c r="F7" s="162" t="s">
        <v>4690</v>
      </c>
      <c r="G7" s="165" t="str">
        <f>IF(COUNTIF(H7:AU7,"&lt;&gt;")=0,"",SUMPRODUCT(((Recommendations[ImplStatus]="Implemented")+(Recommendations[ImplStatus]="Compensated"))*ISNUMBER(MATCH(Recommendations[Id],H7:AU7,0)))/COUNTIF(H7:AU7,"&lt;&gt;"))</f>
        <v/>
      </c>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82"/>
    </row>
    <row r="8" spans="1:47" ht="60" customHeight="1" x14ac:dyDescent="0.35">
      <c r="A8" s="178" t="s">
        <v>4677</v>
      </c>
      <c r="B8" s="152" t="s">
        <v>4680</v>
      </c>
      <c r="C8" s="153" t="s">
        <v>4697</v>
      </c>
      <c r="D8" s="156" t="s">
        <v>4698</v>
      </c>
      <c r="E8" s="159" t="s">
        <v>4699</v>
      </c>
      <c r="F8" s="162" t="s">
        <v>4700</v>
      </c>
      <c r="G8" s="165" t="str">
        <f>IF(COUNTIF(H8:AU8,"&lt;&gt;")=0,"",SUMPRODUCT(((Recommendations[ImplStatus]="Implemented")+(Recommendations[ImplStatus]="Compensated"))*ISNUMBER(MATCH(Recommendations[Id],H8:AU8,0)))/COUNTIF(H8:AU8,"&lt;&gt;"))</f>
        <v/>
      </c>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82"/>
    </row>
    <row r="9" spans="1:47" ht="60" customHeight="1" outlineLevel="1" x14ac:dyDescent="0.35">
      <c r="A9" s="177" t="s">
        <v>4677</v>
      </c>
      <c r="B9" s="151" t="s">
        <v>4701</v>
      </c>
      <c r="C9" s="149" t="s">
        <v>4702</v>
      </c>
      <c r="D9" s="155" t="s">
        <v>4703</v>
      </c>
      <c r="E9" s="158" t="s">
        <v>28</v>
      </c>
      <c r="F9" s="161" t="s">
        <v>28</v>
      </c>
      <c r="G9" s="164" t="str">
        <f>IF(COUNTIF(H9:AU9,"&lt;&gt;")=0,"",SUMPRODUCT(((Recommendations[ImplStatus]="Implemented")+(Recommendations[ImplStatus]="Compensated"))*ISNUMBER(MATCH(Recommendations[Id],H9:AU9,0)))/COUNTIF(H9:AU9,"&lt;&gt;"))</f>
        <v/>
      </c>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81"/>
    </row>
    <row r="10" spans="1:47" ht="60" customHeight="1" x14ac:dyDescent="0.35">
      <c r="A10" s="178" t="s">
        <v>4677</v>
      </c>
      <c r="B10" s="152" t="s">
        <v>4701</v>
      </c>
      <c r="C10" s="153" t="s">
        <v>4704</v>
      </c>
      <c r="D10" s="156" t="s">
        <v>4705</v>
      </c>
      <c r="E10" s="159" t="s">
        <v>4706</v>
      </c>
      <c r="F10" s="162" t="s">
        <v>4686</v>
      </c>
      <c r="G10" s="165" t="str">
        <f>IF(COUNTIF(H10:AU10,"&lt;&gt;")=0,"",SUMPRODUCT(((Recommendations[ImplStatus]="Implemented")+(Recommendations[ImplStatus]="Compensated"))*ISNUMBER(MATCH(Recommendations[Id],H10:AU10,0)))/COUNTIF(H10:AU10,"&lt;&gt;"))</f>
        <v/>
      </c>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82"/>
    </row>
    <row r="11" spans="1:47" ht="60" customHeight="1" x14ac:dyDescent="0.35">
      <c r="A11" s="178" t="s">
        <v>4677</v>
      </c>
      <c r="B11" s="152" t="s">
        <v>4701</v>
      </c>
      <c r="C11" s="153" t="s">
        <v>4707</v>
      </c>
      <c r="D11" s="156" t="s">
        <v>4708</v>
      </c>
      <c r="E11" s="159" t="s">
        <v>4709</v>
      </c>
      <c r="F11" s="162" t="s">
        <v>4686</v>
      </c>
      <c r="G11" s="165" t="str">
        <f>IF(COUNTIF(H11:AU11,"&lt;&gt;")=0,"",SUMPRODUCT(((Recommendations[ImplStatus]="Implemented")+(Recommendations[ImplStatus]="Compensated"))*ISNUMBER(MATCH(Recommendations[Id],H11:AU11,0)))/COUNTIF(H11:AU11,"&lt;&gt;"))</f>
        <v/>
      </c>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82"/>
    </row>
    <row r="12" spans="1:47" ht="60" customHeight="1" x14ac:dyDescent="0.35">
      <c r="A12" s="178" t="s">
        <v>4677</v>
      </c>
      <c r="B12" s="152" t="s">
        <v>4701</v>
      </c>
      <c r="C12" s="153" t="s">
        <v>4710</v>
      </c>
      <c r="D12" s="156" t="s">
        <v>4711</v>
      </c>
      <c r="E12" s="159" t="s">
        <v>4712</v>
      </c>
      <c r="F12" s="162" t="s">
        <v>4686</v>
      </c>
      <c r="G12" s="165" t="str">
        <f>IF(COUNTIF(H12:AU12,"&lt;&gt;")=0,"",SUMPRODUCT(((Recommendations[ImplStatus]="Implemented")+(Recommendations[ImplStatus]="Compensated"))*ISNUMBER(MATCH(Recommendations[Id],H12:AU12,0)))/COUNTIF(H12:AU12,"&lt;&gt;"))</f>
        <v/>
      </c>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82"/>
    </row>
    <row r="13" spans="1:47" ht="60" customHeight="1" outlineLevel="1" x14ac:dyDescent="0.35">
      <c r="A13" s="177" t="s">
        <v>4677</v>
      </c>
      <c r="B13" s="151" t="s">
        <v>4713</v>
      </c>
      <c r="C13" s="149" t="s">
        <v>4714</v>
      </c>
      <c r="D13" s="155" t="s">
        <v>4715</v>
      </c>
      <c r="E13" s="158" t="s">
        <v>28</v>
      </c>
      <c r="F13" s="161" t="s">
        <v>28</v>
      </c>
      <c r="G13" s="164" t="str">
        <f>IF(COUNTIF(H13:AU13,"&lt;&gt;")=0,"",SUMPRODUCT(((Recommendations[ImplStatus]="Implemented")+(Recommendations[ImplStatus]="Compensated"))*ISNUMBER(MATCH(Recommendations[Id],H13:AU13,0)))/COUNTIF(H13:AU13,"&lt;&gt;"))</f>
        <v/>
      </c>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81"/>
    </row>
    <row r="14" spans="1:47" ht="60" customHeight="1" x14ac:dyDescent="0.35">
      <c r="A14" s="178" t="s">
        <v>4677</v>
      </c>
      <c r="B14" s="152" t="s">
        <v>4713</v>
      </c>
      <c r="C14" s="153" t="s">
        <v>4716</v>
      </c>
      <c r="D14" s="156" t="s">
        <v>4717</v>
      </c>
      <c r="E14" s="159" t="s">
        <v>4718</v>
      </c>
      <c r="F14" s="162" t="s">
        <v>4686</v>
      </c>
      <c r="G14" s="165" t="str">
        <f>IF(COUNTIF(H14:AU14,"&lt;&gt;")=0,"",SUMPRODUCT(((Recommendations[ImplStatus]="Implemented")+(Recommendations[ImplStatus]="Compensated"))*ISNUMBER(MATCH(Recommendations[Id],H14:AU14,0)))/COUNTIF(H14:AU14,"&lt;&gt;"))</f>
        <v/>
      </c>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82"/>
    </row>
    <row r="15" spans="1:47" ht="60" customHeight="1" x14ac:dyDescent="0.35">
      <c r="A15" s="178" t="s">
        <v>4677</v>
      </c>
      <c r="B15" s="152" t="s">
        <v>4713</v>
      </c>
      <c r="C15" s="153" t="s">
        <v>4719</v>
      </c>
      <c r="D15" s="156" t="s">
        <v>4720</v>
      </c>
      <c r="E15" s="159" t="s">
        <v>4721</v>
      </c>
      <c r="F15" s="162" t="s">
        <v>4686</v>
      </c>
      <c r="G15" s="165" t="str">
        <f>IF(COUNTIF(H15:AU15,"&lt;&gt;")=0,"",SUMPRODUCT(((Recommendations[ImplStatus]="Implemented")+(Recommendations[ImplStatus]="Compensated"))*ISNUMBER(MATCH(Recommendations[Id],H15:AU15,0)))/COUNTIF(H15:AU15,"&lt;&gt;"))</f>
        <v/>
      </c>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82"/>
    </row>
    <row r="16" spans="1:47" ht="60" customHeight="1" outlineLevel="1" x14ac:dyDescent="0.35">
      <c r="A16" s="177" t="s">
        <v>4677</v>
      </c>
      <c r="B16" s="151" t="s">
        <v>4722</v>
      </c>
      <c r="C16" s="149" t="s">
        <v>4723</v>
      </c>
      <c r="D16" s="155" t="s">
        <v>4724</v>
      </c>
      <c r="E16" s="158" t="s">
        <v>28</v>
      </c>
      <c r="F16" s="161" t="s">
        <v>28</v>
      </c>
      <c r="G16" s="164" t="str">
        <f>IF(COUNTIF(H16:AU16,"&lt;&gt;")=0,"",SUMPRODUCT(((Recommendations[ImplStatus]="Implemented")+(Recommendations[ImplStatus]="Compensated"))*ISNUMBER(MATCH(Recommendations[Id],H16:AU16,0)))/COUNTIF(H16:AU16,"&lt;&gt;"))</f>
        <v/>
      </c>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81"/>
    </row>
    <row r="17" spans="1:47" ht="60" customHeight="1" x14ac:dyDescent="0.35">
      <c r="A17" s="178" t="s">
        <v>4677</v>
      </c>
      <c r="B17" s="152" t="s">
        <v>4722</v>
      </c>
      <c r="C17" s="153" t="s">
        <v>4725</v>
      </c>
      <c r="D17" s="156" t="s">
        <v>4726</v>
      </c>
      <c r="E17" s="159" t="s">
        <v>4727</v>
      </c>
      <c r="F17" s="162" t="s">
        <v>4686</v>
      </c>
      <c r="G17" s="165" t="str">
        <f>IF(COUNTIF(H17:AU17,"&lt;&gt;")=0,"",SUMPRODUCT(((Recommendations[ImplStatus]="Implemented")+(Recommendations[ImplStatus]="Compensated"))*ISNUMBER(MATCH(Recommendations[Id],H17:AU17,0)))/COUNTIF(H17:AU17,"&lt;&gt;"))</f>
        <v/>
      </c>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82"/>
    </row>
    <row r="18" spans="1:47" ht="60" customHeight="1" x14ac:dyDescent="0.35">
      <c r="A18" s="178" t="s">
        <v>4677</v>
      </c>
      <c r="B18" s="152" t="s">
        <v>4722</v>
      </c>
      <c r="C18" s="153" t="s">
        <v>4728</v>
      </c>
      <c r="D18" s="156" t="s">
        <v>4729</v>
      </c>
      <c r="E18" s="159" t="s">
        <v>4730</v>
      </c>
      <c r="F18" s="162" t="s">
        <v>4690</v>
      </c>
      <c r="G18" s="165" t="str">
        <f>IF(COUNTIF(H18:AU18,"&lt;&gt;")=0,"",SUMPRODUCT(((Recommendations[ImplStatus]="Implemented")+(Recommendations[ImplStatus]="Compensated"))*ISNUMBER(MATCH(Recommendations[Id],H18:AU18,0)))/COUNTIF(H18:AU18,"&lt;&gt;"))</f>
        <v/>
      </c>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82"/>
    </row>
    <row r="19" spans="1:47" ht="60" customHeight="1" x14ac:dyDescent="0.35">
      <c r="A19" s="178" t="s">
        <v>4677</v>
      </c>
      <c r="B19" s="152" t="s">
        <v>4722</v>
      </c>
      <c r="C19" s="153" t="s">
        <v>4731</v>
      </c>
      <c r="D19" s="156" t="s">
        <v>4732</v>
      </c>
      <c r="E19" s="159" t="s">
        <v>4733</v>
      </c>
      <c r="F19" s="162" t="s">
        <v>4686</v>
      </c>
      <c r="G19" s="165" t="str">
        <f>IF(COUNTIF(H19:AU19,"&lt;&gt;")=0,"",SUMPRODUCT(((Recommendations[ImplStatus]="Implemented")+(Recommendations[ImplStatus]="Compensated"))*ISNUMBER(MATCH(Recommendations[Id],H19:AU19,0)))/COUNTIF(H19:AU19,"&lt;&gt;"))</f>
        <v/>
      </c>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82"/>
    </row>
    <row r="20" spans="1:47" ht="60" customHeight="1" x14ac:dyDescent="0.35">
      <c r="A20" s="178" t="s">
        <v>4677</v>
      </c>
      <c r="B20" s="152" t="s">
        <v>4722</v>
      </c>
      <c r="C20" s="153" t="s">
        <v>4734</v>
      </c>
      <c r="D20" s="156" t="s">
        <v>4735</v>
      </c>
      <c r="E20" s="159" t="s">
        <v>4736</v>
      </c>
      <c r="F20" s="162" t="s">
        <v>4686</v>
      </c>
      <c r="G20" s="165" t="str">
        <f>IF(COUNTIF(H20:AU20,"&lt;&gt;")=0,"",SUMPRODUCT(((Recommendations[ImplStatus]="Implemented")+(Recommendations[ImplStatus]="Compensated"))*ISNUMBER(MATCH(Recommendations[Id],H20:AU20,0)))/COUNTIF(H20:AU20,"&lt;&gt;"))</f>
        <v/>
      </c>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82"/>
    </row>
    <row r="21" spans="1:47" ht="60" customHeight="1" x14ac:dyDescent="0.35">
      <c r="A21" s="178" t="s">
        <v>4677</v>
      </c>
      <c r="B21" s="152" t="s">
        <v>4722</v>
      </c>
      <c r="C21" s="153" t="s">
        <v>4737</v>
      </c>
      <c r="D21" s="156" t="s">
        <v>4738</v>
      </c>
      <c r="E21" s="159" t="s">
        <v>4739</v>
      </c>
      <c r="F21" s="162" t="s">
        <v>4690</v>
      </c>
      <c r="G21" s="165" t="str">
        <f>IF(COUNTIF(H21:AU21,"&lt;&gt;")=0,"",SUMPRODUCT(((Recommendations[ImplStatus]="Implemented")+(Recommendations[ImplStatus]="Compensated"))*ISNUMBER(MATCH(Recommendations[Id],H21:AU21,0)))/COUNTIF(H21:AU21,"&lt;&gt;"))</f>
        <v/>
      </c>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82"/>
    </row>
    <row r="22" spans="1:47" ht="60" customHeight="1" x14ac:dyDescent="0.35">
      <c r="A22" s="178" t="s">
        <v>4677</v>
      </c>
      <c r="B22" s="152" t="s">
        <v>4722</v>
      </c>
      <c r="C22" s="153" t="s">
        <v>4740</v>
      </c>
      <c r="D22" s="156" t="s">
        <v>4741</v>
      </c>
      <c r="E22" s="159" t="s">
        <v>4742</v>
      </c>
      <c r="F22" s="162" t="s">
        <v>4686</v>
      </c>
      <c r="G22" s="165" t="str">
        <f>IF(COUNTIF(H22:AU22,"&lt;&gt;")=0,"",SUMPRODUCT(((Recommendations[ImplStatus]="Implemented")+(Recommendations[ImplStatus]="Compensated"))*ISNUMBER(MATCH(Recommendations[Id],H22:AU22,0)))/COUNTIF(H22:AU22,"&lt;&gt;"))</f>
        <v/>
      </c>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82"/>
    </row>
    <row r="23" spans="1:47" ht="60" customHeight="1" x14ac:dyDescent="0.35">
      <c r="A23" s="178" t="s">
        <v>4677</v>
      </c>
      <c r="B23" s="152" t="s">
        <v>4722</v>
      </c>
      <c r="C23" s="153" t="s">
        <v>4743</v>
      </c>
      <c r="D23" s="156" t="s">
        <v>4744</v>
      </c>
      <c r="E23" s="159" t="s">
        <v>4745</v>
      </c>
      <c r="F23" s="162" t="s">
        <v>4686</v>
      </c>
      <c r="G23" s="165" t="str">
        <f>IF(COUNTIF(H23:AU23,"&lt;&gt;")=0,"",SUMPRODUCT(((Recommendations[ImplStatus]="Implemented")+(Recommendations[ImplStatus]="Compensated"))*ISNUMBER(MATCH(Recommendations[Id],H23:AU23,0)))/COUNTIF(H23:AU23,"&lt;&gt;"))</f>
        <v/>
      </c>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82"/>
    </row>
    <row r="24" spans="1:47" ht="60" customHeight="1" outlineLevel="1" x14ac:dyDescent="0.35">
      <c r="A24" s="177" t="s">
        <v>4677</v>
      </c>
      <c r="B24" s="151" t="s">
        <v>4746</v>
      </c>
      <c r="C24" s="149" t="s">
        <v>4747</v>
      </c>
      <c r="D24" s="155" t="s">
        <v>4748</v>
      </c>
      <c r="E24" s="158" t="s">
        <v>28</v>
      </c>
      <c r="F24" s="161" t="s">
        <v>28</v>
      </c>
      <c r="G24" s="164" t="str">
        <f>IF(COUNTIF(H24:AU24,"&lt;&gt;")=0,"",SUMPRODUCT(((Recommendations[ImplStatus]="Implemented")+(Recommendations[ImplStatus]="Compensated"))*ISNUMBER(MATCH(Recommendations[Id],H24:AU24,0)))/COUNTIF(H24:AU24,"&lt;&gt;"))</f>
        <v/>
      </c>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81"/>
    </row>
    <row r="25" spans="1:47" ht="60" customHeight="1" x14ac:dyDescent="0.35">
      <c r="A25" s="178" t="s">
        <v>4677</v>
      </c>
      <c r="B25" s="152" t="s">
        <v>4746</v>
      </c>
      <c r="C25" s="153" t="s">
        <v>4749</v>
      </c>
      <c r="D25" s="156" t="s">
        <v>4750</v>
      </c>
      <c r="E25" s="159" t="s">
        <v>4751</v>
      </c>
      <c r="F25" s="162" t="s">
        <v>4686</v>
      </c>
      <c r="G25" s="165" t="str">
        <f>IF(COUNTIF(H25:AU25,"&lt;&gt;")=0,"",SUMPRODUCT(((Recommendations[ImplStatus]="Implemented")+(Recommendations[ImplStatus]="Compensated"))*ISNUMBER(MATCH(Recommendations[Id],H25:AU25,0)))/COUNTIF(H25:AU25,"&lt;&gt;"))</f>
        <v/>
      </c>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82"/>
    </row>
    <row r="26" spans="1:47" ht="60" customHeight="1" x14ac:dyDescent="0.35">
      <c r="A26" s="178" t="s">
        <v>4677</v>
      </c>
      <c r="B26" s="152" t="s">
        <v>4746</v>
      </c>
      <c r="C26" s="153" t="s">
        <v>4752</v>
      </c>
      <c r="D26" s="156" t="s">
        <v>4753</v>
      </c>
      <c r="E26" s="159" t="s">
        <v>4754</v>
      </c>
      <c r="F26" s="162" t="s">
        <v>4686</v>
      </c>
      <c r="G26" s="165" t="str">
        <f>IF(COUNTIF(H26:AU26,"&lt;&gt;")=0,"",SUMPRODUCT(((Recommendations[ImplStatus]="Implemented")+(Recommendations[ImplStatus]="Compensated"))*ISNUMBER(MATCH(Recommendations[Id],H26:AU26,0)))/COUNTIF(H26:AU26,"&lt;&gt;"))</f>
        <v/>
      </c>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82"/>
    </row>
    <row r="27" spans="1:47" ht="60" customHeight="1" x14ac:dyDescent="0.35">
      <c r="A27" s="178" t="s">
        <v>4677</v>
      </c>
      <c r="B27" s="152" t="s">
        <v>4746</v>
      </c>
      <c r="C27" s="153" t="s">
        <v>4755</v>
      </c>
      <c r="D27" s="156" t="s">
        <v>4756</v>
      </c>
      <c r="E27" s="159" t="s">
        <v>4757</v>
      </c>
      <c r="F27" s="162" t="s">
        <v>4690</v>
      </c>
      <c r="G27" s="165" t="str">
        <f>IF(COUNTIF(H27:AU27,"&lt;&gt;")=0,"",SUMPRODUCT(((Recommendations[ImplStatus]="Implemented")+(Recommendations[ImplStatus]="Compensated"))*ISNUMBER(MATCH(Recommendations[Id],H27:AU27,0)))/COUNTIF(H27:AU27,"&lt;&gt;"))</f>
        <v/>
      </c>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82"/>
    </row>
    <row r="28" spans="1:47" ht="60" customHeight="1" x14ac:dyDescent="0.35">
      <c r="A28" s="178" t="s">
        <v>4677</v>
      </c>
      <c r="B28" s="152" t="s">
        <v>4746</v>
      </c>
      <c r="C28" s="153" t="s">
        <v>4758</v>
      </c>
      <c r="D28" s="156" t="s">
        <v>4759</v>
      </c>
      <c r="E28" s="159" t="s">
        <v>4760</v>
      </c>
      <c r="F28" s="162" t="s">
        <v>4686</v>
      </c>
      <c r="G28" s="165" t="str">
        <f>IF(COUNTIF(H28:AU28,"&lt;&gt;")=0,"",SUMPRODUCT(((Recommendations[ImplStatus]="Implemented")+(Recommendations[ImplStatus]="Compensated"))*ISNUMBER(MATCH(Recommendations[Id],H28:AU28,0)))/COUNTIF(H28:AU28,"&lt;&gt;"))</f>
        <v/>
      </c>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82"/>
    </row>
    <row r="29" spans="1:47" ht="60" customHeight="1" outlineLevel="1" x14ac:dyDescent="0.35">
      <c r="A29" s="177" t="s">
        <v>4677</v>
      </c>
      <c r="B29" s="151" t="s">
        <v>4761</v>
      </c>
      <c r="C29" s="149" t="s">
        <v>4762</v>
      </c>
      <c r="D29" s="155" t="s">
        <v>4763</v>
      </c>
      <c r="E29" s="158" t="s">
        <v>28</v>
      </c>
      <c r="F29" s="161" t="s">
        <v>28</v>
      </c>
      <c r="G29" s="164" t="str">
        <f>IF(COUNTIF(H29:AU29,"&lt;&gt;")=0,"",SUMPRODUCT(((Recommendations[ImplStatus]="Implemented")+(Recommendations[ImplStatus]="Compensated"))*ISNUMBER(MATCH(Recommendations[Id],H29:AU29,0)))/COUNTIF(H29:AU29,"&lt;&gt;"))</f>
        <v/>
      </c>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81"/>
    </row>
    <row r="30" spans="1:47" ht="60" customHeight="1" x14ac:dyDescent="0.35">
      <c r="A30" s="178" t="s">
        <v>4677</v>
      </c>
      <c r="B30" s="152" t="s">
        <v>4761</v>
      </c>
      <c r="C30" s="153" t="s">
        <v>4764</v>
      </c>
      <c r="D30" s="156" t="s">
        <v>4765</v>
      </c>
      <c r="E30" s="159" t="s">
        <v>4766</v>
      </c>
      <c r="F30" s="162" t="s">
        <v>4700</v>
      </c>
      <c r="G30" s="165" t="str">
        <f>IF(COUNTIF(H30:AU30,"&lt;&gt;")=0,"",SUMPRODUCT(((Recommendations[ImplStatus]="Implemented")+(Recommendations[ImplStatus]="Compensated"))*ISNUMBER(MATCH(Recommendations[Id],H30:AU30,0)))/COUNTIF(H30:AU30,"&lt;&gt;"))</f>
        <v/>
      </c>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82"/>
    </row>
    <row r="31" spans="1:47" ht="60" customHeight="1" x14ac:dyDescent="0.35">
      <c r="A31" s="178" t="s">
        <v>4677</v>
      </c>
      <c r="B31" s="152" t="s">
        <v>4761</v>
      </c>
      <c r="C31" s="153" t="s">
        <v>4767</v>
      </c>
      <c r="D31" s="156" t="s">
        <v>4768</v>
      </c>
      <c r="E31" s="159" t="s">
        <v>4769</v>
      </c>
      <c r="F31" s="162" t="s">
        <v>4700</v>
      </c>
      <c r="G31" s="165" t="str">
        <f>IF(COUNTIF(H31:AU31,"&lt;&gt;")=0,"",SUMPRODUCT(((Recommendations[ImplStatus]="Implemented")+(Recommendations[ImplStatus]="Compensated"))*ISNUMBER(MATCH(Recommendations[Id],H31:AU31,0)))/COUNTIF(H31:AU31,"&lt;&gt;"))</f>
        <v/>
      </c>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82"/>
    </row>
    <row r="32" spans="1:47" ht="60" customHeight="1" x14ac:dyDescent="0.35">
      <c r="A32" s="178" t="s">
        <v>4677</v>
      </c>
      <c r="B32" s="152" t="s">
        <v>4761</v>
      </c>
      <c r="C32" s="153" t="s">
        <v>4770</v>
      </c>
      <c r="D32" s="156" t="s">
        <v>4771</v>
      </c>
      <c r="E32" s="159" t="s">
        <v>4772</v>
      </c>
      <c r="F32" s="162" t="s">
        <v>4700</v>
      </c>
      <c r="G32" s="165" t="str">
        <f>IF(COUNTIF(H32:AU32,"&lt;&gt;")=0,"",SUMPRODUCT(((Recommendations[ImplStatus]="Implemented")+(Recommendations[ImplStatus]="Compensated"))*ISNUMBER(MATCH(Recommendations[Id],H32:AU32,0)))/COUNTIF(H32:AU32,"&lt;&gt;"))</f>
        <v/>
      </c>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82"/>
    </row>
    <row r="33" spans="1:47" ht="60" customHeight="1" x14ac:dyDescent="0.35">
      <c r="A33" s="178" t="s">
        <v>4677</v>
      </c>
      <c r="B33" s="152" t="s">
        <v>4761</v>
      </c>
      <c r="C33" s="153" t="s">
        <v>4773</v>
      </c>
      <c r="D33" s="156" t="s">
        <v>4774</v>
      </c>
      <c r="E33" s="159" t="s">
        <v>4775</v>
      </c>
      <c r="F33" s="162" t="s">
        <v>4700</v>
      </c>
      <c r="G33" s="165" t="str">
        <f>IF(COUNTIF(H33:AU33,"&lt;&gt;")=0,"",SUMPRODUCT(((Recommendations[ImplStatus]="Implemented")+(Recommendations[ImplStatus]="Compensated"))*ISNUMBER(MATCH(Recommendations[Id],H33:AU33,0)))/COUNTIF(H33:AU33,"&lt;&gt;"))</f>
        <v/>
      </c>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82"/>
    </row>
    <row r="34" spans="1:47" ht="60" customHeight="1" x14ac:dyDescent="0.35">
      <c r="A34" s="178" t="s">
        <v>4677</v>
      </c>
      <c r="B34" s="152" t="s">
        <v>4761</v>
      </c>
      <c r="C34" s="153" t="s">
        <v>4776</v>
      </c>
      <c r="D34" s="156" t="s">
        <v>4777</v>
      </c>
      <c r="E34" s="159" t="s">
        <v>4778</v>
      </c>
      <c r="F34" s="162" t="s">
        <v>4700</v>
      </c>
      <c r="G34" s="165" t="str">
        <f>IF(COUNTIF(H34:AU34,"&lt;&gt;")=0,"",SUMPRODUCT(((Recommendations[ImplStatus]="Implemented")+(Recommendations[ImplStatus]="Compensated"))*ISNUMBER(MATCH(Recommendations[Id],H34:AU34,0)))/COUNTIF(H34:AU34,"&lt;&gt;"))</f>
        <v/>
      </c>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82"/>
    </row>
    <row r="35" spans="1:47" ht="60" customHeight="1" x14ac:dyDescent="0.35">
      <c r="A35" s="178" t="s">
        <v>4677</v>
      </c>
      <c r="B35" s="152" t="s">
        <v>4761</v>
      </c>
      <c r="C35" s="153" t="s">
        <v>4779</v>
      </c>
      <c r="D35" s="156" t="s">
        <v>4780</v>
      </c>
      <c r="E35" s="159" t="s">
        <v>4781</v>
      </c>
      <c r="F35" s="162" t="s">
        <v>4700</v>
      </c>
      <c r="G35" s="165" t="str">
        <f>IF(COUNTIF(H35:AU35,"&lt;&gt;")=0,"",SUMPRODUCT(((Recommendations[ImplStatus]="Implemented")+(Recommendations[ImplStatus]="Compensated"))*ISNUMBER(MATCH(Recommendations[Id],H35:AU35,0)))/COUNTIF(H35:AU35,"&lt;&gt;"))</f>
        <v/>
      </c>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82"/>
    </row>
    <row r="36" spans="1:47" ht="60" customHeight="1" x14ac:dyDescent="0.35">
      <c r="A36" s="178" t="s">
        <v>4677</v>
      </c>
      <c r="B36" s="152" t="s">
        <v>4761</v>
      </c>
      <c r="C36" s="153" t="s">
        <v>4782</v>
      </c>
      <c r="D36" s="156" t="s">
        <v>4783</v>
      </c>
      <c r="E36" s="159" t="s">
        <v>4784</v>
      </c>
      <c r="F36" s="162" t="s">
        <v>4700</v>
      </c>
      <c r="G36" s="165" t="str">
        <f>IF(COUNTIF(H36:AU36,"&lt;&gt;")=0,"",SUMPRODUCT(((Recommendations[ImplStatus]="Implemented")+(Recommendations[ImplStatus]="Compensated"))*ISNUMBER(MATCH(Recommendations[Id],H36:AU36,0)))/COUNTIF(H36:AU36,"&lt;&gt;"))</f>
        <v/>
      </c>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82"/>
    </row>
    <row r="37" spans="1:47" ht="60" customHeight="1" x14ac:dyDescent="0.35">
      <c r="A37" s="178" t="s">
        <v>4677</v>
      </c>
      <c r="B37" s="152" t="s">
        <v>4761</v>
      </c>
      <c r="C37" s="153" t="s">
        <v>4785</v>
      </c>
      <c r="D37" s="156" t="s">
        <v>4786</v>
      </c>
      <c r="E37" s="159" t="s">
        <v>4787</v>
      </c>
      <c r="F37" s="162" t="s">
        <v>4700</v>
      </c>
      <c r="G37" s="165" t="str">
        <f>IF(COUNTIF(H37:AU37,"&lt;&gt;")=0,"",SUMPRODUCT(((Recommendations[ImplStatus]="Implemented")+(Recommendations[ImplStatus]="Compensated"))*ISNUMBER(MATCH(Recommendations[Id],H37:AU37,0)))/COUNTIF(H37:AU37,"&lt;&gt;"))</f>
        <v/>
      </c>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82"/>
    </row>
    <row r="38" spans="1:47" ht="60" customHeight="1" x14ac:dyDescent="0.35">
      <c r="A38" s="178" t="s">
        <v>4677</v>
      </c>
      <c r="B38" s="152" t="s">
        <v>4761</v>
      </c>
      <c r="C38" s="153" t="s">
        <v>4788</v>
      </c>
      <c r="D38" s="156" t="s">
        <v>4789</v>
      </c>
      <c r="E38" s="159" t="s">
        <v>4790</v>
      </c>
      <c r="F38" s="162" t="s">
        <v>4700</v>
      </c>
      <c r="G38" s="165" t="str">
        <f>IF(COUNTIF(H38:AU38,"&lt;&gt;")=0,"",SUMPRODUCT(((Recommendations[ImplStatus]="Implemented")+(Recommendations[ImplStatus]="Compensated"))*ISNUMBER(MATCH(Recommendations[Id],H38:AU38,0)))/COUNTIF(H38:AU38,"&lt;&gt;"))</f>
        <v/>
      </c>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82"/>
    </row>
    <row r="39" spans="1:47" ht="60" customHeight="1" x14ac:dyDescent="0.35">
      <c r="A39" s="178" t="s">
        <v>4677</v>
      </c>
      <c r="B39" s="152" t="s">
        <v>4761</v>
      </c>
      <c r="C39" s="153" t="s">
        <v>4791</v>
      </c>
      <c r="D39" s="156" t="s">
        <v>4792</v>
      </c>
      <c r="E39" s="159" t="s">
        <v>4793</v>
      </c>
      <c r="F39" s="162" t="s">
        <v>4700</v>
      </c>
      <c r="G39" s="165" t="str">
        <f>IF(COUNTIF(H39:AU39,"&lt;&gt;")=0,"",SUMPRODUCT(((Recommendations[ImplStatus]="Implemented")+(Recommendations[ImplStatus]="Compensated"))*ISNUMBER(MATCH(Recommendations[Id],H39:AU39,0)))/COUNTIF(H39:AU39,"&lt;&gt;"))</f>
        <v/>
      </c>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82"/>
    </row>
    <row r="40" spans="1:47" ht="60" customHeight="1" outlineLevel="1" x14ac:dyDescent="0.35">
      <c r="A40" s="176" t="s">
        <v>4794</v>
      </c>
      <c r="B40" s="150" t="s">
        <v>28</v>
      </c>
      <c r="C40" s="148" t="s">
        <v>4795</v>
      </c>
      <c r="D40" s="154" t="s">
        <v>4796</v>
      </c>
      <c r="E40" s="157" t="s">
        <v>28</v>
      </c>
      <c r="F40" s="160" t="s">
        <v>28</v>
      </c>
      <c r="G40" s="163" t="str">
        <f>IF(COUNTIF(H40:AU40,"&lt;&gt;")=0,"",SUMPRODUCT(((Recommendations[ImplStatus]="Implemented")+(Recommendations[ImplStatus]="Compensated"))*ISNUMBER(MATCH(Recommendations[Id],H40:AU40,0)))/COUNTIF(H40:AU40,"&lt;&gt;"))</f>
        <v/>
      </c>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6"/>
      <c r="AJ40" s="166"/>
      <c r="AK40" s="166"/>
      <c r="AL40" s="166"/>
      <c r="AM40" s="166"/>
      <c r="AN40" s="166"/>
      <c r="AO40" s="166"/>
      <c r="AP40" s="166"/>
      <c r="AQ40" s="166"/>
      <c r="AR40" s="166"/>
      <c r="AS40" s="166"/>
      <c r="AT40" s="166"/>
      <c r="AU40" s="180"/>
    </row>
    <row r="41" spans="1:47" ht="60" customHeight="1" outlineLevel="1" x14ac:dyDescent="0.35">
      <c r="A41" s="177" t="s">
        <v>4794</v>
      </c>
      <c r="B41" s="151" t="s">
        <v>4797</v>
      </c>
      <c r="C41" s="149" t="s">
        <v>4798</v>
      </c>
      <c r="D41" s="155" t="s">
        <v>4799</v>
      </c>
      <c r="E41" s="158" t="s">
        <v>28</v>
      </c>
      <c r="F41" s="161" t="s">
        <v>28</v>
      </c>
      <c r="G41" s="164" t="str">
        <f>IF(COUNTIF(H41:AU41,"&lt;&gt;")=0,"",SUMPRODUCT(((Recommendations[ImplStatus]="Implemented")+(Recommendations[ImplStatus]="Compensated"))*ISNUMBER(MATCH(Recommendations[Id],H41:AU41,0)))/COUNTIF(H41:AU41,"&lt;&gt;"))</f>
        <v/>
      </c>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81"/>
    </row>
    <row r="42" spans="1:47" ht="60" customHeight="1" x14ac:dyDescent="0.35">
      <c r="A42" s="178" t="s">
        <v>4794</v>
      </c>
      <c r="B42" s="152" t="s">
        <v>4797</v>
      </c>
      <c r="C42" s="153" t="s">
        <v>4800</v>
      </c>
      <c r="D42" s="156" t="s">
        <v>4801</v>
      </c>
      <c r="E42" s="159" t="s">
        <v>4802</v>
      </c>
      <c r="F42" s="162" t="s">
        <v>4686</v>
      </c>
      <c r="G42" s="165" t="str">
        <f>IF(COUNTIF(H42:AU42,"&lt;&gt;")=0,"",SUMPRODUCT(((Recommendations[ImplStatus]="Implemented")+(Recommendations[ImplStatus]="Compensated"))*ISNUMBER(MATCH(Recommendations[Id],H42:AU42,0)))/COUNTIF(H42:AU42,"&lt;&gt;"))</f>
        <v/>
      </c>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82"/>
    </row>
    <row r="43" spans="1:47" ht="60" customHeight="1" x14ac:dyDescent="0.35">
      <c r="A43" s="178" t="s">
        <v>4794</v>
      </c>
      <c r="B43" s="152" t="s">
        <v>4797</v>
      </c>
      <c r="C43" s="153" t="s">
        <v>4803</v>
      </c>
      <c r="D43" s="156" t="s">
        <v>4804</v>
      </c>
      <c r="E43" s="159" t="s">
        <v>4805</v>
      </c>
      <c r="F43" s="162" t="s">
        <v>4686</v>
      </c>
      <c r="G43" s="165" t="str">
        <f>IF(COUNTIF(H43:AU43,"&lt;&gt;")=0,"",SUMPRODUCT(((Recommendations[ImplStatus]="Implemented")+(Recommendations[ImplStatus]="Compensated"))*ISNUMBER(MATCH(Recommendations[Id],H43:AU43,0)))/COUNTIF(H43:AU43,"&lt;&gt;"))</f>
        <v/>
      </c>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82"/>
    </row>
    <row r="44" spans="1:47" ht="60" customHeight="1" x14ac:dyDescent="0.35">
      <c r="A44" s="178" t="s">
        <v>4794</v>
      </c>
      <c r="B44" s="152" t="s">
        <v>4797</v>
      </c>
      <c r="C44" s="153" t="s">
        <v>4806</v>
      </c>
      <c r="D44" s="156" t="s">
        <v>4807</v>
      </c>
      <c r="E44" s="159" t="s">
        <v>4808</v>
      </c>
      <c r="F44" s="162" t="s">
        <v>4690</v>
      </c>
      <c r="G44" s="165" t="str">
        <f>IF(COUNTIF(H44:AU44,"&lt;&gt;")=0,"",SUMPRODUCT(((Recommendations[ImplStatus]="Implemented")+(Recommendations[ImplStatus]="Compensated"))*ISNUMBER(MATCH(Recommendations[Id],H44:AU44,0)))/COUNTIF(H44:AU44,"&lt;&gt;"))</f>
        <v/>
      </c>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82"/>
    </row>
    <row r="45" spans="1:47" ht="60" customHeight="1" x14ac:dyDescent="0.35">
      <c r="A45" s="178" t="s">
        <v>4794</v>
      </c>
      <c r="B45" s="152" t="s">
        <v>4797</v>
      </c>
      <c r="C45" s="153" t="s">
        <v>4809</v>
      </c>
      <c r="D45" s="156" t="s">
        <v>4810</v>
      </c>
      <c r="E45" s="159" t="s">
        <v>4811</v>
      </c>
      <c r="F45" s="162" t="s">
        <v>4700</v>
      </c>
      <c r="G45" s="165" t="str">
        <f>IF(COUNTIF(H45:AU45,"&lt;&gt;")=0,"",SUMPRODUCT(((Recommendations[ImplStatus]="Implemented")+(Recommendations[ImplStatus]="Compensated"))*ISNUMBER(MATCH(Recommendations[Id],H45:AU45,0)))/COUNTIF(H45:AU45,"&lt;&gt;"))</f>
        <v/>
      </c>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82"/>
    </row>
    <row r="46" spans="1:47" ht="60" customHeight="1" x14ac:dyDescent="0.35">
      <c r="A46" s="178" t="s">
        <v>4794</v>
      </c>
      <c r="B46" s="152" t="s">
        <v>4797</v>
      </c>
      <c r="C46" s="153" t="s">
        <v>4812</v>
      </c>
      <c r="D46" s="156" t="s">
        <v>4813</v>
      </c>
      <c r="E46" s="159" t="s">
        <v>4814</v>
      </c>
      <c r="F46" s="162" t="s">
        <v>4686</v>
      </c>
      <c r="G46" s="165" t="str">
        <f>IF(COUNTIF(H46:AU46,"&lt;&gt;")=0,"",SUMPRODUCT(((Recommendations[ImplStatus]="Implemented")+(Recommendations[ImplStatus]="Compensated"))*ISNUMBER(MATCH(Recommendations[Id],H46:AU46,0)))/COUNTIF(H46:AU46,"&lt;&gt;"))</f>
        <v/>
      </c>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82"/>
    </row>
    <row r="47" spans="1:47" ht="60" customHeight="1" x14ac:dyDescent="0.35">
      <c r="A47" s="178" t="s">
        <v>4794</v>
      </c>
      <c r="B47" s="152" t="s">
        <v>4797</v>
      </c>
      <c r="C47" s="153" t="s">
        <v>4815</v>
      </c>
      <c r="D47" s="156" t="s">
        <v>4816</v>
      </c>
      <c r="E47" s="159"/>
      <c r="F47" s="162" t="s">
        <v>28</v>
      </c>
      <c r="G47" s="165" t="str">
        <f>IF(COUNTIF(H47:AU47,"&lt;&gt;")=0,"",SUMPRODUCT(((Recommendations[ImplStatus]="Implemented")+(Recommendations[ImplStatus]="Compensated"))*ISNUMBER(MATCH(Recommendations[Id],H47:AU47,0)))/COUNTIF(H47:AU47,"&lt;&gt;"))</f>
        <v/>
      </c>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82"/>
    </row>
    <row r="48" spans="1:47" ht="60" customHeight="1" x14ac:dyDescent="0.35">
      <c r="A48" s="178" t="s">
        <v>4794</v>
      </c>
      <c r="B48" s="152" t="s">
        <v>4797</v>
      </c>
      <c r="C48" s="153" t="s">
        <v>4817</v>
      </c>
      <c r="D48" s="156" t="s">
        <v>4818</v>
      </c>
      <c r="E48" s="159" t="s">
        <v>4819</v>
      </c>
      <c r="F48" s="162" t="s">
        <v>4686</v>
      </c>
      <c r="G48" s="165" t="str">
        <f>IF(COUNTIF(H48:AU48,"&lt;&gt;")=0,"",SUMPRODUCT(((Recommendations[ImplStatus]="Implemented")+(Recommendations[ImplStatus]="Compensated"))*ISNUMBER(MATCH(Recommendations[Id],H48:AU48,0)))/COUNTIF(H48:AU48,"&lt;&gt;"))</f>
        <v/>
      </c>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82"/>
    </row>
    <row r="49" spans="1:47" ht="60" customHeight="1" x14ac:dyDescent="0.35">
      <c r="A49" s="178" t="s">
        <v>4794</v>
      </c>
      <c r="B49" s="152" t="s">
        <v>4797</v>
      </c>
      <c r="C49" s="153" t="s">
        <v>4820</v>
      </c>
      <c r="D49" s="156" t="s">
        <v>4821</v>
      </c>
      <c r="E49" s="159" t="s">
        <v>4822</v>
      </c>
      <c r="F49" s="162" t="s">
        <v>4690</v>
      </c>
      <c r="G49" s="165" t="str">
        <f>IF(COUNTIF(H49:AU49,"&lt;&gt;")=0,"",SUMPRODUCT(((Recommendations[ImplStatus]="Implemented")+(Recommendations[ImplStatus]="Compensated"))*ISNUMBER(MATCH(Recommendations[Id],H49:AU49,0)))/COUNTIF(H49:AU49,"&lt;&gt;"))</f>
        <v/>
      </c>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82"/>
    </row>
    <row r="50" spans="1:47" ht="60" customHeight="1" outlineLevel="1" x14ac:dyDescent="0.35">
      <c r="A50" s="177" t="s">
        <v>4794</v>
      </c>
      <c r="B50" s="151" t="s">
        <v>4823</v>
      </c>
      <c r="C50" s="149" t="s">
        <v>4824</v>
      </c>
      <c r="D50" s="155"/>
      <c r="E50" s="158" t="s">
        <v>28</v>
      </c>
      <c r="F50" s="161" t="s">
        <v>28</v>
      </c>
      <c r="G50" s="164" t="str">
        <f>IF(COUNTIF(H50:AU50,"&lt;&gt;")=0,"",SUMPRODUCT(((Recommendations[ImplStatus]="Implemented")+(Recommendations[ImplStatus]="Compensated"))*ISNUMBER(MATCH(Recommendations[Id],H50:AU50,0)))/COUNTIF(H50:AU50,"&lt;&gt;"))</f>
        <v/>
      </c>
      <c r="H50" s="167"/>
      <c r="I50" s="167"/>
      <c r="J50" s="167"/>
      <c r="K50" s="167"/>
      <c r="L50" s="167"/>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81"/>
    </row>
    <row r="51" spans="1:47" ht="60" customHeight="1" x14ac:dyDescent="0.35">
      <c r="A51" s="178" t="s">
        <v>4794</v>
      </c>
      <c r="B51" s="152" t="s">
        <v>4823</v>
      </c>
      <c r="C51" s="153" t="s">
        <v>4825</v>
      </c>
      <c r="D51" s="156" t="s">
        <v>4826</v>
      </c>
      <c r="E51" s="159"/>
      <c r="F51" s="162" t="s">
        <v>28</v>
      </c>
      <c r="G51" s="165" t="str">
        <f>IF(COUNTIF(H51:AU51,"&lt;&gt;")=0,"",SUMPRODUCT(((Recommendations[ImplStatus]="Implemented")+(Recommendations[ImplStatus]="Compensated"))*ISNUMBER(MATCH(Recommendations[Id],H51:AU51,0)))/COUNTIF(H51:AU51,"&lt;&gt;"))</f>
        <v/>
      </c>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82"/>
    </row>
    <row r="52" spans="1:47" ht="60" customHeight="1" x14ac:dyDescent="0.35">
      <c r="A52" s="178" t="s">
        <v>4794</v>
      </c>
      <c r="B52" s="152" t="s">
        <v>4823</v>
      </c>
      <c r="C52" s="153" t="s">
        <v>4827</v>
      </c>
      <c r="D52" s="156" t="s">
        <v>4828</v>
      </c>
      <c r="E52" s="159"/>
      <c r="F52" s="162" t="s">
        <v>28</v>
      </c>
      <c r="G52" s="165" t="str">
        <f>IF(COUNTIF(H52:AU52,"&lt;&gt;")=0,"",SUMPRODUCT(((Recommendations[ImplStatus]="Implemented")+(Recommendations[ImplStatus]="Compensated"))*ISNUMBER(MATCH(Recommendations[Id],H52:AU52,0)))/COUNTIF(H52:AU52,"&lt;&gt;"))</f>
        <v/>
      </c>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82"/>
    </row>
    <row r="53" spans="1:47" ht="60" customHeight="1" x14ac:dyDescent="0.35">
      <c r="A53" s="178" t="s">
        <v>4794</v>
      </c>
      <c r="B53" s="152" t="s">
        <v>4823</v>
      </c>
      <c r="C53" s="153" t="s">
        <v>4829</v>
      </c>
      <c r="D53" s="156" t="s">
        <v>4830</v>
      </c>
      <c r="E53" s="159"/>
      <c r="F53" s="162" t="s">
        <v>28</v>
      </c>
      <c r="G53" s="165" t="str">
        <f>IF(COUNTIF(H53:AU53,"&lt;&gt;")=0,"",SUMPRODUCT(((Recommendations[ImplStatus]="Implemented")+(Recommendations[ImplStatus]="Compensated"))*ISNUMBER(MATCH(Recommendations[Id],H53:AU53,0)))/COUNTIF(H53:AU53,"&lt;&gt;"))</f>
        <v/>
      </c>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82"/>
    </row>
    <row r="54" spans="1:47" ht="60" customHeight="1" x14ac:dyDescent="0.35">
      <c r="A54" s="178" t="s">
        <v>4794</v>
      </c>
      <c r="B54" s="152" t="s">
        <v>4823</v>
      </c>
      <c r="C54" s="153" t="s">
        <v>4831</v>
      </c>
      <c r="D54" s="156" t="s">
        <v>4832</v>
      </c>
      <c r="E54" s="159"/>
      <c r="F54" s="162" t="s">
        <v>28</v>
      </c>
      <c r="G54" s="165" t="str">
        <f>IF(COUNTIF(H54:AU54,"&lt;&gt;")=0,"",SUMPRODUCT(((Recommendations[ImplStatus]="Implemented")+(Recommendations[ImplStatus]="Compensated"))*ISNUMBER(MATCH(Recommendations[Id],H54:AU54,0)))/COUNTIF(H54:AU54,"&lt;&gt;"))</f>
        <v/>
      </c>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82"/>
    </row>
    <row r="55" spans="1:47" ht="60" customHeight="1" x14ac:dyDescent="0.35">
      <c r="A55" s="178" t="s">
        <v>4794</v>
      </c>
      <c r="B55" s="152" t="s">
        <v>4823</v>
      </c>
      <c r="C55" s="153" t="s">
        <v>4833</v>
      </c>
      <c r="D55" s="156" t="s">
        <v>4834</v>
      </c>
      <c r="E55" s="159"/>
      <c r="F55" s="162" t="s">
        <v>28</v>
      </c>
      <c r="G55" s="165" t="str">
        <f>IF(COUNTIF(H55:AU55,"&lt;&gt;")=0,"",SUMPRODUCT(((Recommendations[ImplStatus]="Implemented")+(Recommendations[ImplStatus]="Compensated"))*ISNUMBER(MATCH(Recommendations[Id],H55:AU55,0)))/COUNTIF(H55:AU55,"&lt;&gt;"))</f>
        <v/>
      </c>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82"/>
    </row>
    <row r="56" spans="1:47" ht="60" customHeight="1" outlineLevel="1" x14ac:dyDescent="0.35">
      <c r="A56" s="177" t="s">
        <v>4794</v>
      </c>
      <c r="B56" s="151" t="s">
        <v>3004</v>
      </c>
      <c r="C56" s="149" t="s">
        <v>4835</v>
      </c>
      <c r="D56" s="155"/>
      <c r="E56" s="158" t="s">
        <v>28</v>
      </c>
      <c r="F56" s="161" t="s">
        <v>28</v>
      </c>
      <c r="G56" s="164" t="str">
        <f>IF(COUNTIF(H56:AU56,"&lt;&gt;")=0,"",SUMPRODUCT(((Recommendations[ImplStatus]="Implemented")+(Recommendations[ImplStatus]="Compensated"))*ISNUMBER(MATCH(Recommendations[Id],H56:AU56,0)))/COUNTIF(H56:AU56,"&lt;&gt;"))</f>
        <v/>
      </c>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167"/>
      <c r="AK56" s="167"/>
      <c r="AL56" s="167"/>
      <c r="AM56" s="167"/>
      <c r="AN56" s="167"/>
      <c r="AO56" s="167"/>
      <c r="AP56" s="167"/>
      <c r="AQ56" s="167"/>
      <c r="AR56" s="167"/>
      <c r="AS56" s="167"/>
      <c r="AT56" s="167"/>
      <c r="AU56" s="181"/>
    </row>
    <row r="57" spans="1:47" ht="60" customHeight="1" x14ac:dyDescent="0.35">
      <c r="A57" s="178" t="s">
        <v>4794</v>
      </c>
      <c r="B57" s="152" t="s">
        <v>3004</v>
      </c>
      <c r="C57" s="153" t="s">
        <v>4836</v>
      </c>
      <c r="D57" s="156" t="s">
        <v>4837</v>
      </c>
      <c r="E57" s="159"/>
      <c r="F57" s="162" t="s">
        <v>28</v>
      </c>
      <c r="G57" s="165" t="str">
        <f>IF(COUNTIF(H57:AU57,"&lt;&gt;")=0,"",SUMPRODUCT(((Recommendations[ImplStatus]="Implemented")+(Recommendations[ImplStatus]="Compensated"))*ISNUMBER(MATCH(Recommendations[Id],H57:AU57,0)))/COUNTIF(H57:AU57,"&lt;&gt;"))</f>
        <v/>
      </c>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82"/>
    </row>
    <row r="58" spans="1:47" ht="60" customHeight="1" x14ac:dyDescent="0.35">
      <c r="A58" s="178" t="s">
        <v>4794</v>
      </c>
      <c r="B58" s="152" t="s">
        <v>3004</v>
      </c>
      <c r="C58" s="153" t="s">
        <v>4838</v>
      </c>
      <c r="D58" s="156" t="s">
        <v>4839</v>
      </c>
      <c r="E58" s="159"/>
      <c r="F58" s="162" t="s">
        <v>28</v>
      </c>
      <c r="G58" s="165" t="str">
        <f>IF(COUNTIF(H58:AU58,"&lt;&gt;")=0,"",SUMPRODUCT(((Recommendations[ImplStatus]="Implemented")+(Recommendations[ImplStatus]="Compensated"))*ISNUMBER(MATCH(Recommendations[Id],H58:AU58,0)))/COUNTIF(H58:AU58,"&lt;&gt;"))</f>
        <v/>
      </c>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82"/>
    </row>
    <row r="59" spans="1:47" ht="60" customHeight="1" x14ac:dyDescent="0.35">
      <c r="A59" s="178" t="s">
        <v>4794</v>
      </c>
      <c r="B59" s="152" t="s">
        <v>3004</v>
      </c>
      <c r="C59" s="153" t="s">
        <v>4840</v>
      </c>
      <c r="D59" s="156" t="s">
        <v>4841</v>
      </c>
      <c r="E59" s="159"/>
      <c r="F59" s="162" t="s">
        <v>28</v>
      </c>
      <c r="G59" s="165" t="str">
        <f>IF(COUNTIF(H59:AU59,"&lt;&gt;")=0,"",SUMPRODUCT(((Recommendations[ImplStatus]="Implemented")+(Recommendations[ImplStatus]="Compensated"))*ISNUMBER(MATCH(Recommendations[Id],H59:AU59,0)))/COUNTIF(H59:AU59,"&lt;&gt;"))</f>
        <v/>
      </c>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82"/>
    </row>
    <row r="60" spans="1:47" ht="60" customHeight="1" x14ac:dyDescent="0.35">
      <c r="A60" s="178" t="s">
        <v>4794</v>
      </c>
      <c r="B60" s="152" t="s">
        <v>3004</v>
      </c>
      <c r="C60" s="153" t="s">
        <v>4842</v>
      </c>
      <c r="D60" s="156" t="s">
        <v>4843</v>
      </c>
      <c r="E60" s="159"/>
      <c r="F60" s="162" t="s">
        <v>28</v>
      </c>
      <c r="G60" s="165" t="str">
        <f>IF(COUNTIF(H60:AU60,"&lt;&gt;")=0,"",SUMPRODUCT(((Recommendations[ImplStatus]="Implemented")+(Recommendations[ImplStatus]="Compensated"))*ISNUMBER(MATCH(Recommendations[Id],H60:AU60,0)))/COUNTIF(H60:AU60,"&lt;&gt;"))</f>
        <v/>
      </c>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82"/>
    </row>
    <row r="61" spans="1:47" ht="60" customHeight="1" outlineLevel="1" x14ac:dyDescent="0.35">
      <c r="A61" s="177" t="s">
        <v>4794</v>
      </c>
      <c r="B61" s="151" t="s">
        <v>4844</v>
      </c>
      <c r="C61" s="149" t="s">
        <v>4845</v>
      </c>
      <c r="D61" s="155" t="s">
        <v>4846</v>
      </c>
      <c r="E61" s="158" t="s">
        <v>28</v>
      </c>
      <c r="F61" s="161" t="s">
        <v>28</v>
      </c>
      <c r="G61" s="164" t="str">
        <f>IF(COUNTIF(H61:AU61,"&lt;&gt;")=0,"",SUMPRODUCT(((Recommendations[ImplStatus]="Implemented")+(Recommendations[ImplStatus]="Compensated"))*ISNUMBER(MATCH(Recommendations[Id],H61:AU61,0)))/COUNTIF(H61:AU61,"&lt;&gt;"))</f>
        <v/>
      </c>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81"/>
    </row>
    <row r="62" spans="1:47" ht="60" customHeight="1" x14ac:dyDescent="0.35">
      <c r="A62" s="178" t="s">
        <v>4794</v>
      </c>
      <c r="B62" s="152" t="s">
        <v>4844</v>
      </c>
      <c r="C62" s="153" t="s">
        <v>4847</v>
      </c>
      <c r="D62" s="156" t="s">
        <v>4848</v>
      </c>
      <c r="E62" s="159" t="s">
        <v>4849</v>
      </c>
      <c r="F62" s="162" t="s">
        <v>4686</v>
      </c>
      <c r="G62" s="165" t="str">
        <f>IF(COUNTIF(H62:AU62,"&lt;&gt;")=0,"",SUMPRODUCT(((Recommendations[ImplStatus]="Implemented")+(Recommendations[ImplStatus]="Compensated"))*ISNUMBER(MATCH(Recommendations[Id],H62:AU62,0)))/COUNTIF(H62:AU62,"&lt;&gt;"))</f>
        <v/>
      </c>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82"/>
    </row>
    <row r="63" spans="1:47" ht="60" customHeight="1" x14ac:dyDescent="0.35">
      <c r="A63" s="178" t="s">
        <v>4794</v>
      </c>
      <c r="B63" s="152" t="s">
        <v>4844</v>
      </c>
      <c r="C63" s="153" t="s">
        <v>4850</v>
      </c>
      <c r="D63" s="156" t="s">
        <v>4851</v>
      </c>
      <c r="E63" s="159" t="s">
        <v>4852</v>
      </c>
      <c r="F63" s="162" t="s">
        <v>4690</v>
      </c>
      <c r="G63" s="165" t="str">
        <f>IF(COUNTIF(H63:AU63,"&lt;&gt;")=0,"",SUMPRODUCT(((Recommendations[ImplStatus]="Implemented")+(Recommendations[ImplStatus]="Compensated"))*ISNUMBER(MATCH(Recommendations[Id],H63:AU63,0)))/COUNTIF(H63:AU63,"&lt;&gt;"))</f>
        <v/>
      </c>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82"/>
    </row>
    <row r="64" spans="1:47" ht="60" customHeight="1" x14ac:dyDescent="0.35">
      <c r="A64" s="178" t="s">
        <v>4794</v>
      </c>
      <c r="B64" s="152" t="s">
        <v>4844</v>
      </c>
      <c r="C64" s="153" t="s">
        <v>4853</v>
      </c>
      <c r="D64" s="156" t="s">
        <v>4854</v>
      </c>
      <c r="E64" s="159" t="s">
        <v>4855</v>
      </c>
      <c r="F64" s="162" t="s">
        <v>4686</v>
      </c>
      <c r="G64" s="165" t="str">
        <f>IF(COUNTIF(H64:AU64,"&lt;&gt;")=0,"",SUMPRODUCT(((Recommendations[ImplStatus]="Implemented")+(Recommendations[ImplStatus]="Compensated"))*ISNUMBER(MATCH(Recommendations[Id],H64:AU64,0)))/COUNTIF(H64:AU64,"&lt;&gt;"))</f>
        <v/>
      </c>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82"/>
    </row>
    <row r="65" spans="1:47" ht="60" customHeight="1" x14ac:dyDescent="0.35">
      <c r="A65" s="178" t="s">
        <v>4794</v>
      </c>
      <c r="B65" s="152" t="s">
        <v>4844</v>
      </c>
      <c r="C65" s="153" t="s">
        <v>4856</v>
      </c>
      <c r="D65" s="156" t="s">
        <v>4857</v>
      </c>
      <c r="E65" s="159" t="s">
        <v>4858</v>
      </c>
      <c r="F65" s="162" t="s">
        <v>4686</v>
      </c>
      <c r="G65" s="165" t="str">
        <f>IF(COUNTIF(H65:AU65,"&lt;&gt;")=0,"",SUMPRODUCT(((Recommendations[ImplStatus]="Implemented")+(Recommendations[ImplStatus]="Compensated"))*ISNUMBER(MATCH(Recommendations[Id],H65:AU65,0)))/COUNTIF(H65:AU65,"&lt;&gt;"))</f>
        <v/>
      </c>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82"/>
    </row>
    <row r="66" spans="1:47" ht="60" customHeight="1" outlineLevel="1" x14ac:dyDescent="0.35">
      <c r="A66" s="177" t="s">
        <v>4794</v>
      </c>
      <c r="B66" s="151" t="s">
        <v>4452</v>
      </c>
      <c r="C66" s="149" t="s">
        <v>4859</v>
      </c>
      <c r="D66" s="155" t="s">
        <v>4860</v>
      </c>
      <c r="E66" s="158" t="s">
        <v>28</v>
      </c>
      <c r="F66" s="161" t="s">
        <v>28</v>
      </c>
      <c r="G66" s="164" t="str">
        <f>IF(COUNTIF(H66:AU66,"&lt;&gt;")=0,"",SUMPRODUCT(((Recommendations[ImplStatus]="Implemented")+(Recommendations[ImplStatus]="Compensated"))*ISNUMBER(MATCH(Recommendations[Id],H66:AU66,0)))/COUNTIF(H66:AU66,"&lt;&gt;"))</f>
        <v/>
      </c>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81"/>
    </row>
    <row r="67" spans="1:47" ht="60" customHeight="1" x14ac:dyDescent="0.35">
      <c r="A67" s="178" t="s">
        <v>4794</v>
      </c>
      <c r="B67" s="152" t="s">
        <v>4452</v>
      </c>
      <c r="C67" s="153" t="s">
        <v>4861</v>
      </c>
      <c r="D67" s="156" t="s">
        <v>4862</v>
      </c>
      <c r="E67" s="159" t="s">
        <v>4863</v>
      </c>
      <c r="F67" s="162" t="s">
        <v>4686</v>
      </c>
      <c r="G67" s="165" t="str">
        <f>IF(COUNTIF(H67:AU67,"&lt;&gt;")=0,"",SUMPRODUCT(((Recommendations[ImplStatus]="Implemented")+(Recommendations[ImplStatus]="Compensated"))*ISNUMBER(MATCH(Recommendations[Id],H67:AU67,0)))/COUNTIF(H67:AU67,"&lt;&gt;"))</f>
        <v/>
      </c>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8"/>
      <c r="AQ67" s="168"/>
      <c r="AR67" s="168"/>
      <c r="AS67" s="168"/>
      <c r="AT67" s="168"/>
      <c r="AU67" s="182"/>
    </row>
    <row r="68" spans="1:47" ht="60" customHeight="1" x14ac:dyDescent="0.35">
      <c r="A68" s="178" t="s">
        <v>4794</v>
      </c>
      <c r="B68" s="152" t="s">
        <v>4452</v>
      </c>
      <c r="C68" s="153" t="s">
        <v>4864</v>
      </c>
      <c r="D68" s="156" t="s">
        <v>4865</v>
      </c>
      <c r="E68" s="159" t="s">
        <v>4866</v>
      </c>
      <c r="F68" s="162" t="s">
        <v>4686</v>
      </c>
      <c r="G68" s="165" t="str">
        <f>IF(COUNTIF(H68:AU68,"&lt;&gt;")=0,"",SUMPRODUCT(((Recommendations[ImplStatus]="Implemented")+(Recommendations[ImplStatus]="Compensated"))*ISNUMBER(MATCH(Recommendations[Id],H68:AU68,0)))/COUNTIF(H68:AU68,"&lt;&gt;"))</f>
        <v/>
      </c>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82"/>
    </row>
    <row r="69" spans="1:47" ht="60" customHeight="1" x14ac:dyDescent="0.35">
      <c r="A69" s="178" t="s">
        <v>4794</v>
      </c>
      <c r="B69" s="152" t="s">
        <v>4452</v>
      </c>
      <c r="C69" s="153" t="s">
        <v>4867</v>
      </c>
      <c r="D69" s="156" t="s">
        <v>4868</v>
      </c>
      <c r="E69" s="159" t="s">
        <v>4869</v>
      </c>
      <c r="F69" s="162" t="s">
        <v>4690</v>
      </c>
      <c r="G69" s="165" t="str">
        <f>IF(COUNTIF(H69:AU69,"&lt;&gt;")=0,"",SUMPRODUCT(((Recommendations[ImplStatus]="Implemented")+(Recommendations[ImplStatus]="Compensated"))*ISNUMBER(MATCH(Recommendations[Id],H69:AU69,0)))/COUNTIF(H69:AU69,"&lt;&gt;"))</f>
        <v/>
      </c>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82"/>
    </row>
    <row r="70" spans="1:47" ht="60" customHeight="1" x14ac:dyDescent="0.35">
      <c r="A70" s="178" t="s">
        <v>4794</v>
      </c>
      <c r="B70" s="152" t="s">
        <v>4452</v>
      </c>
      <c r="C70" s="153" t="s">
        <v>4870</v>
      </c>
      <c r="D70" s="156" t="s">
        <v>4871</v>
      </c>
      <c r="E70" s="159" t="s">
        <v>4872</v>
      </c>
      <c r="F70" s="162" t="s">
        <v>4686</v>
      </c>
      <c r="G70" s="165" t="str">
        <f>IF(COUNTIF(H70:AU70,"&lt;&gt;")=0,"",SUMPRODUCT(((Recommendations[ImplStatus]="Implemented")+(Recommendations[ImplStatus]="Compensated"))*ISNUMBER(MATCH(Recommendations[Id],H70:AU70,0)))/COUNTIF(H70:AU70,"&lt;&gt;"))</f>
        <v/>
      </c>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P70" s="168"/>
      <c r="AQ70" s="168"/>
      <c r="AR70" s="168"/>
      <c r="AS70" s="168"/>
      <c r="AT70" s="168"/>
      <c r="AU70" s="182"/>
    </row>
    <row r="71" spans="1:47" ht="60" customHeight="1" x14ac:dyDescent="0.35">
      <c r="A71" s="178" t="s">
        <v>4794</v>
      </c>
      <c r="B71" s="152" t="s">
        <v>4452</v>
      </c>
      <c r="C71" s="153" t="s">
        <v>4873</v>
      </c>
      <c r="D71" s="156" t="s">
        <v>4874</v>
      </c>
      <c r="E71" s="159" t="s">
        <v>4875</v>
      </c>
      <c r="F71" s="162" t="s">
        <v>4686</v>
      </c>
      <c r="G71" s="165" t="str">
        <f>IF(COUNTIF(H71:AU71,"&lt;&gt;")=0,"",SUMPRODUCT(((Recommendations[ImplStatus]="Implemented")+(Recommendations[ImplStatus]="Compensated"))*ISNUMBER(MATCH(Recommendations[Id],H71:AU71,0)))/COUNTIF(H71:AU71,"&lt;&gt;"))</f>
        <v/>
      </c>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82"/>
    </row>
    <row r="72" spans="1:47" ht="60" customHeight="1" x14ac:dyDescent="0.35">
      <c r="A72" s="178" t="s">
        <v>4794</v>
      </c>
      <c r="B72" s="152" t="s">
        <v>4452</v>
      </c>
      <c r="C72" s="153" t="s">
        <v>4876</v>
      </c>
      <c r="D72" s="156" t="s">
        <v>4877</v>
      </c>
      <c r="E72" s="159" t="s">
        <v>4878</v>
      </c>
      <c r="F72" s="162" t="s">
        <v>4686</v>
      </c>
      <c r="G72" s="165" t="str">
        <f>IF(COUNTIF(H72:AU72,"&lt;&gt;")=0,"",SUMPRODUCT(((Recommendations[ImplStatus]="Implemented")+(Recommendations[ImplStatus]="Compensated"))*ISNUMBER(MATCH(Recommendations[Id],H72:AU72,0)))/COUNTIF(H72:AU72,"&lt;&gt;"))</f>
        <v/>
      </c>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82"/>
    </row>
    <row r="73" spans="1:47" ht="60" customHeight="1" x14ac:dyDescent="0.35">
      <c r="A73" s="178" t="s">
        <v>4794</v>
      </c>
      <c r="B73" s="152" t="s">
        <v>4452</v>
      </c>
      <c r="C73" s="153" t="s">
        <v>4879</v>
      </c>
      <c r="D73" s="156" t="s">
        <v>4880</v>
      </c>
      <c r="E73" s="159" t="s">
        <v>4881</v>
      </c>
      <c r="F73" s="162" t="s">
        <v>28</v>
      </c>
      <c r="G73" s="165" t="str">
        <f>IF(COUNTIF(H73:AU73,"&lt;&gt;")=0,"",SUMPRODUCT(((Recommendations[ImplStatus]="Implemented")+(Recommendations[ImplStatus]="Compensated"))*ISNUMBER(MATCH(Recommendations[Id],H73:AU73,0)))/COUNTIF(H73:AU73,"&lt;&gt;"))</f>
        <v/>
      </c>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82"/>
    </row>
    <row r="74" spans="1:47" ht="60" customHeight="1" x14ac:dyDescent="0.35">
      <c r="A74" s="178" t="s">
        <v>4794</v>
      </c>
      <c r="B74" s="152" t="s">
        <v>4452</v>
      </c>
      <c r="C74" s="153" t="s">
        <v>4882</v>
      </c>
      <c r="D74" s="156" t="s">
        <v>4883</v>
      </c>
      <c r="E74" s="159" t="s">
        <v>4884</v>
      </c>
      <c r="F74" s="162" t="s">
        <v>4690</v>
      </c>
      <c r="G74" s="165" t="str">
        <f>IF(COUNTIF(H74:AU74,"&lt;&gt;")=0,"",SUMPRODUCT(((Recommendations[ImplStatus]="Implemented")+(Recommendations[ImplStatus]="Compensated"))*ISNUMBER(MATCH(Recommendations[Id],H74:AU74,0)))/COUNTIF(H74:AU74,"&lt;&gt;"))</f>
        <v/>
      </c>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82"/>
    </row>
    <row r="75" spans="1:47" ht="60" customHeight="1" x14ac:dyDescent="0.35">
      <c r="A75" s="178" t="s">
        <v>4794</v>
      </c>
      <c r="B75" s="152" t="s">
        <v>4452</v>
      </c>
      <c r="C75" s="153" t="s">
        <v>4885</v>
      </c>
      <c r="D75" s="156" t="s">
        <v>4886</v>
      </c>
      <c r="E75" s="159" t="s">
        <v>4887</v>
      </c>
      <c r="F75" s="162" t="s">
        <v>4700</v>
      </c>
      <c r="G75" s="165" t="str">
        <f>IF(COUNTIF(H75:AU75,"&lt;&gt;")=0,"",SUMPRODUCT(((Recommendations[ImplStatus]="Implemented")+(Recommendations[ImplStatus]="Compensated"))*ISNUMBER(MATCH(Recommendations[Id],H75:AU75,0)))/COUNTIF(H75:AU75,"&lt;&gt;"))</f>
        <v/>
      </c>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82"/>
    </row>
    <row r="76" spans="1:47" ht="60" customHeight="1" x14ac:dyDescent="0.35">
      <c r="A76" s="178" t="s">
        <v>4794</v>
      </c>
      <c r="B76" s="152" t="s">
        <v>4452</v>
      </c>
      <c r="C76" s="153" t="s">
        <v>4888</v>
      </c>
      <c r="D76" s="156" t="s">
        <v>4889</v>
      </c>
      <c r="E76" s="159" t="s">
        <v>4890</v>
      </c>
      <c r="F76" s="162" t="s">
        <v>28</v>
      </c>
      <c r="G76" s="165" t="str">
        <f>IF(COUNTIF(H76:AU76,"&lt;&gt;")=0,"",SUMPRODUCT(((Recommendations[ImplStatus]="Implemented")+(Recommendations[ImplStatus]="Compensated"))*ISNUMBER(MATCH(Recommendations[Id],H76:AU76,0)))/COUNTIF(H76:AU76,"&lt;&gt;"))</f>
        <v/>
      </c>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82"/>
    </row>
    <row r="77" spans="1:47" ht="60" customHeight="1" outlineLevel="1" x14ac:dyDescent="0.35">
      <c r="A77" s="177" t="s">
        <v>4794</v>
      </c>
      <c r="B77" s="151" t="s">
        <v>4722</v>
      </c>
      <c r="C77" s="149" t="s">
        <v>4891</v>
      </c>
      <c r="D77" s="155"/>
      <c r="E77" s="158" t="s">
        <v>28</v>
      </c>
      <c r="F77" s="161" t="s">
        <v>28</v>
      </c>
      <c r="G77" s="164" t="str">
        <f>IF(COUNTIF(H77:AU77,"&lt;&gt;")=0,"",SUMPRODUCT(((Recommendations[ImplStatus]="Implemented")+(Recommendations[ImplStatus]="Compensated"))*ISNUMBER(MATCH(Recommendations[Id],H77:AU77,0)))/COUNTIF(H77:AU77,"&lt;&gt;"))</f>
        <v/>
      </c>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67"/>
      <c r="AM77" s="167"/>
      <c r="AN77" s="167"/>
      <c r="AO77" s="167"/>
      <c r="AP77" s="167"/>
      <c r="AQ77" s="167"/>
      <c r="AR77" s="167"/>
      <c r="AS77" s="167"/>
      <c r="AT77" s="167"/>
      <c r="AU77" s="181"/>
    </row>
    <row r="78" spans="1:47" ht="60" customHeight="1" x14ac:dyDescent="0.35">
      <c r="A78" s="178" t="s">
        <v>4794</v>
      </c>
      <c r="B78" s="152" t="s">
        <v>4722</v>
      </c>
      <c r="C78" s="153" t="s">
        <v>4892</v>
      </c>
      <c r="D78" s="156" t="s">
        <v>4893</v>
      </c>
      <c r="E78" s="159"/>
      <c r="F78" s="162" t="s">
        <v>28</v>
      </c>
      <c r="G78" s="165" t="str">
        <f>IF(COUNTIF(H78:AU78,"&lt;&gt;")=0,"",SUMPRODUCT(((Recommendations[ImplStatus]="Implemented")+(Recommendations[ImplStatus]="Compensated"))*ISNUMBER(MATCH(Recommendations[Id],H78:AU78,0)))/COUNTIF(H78:AU78,"&lt;&gt;"))</f>
        <v/>
      </c>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82"/>
    </row>
    <row r="79" spans="1:47" ht="60" customHeight="1" x14ac:dyDescent="0.35">
      <c r="A79" s="178" t="s">
        <v>4794</v>
      </c>
      <c r="B79" s="152" t="s">
        <v>4722</v>
      </c>
      <c r="C79" s="153" t="s">
        <v>4894</v>
      </c>
      <c r="D79" s="156" t="s">
        <v>4895</v>
      </c>
      <c r="E79" s="159"/>
      <c r="F79" s="162" t="s">
        <v>28</v>
      </c>
      <c r="G79" s="165" t="str">
        <f>IF(COUNTIF(H79:AU79,"&lt;&gt;")=0,"",SUMPRODUCT(((Recommendations[ImplStatus]="Implemented")+(Recommendations[ImplStatus]="Compensated"))*ISNUMBER(MATCH(Recommendations[Id],H79:AU79,0)))/COUNTIF(H79:AU79,"&lt;&gt;"))</f>
        <v/>
      </c>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82"/>
    </row>
    <row r="80" spans="1:47" ht="60" customHeight="1" x14ac:dyDescent="0.35">
      <c r="A80" s="178" t="s">
        <v>4794</v>
      </c>
      <c r="B80" s="152" t="s">
        <v>4722</v>
      </c>
      <c r="C80" s="153" t="s">
        <v>4896</v>
      </c>
      <c r="D80" s="156" t="s">
        <v>4897</v>
      </c>
      <c r="E80" s="159"/>
      <c r="F80" s="162" t="s">
        <v>28</v>
      </c>
      <c r="G80" s="165" t="str">
        <f>IF(COUNTIF(H80:AU80,"&lt;&gt;")=0,"",SUMPRODUCT(((Recommendations[ImplStatus]="Implemented")+(Recommendations[ImplStatus]="Compensated"))*ISNUMBER(MATCH(Recommendations[Id],H80:AU80,0)))/COUNTIF(H80:AU80,"&lt;&gt;"))</f>
        <v/>
      </c>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82"/>
    </row>
    <row r="81" spans="1:47" ht="60" customHeight="1" outlineLevel="1" x14ac:dyDescent="0.35">
      <c r="A81" s="177" t="s">
        <v>4794</v>
      </c>
      <c r="B81" s="151" t="s">
        <v>4650</v>
      </c>
      <c r="C81" s="149" t="s">
        <v>4898</v>
      </c>
      <c r="D81" s="155"/>
      <c r="E81" s="158" t="s">
        <v>28</v>
      </c>
      <c r="F81" s="161" t="s">
        <v>28</v>
      </c>
      <c r="G81" s="164" t="str">
        <f>IF(COUNTIF(H81:AU81,"&lt;&gt;")=0,"",SUMPRODUCT(((Recommendations[ImplStatus]="Implemented")+(Recommendations[ImplStatus]="Compensated"))*ISNUMBER(MATCH(Recommendations[Id],H81:AU81,0)))/COUNTIF(H81:AU81,"&lt;&gt;"))</f>
        <v/>
      </c>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c r="AM81" s="167"/>
      <c r="AN81" s="167"/>
      <c r="AO81" s="167"/>
      <c r="AP81" s="167"/>
      <c r="AQ81" s="167"/>
      <c r="AR81" s="167"/>
      <c r="AS81" s="167"/>
      <c r="AT81" s="167"/>
      <c r="AU81" s="181"/>
    </row>
    <row r="82" spans="1:47" ht="60" customHeight="1" x14ac:dyDescent="0.35">
      <c r="A82" s="178" t="s">
        <v>4794</v>
      </c>
      <c r="B82" s="152" t="s">
        <v>4650</v>
      </c>
      <c r="C82" s="153" t="s">
        <v>4899</v>
      </c>
      <c r="D82" s="156" t="s">
        <v>4900</v>
      </c>
      <c r="E82" s="159"/>
      <c r="F82" s="162" t="s">
        <v>28</v>
      </c>
      <c r="G82" s="165" t="str">
        <f>IF(COUNTIF(H82:AU82,"&lt;&gt;")=0,"",SUMPRODUCT(((Recommendations[ImplStatus]="Implemented")+(Recommendations[ImplStatus]="Compensated"))*ISNUMBER(MATCH(Recommendations[Id],H82:AU82,0)))/COUNTIF(H82:AU82,"&lt;&gt;"))</f>
        <v/>
      </c>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82"/>
    </row>
    <row r="83" spans="1:47" ht="60" customHeight="1" x14ac:dyDescent="0.35">
      <c r="A83" s="178" t="s">
        <v>4794</v>
      </c>
      <c r="B83" s="152" t="s">
        <v>4650</v>
      </c>
      <c r="C83" s="153" t="s">
        <v>4901</v>
      </c>
      <c r="D83" s="156" t="s">
        <v>4902</v>
      </c>
      <c r="E83" s="159"/>
      <c r="F83" s="162" t="s">
        <v>28</v>
      </c>
      <c r="G83" s="165" t="str">
        <f>IF(COUNTIF(H83:AU83,"&lt;&gt;")=0,"",SUMPRODUCT(((Recommendations[ImplStatus]="Implemented")+(Recommendations[ImplStatus]="Compensated"))*ISNUMBER(MATCH(Recommendations[Id],H83:AU83,0)))/COUNTIF(H83:AU83,"&lt;&gt;"))</f>
        <v/>
      </c>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82"/>
    </row>
    <row r="84" spans="1:47" ht="60" customHeight="1" x14ac:dyDescent="0.35">
      <c r="A84" s="178" t="s">
        <v>4794</v>
      </c>
      <c r="B84" s="152" t="s">
        <v>4650</v>
      </c>
      <c r="C84" s="153" t="s">
        <v>4903</v>
      </c>
      <c r="D84" s="156" t="s">
        <v>4904</v>
      </c>
      <c r="E84" s="159"/>
      <c r="F84" s="162" t="s">
        <v>28</v>
      </c>
      <c r="G84" s="165" t="str">
        <f>IF(COUNTIF(H84:AU84,"&lt;&gt;")=0,"",SUMPRODUCT(((Recommendations[ImplStatus]="Implemented")+(Recommendations[ImplStatus]="Compensated"))*ISNUMBER(MATCH(Recommendations[Id],H84:AU84,0)))/COUNTIF(H84:AU84,"&lt;&gt;"))</f>
        <v/>
      </c>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82"/>
    </row>
    <row r="85" spans="1:47" ht="60" customHeight="1" x14ac:dyDescent="0.35">
      <c r="A85" s="178" t="s">
        <v>4794</v>
      </c>
      <c r="B85" s="152" t="s">
        <v>4650</v>
      </c>
      <c r="C85" s="153" t="s">
        <v>4905</v>
      </c>
      <c r="D85" s="156" t="s">
        <v>4906</v>
      </c>
      <c r="E85" s="159"/>
      <c r="F85" s="162" t="s">
        <v>28</v>
      </c>
      <c r="G85" s="165" t="str">
        <f>IF(COUNTIF(H85:AU85,"&lt;&gt;")=0,"",SUMPRODUCT(((Recommendations[ImplStatus]="Implemented")+(Recommendations[ImplStatus]="Compensated"))*ISNUMBER(MATCH(Recommendations[Id],H85:AU85,0)))/COUNTIF(H85:AU85,"&lt;&gt;"))</f>
        <v/>
      </c>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82"/>
    </row>
    <row r="86" spans="1:47" ht="60" customHeight="1" x14ac:dyDescent="0.35">
      <c r="A86" s="178" t="s">
        <v>4794</v>
      </c>
      <c r="B86" s="152" t="s">
        <v>4650</v>
      </c>
      <c r="C86" s="153" t="s">
        <v>4907</v>
      </c>
      <c r="D86" s="156" t="s">
        <v>4908</v>
      </c>
      <c r="E86" s="159"/>
      <c r="F86" s="162" t="s">
        <v>28</v>
      </c>
      <c r="G86" s="165" t="str">
        <f>IF(COUNTIF(H86:AU86,"&lt;&gt;")=0,"",SUMPRODUCT(((Recommendations[ImplStatus]="Implemented")+(Recommendations[ImplStatus]="Compensated"))*ISNUMBER(MATCH(Recommendations[Id],H86:AU86,0)))/COUNTIF(H86:AU86,"&lt;&gt;"))</f>
        <v/>
      </c>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82"/>
    </row>
    <row r="87" spans="1:47" ht="60" customHeight="1" outlineLevel="1" x14ac:dyDescent="0.35">
      <c r="A87" s="176" t="s">
        <v>4909</v>
      </c>
      <c r="B87" s="150" t="s">
        <v>28</v>
      </c>
      <c r="C87" s="148" t="s">
        <v>4910</v>
      </c>
      <c r="D87" s="154" t="s">
        <v>4911</v>
      </c>
      <c r="E87" s="157" t="s">
        <v>28</v>
      </c>
      <c r="F87" s="160" t="s">
        <v>28</v>
      </c>
      <c r="G87" s="163" t="str">
        <f>IF(COUNTIF(H87:AU87,"&lt;&gt;")=0,"",SUMPRODUCT(((Recommendations[ImplStatus]="Implemented")+(Recommendations[ImplStatus]="Compensated"))*ISNUMBER(MATCH(Recommendations[Id],H87:AU87,0)))/COUNTIF(H87:AU87,"&lt;&gt;"))</f>
        <v/>
      </c>
      <c r="H87" s="166"/>
      <c r="I87" s="166"/>
      <c r="J87" s="166"/>
      <c r="K87" s="166"/>
      <c r="L87" s="166"/>
      <c r="M87" s="166"/>
      <c r="N87" s="166"/>
      <c r="O87" s="166"/>
      <c r="P87" s="166"/>
      <c r="Q87" s="166"/>
      <c r="R87" s="166"/>
      <c r="S87" s="166"/>
      <c r="T87" s="166"/>
      <c r="U87" s="166"/>
      <c r="V87" s="166"/>
      <c r="W87" s="166"/>
      <c r="X87" s="166"/>
      <c r="Y87" s="166"/>
      <c r="Z87" s="166"/>
      <c r="AA87" s="166"/>
      <c r="AB87" s="166"/>
      <c r="AC87" s="166"/>
      <c r="AD87" s="166"/>
      <c r="AE87" s="166"/>
      <c r="AF87" s="166"/>
      <c r="AG87" s="166"/>
      <c r="AH87" s="166"/>
      <c r="AI87" s="166"/>
      <c r="AJ87" s="166"/>
      <c r="AK87" s="166"/>
      <c r="AL87" s="166"/>
      <c r="AM87" s="166"/>
      <c r="AN87" s="166"/>
      <c r="AO87" s="166"/>
      <c r="AP87" s="166"/>
      <c r="AQ87" s="166"/>
      <c r="AR87" s="166"/>
      <c r="AS87" s="166"/>
      <c r="AT87" s="166"/>
      <c r="AU87" s="180"/>
    </row>
    <row r="88" spans="1:47" ht="60" customHeight="1" outlineLevel="1" x14ac:dyDescent="0.35">
      <c r="A88" s="177" t="s">
        <v>4909</v>
      </c>
      <c r="B88" s="151" t="s">
        <v>4912</v>
      </c>
      <c r="C88" s="149" t="s">
        <v>4913</v>
      </c>
      <c r="D88" s="155" t="s">
        <v>4914</v>
      </c>
      <c r="E88" s="158" t="s">
        <v>28</v>
      </c>
      <c r="F88" s="161" t="s">
        <v>28</v>
      </c>
      <c r="G88" s="164" t="str">
        <f>IF(COUNTIF(H88:AU88,"&lt;&gt;")=0,"",SUMPRODUCT(((Recommendations[ImplStatus]="Implemented")+(Recommendations[ImplStatus]="Compensated"))*ISNUMBER(MATCH(Recommendations[Id],H88:AU88,0)))/COUNTIF(H88:AU88,"&lt;&gt;"))</f>
        <v/>
      </c>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167"/>
      <c r="AM88" s="167"/>
      <c r="AN88" s="167"/>
      <c r="AO88" s="167"/>
      <c r="AP88" s="167"/>
      <c r="AQ88" s="167"/>
      <c r="AR88" s="167"/>
      <c r="AS88" s="167"/>
      <c r="AT88" s="167"/>
      <c r="AU88" s="181"/>
    </row>
    <row r="89" spans="1:47" ht="60" customHeight="1" x14ac:dyDescent="0.35">
      <c r="A89" s="178" t="s">
        <v>4909</v>
      </c>
      <c r="B89" s="152" t="s">
        <v>4912</v>
      </c>
      <c r="C89" s="153" t="s">
        <v>4915</v>
      </c>
      <c r="D89" s="156" t="s">
        <v>4916</v>
      </c>
      <c r="E89" s="159" t="s">
        <v>4917</v>
      </c>
      <c r="F89" s="162" t="s">
        <v>4686</v>
      </c>
      <c r="G89" s="165">
        <f>IF(COUNTIF(H89:AU89,"&lt;&gt;")=0,"",SUMPRODUCT(((Recommendations[ImplStatus]="Implemented")+(Recommendations[ImplStatus]="Compensated"))*ISNUMBER(MATCH(Recommendations[Id],H89:AU89,0)))/COUNTIF(H89:AU89,"&lt;&gt;"))</f>
        <v>0</v>
      </c>
      <c r="H89" s="168" t="s">
        <v>23</v>
      </c>
      <c r="I89" s="168" t="s">
        <v>41</v>
      </c>
      <c r="J89" s="168" t="s">
        <v>77</v>
      </c>
      <c r="K89" s="168" t="s">
        <v>222</v>
      </c>
      <c r="L89" s="168" t="s">
        <v>247</v>
      </c>
      <c r="M89" s="168" t="s">
        <v>333</v>
      </c>
      <c r="N89" s="168" t="s">
        <v>346</v>
      </c>
      <c r="O89" s="168" t="s">
        <v>354</v>
      </c>
      <c r="P89" s="168" t="s">
        <v>363</v>
      </c>
      <c r="Q89" s="168" t="s">
        <v>385</v>
      </c>
      <c r="R89" s="168" t="s">
        <v>398</v>
      </c>
      <c r="S89" s="168" t="s">
        <v>1449</v>
      </c>
      <c r="T89" s="168" t="s">
        <v>1561</v>
      </c>
      <c r="U89" s="168" t="s">
        <v>1573</v>
      </c>
      <c r="V89" s="168" t="s">
        <v>1806</v>
      </c>
      <c r="W89" s="168" t="s">
        <v>2067</v>
      </c>
      <c r="X89" s="168" t="s">
        <v>2086</v>
      </c>
      <c r="Y89" s="168" t="s">
        <v>2093</v>
      </c>
      <c r="Z89" s="168" t="s">
        <v>2100</v>
      </c>
      <c r="AA89" s="168" t="s">
        <v>2243</v>
      </c>
      <c r="AB89" s="168" t="s">
        <v>2252</v>
      </c>
      <c r="AC89" s="168" t="s">
        <v>2260</v>
      </c>
      <c r="AD89" s="168" t="s">
        <v>2296</v>
      </c>
      <c r="AE89" s="168" t="s">
        <v>2309</v>
      </c>
      <c r="AF89" s="168" t="s">
        <v>2357</v>
      </c>
      <c r="AG89" s="168" t="s">
        <v>2366</v>
      </c>
      <c r="AH89" s="168" t="s">
        <v>2373</v>
      </c>
      <c r="AI89" s="168" t="s">
        <v>2401</v>
      </c>
      <c r="AJ89" s="168" t="s">
        <v>2408</v>
      </c>
      <c r="AK89" s="168" t="s">
        <v>2415</v>
      </c>
      <c r="AL89" s="168" t="s">
        <v>2547</v>
      </c>
      <c r="AM89" s="168" t="s">
        <v>2795</v>
      </c>
      <c r="AN89" s="168" t="s">
        <v>2803</v>
      </c>
      <c r="AO89" s="168" t="s">
        <v>2816</v>
      </c>
      <c r="AP89" s="168"/>
      <c r="AQ89" s="168"/>
      <c r="AR89" s="168"/>
      <c r="AS89" s="168"/>
      <c r="AT89" s="168"/>
      <c r="AU89" s="182"/>
    </row>
    <row r="90" spans="1:47" ht="60" customHeight="1" x14ac:dyDescent="0.35">
      <c r="A90" s="178" t="s">
        <v>4909</v>
      </c>
      <c r="B90" s="152" t="s">
        <v>4912</v>
      </c>
      <c r="C90" s="153" t="s">
        <v>4918</v>
      </c>
      <c r="D90" s="156" t="s">
        <v>4919</v>
      </c>
      <c r="E90" s="159" t="s">
        <v>4920</v>
      </c>
      <c r="F90" s="162" t="s">
        <v>4690</v>
      </c>
      <c r="G90" s="165">
        <f>IF(COUNTIF(H90:AU90,"&lt;&gt;")=0,"",SUMPRODUCT(((Recommendations[ImplStatus]="Implemented")+(Recommendations[ImplStatus]="Compensated"))*ISNUMBER(MATCH(Recommendations[Id],H90:AU90,0)))/COUNTIF(H90:AU90,"&lt;&gt;"))</f>
        <v>0</v>
      </c>
      <c r="H90" s="168" t="s">
        <v>1605</v>
      </c>
      <c r="I90" s="168" t="s">
        <v>2433</v>
      </c>
      <c r="J90" s="168"/>
      <c r="K90" s="168"/>
      <c r="L90" s="16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82"/>
    </row>
    <row r="91" spans="1:47" ht="60" customHeight="1" x14ac:dyDescent="0.35">
      <c r="A91" s="178" t="s">
        <v>4909</v>
      </c>
      <c r="B91" s="152" t="s">
        <v>4912</v>
      </c>
      <c r="C91" s="153" t="s">
        <v>4921</v>
      </c>
      <c r="D91" s="156" t="s">
        <v>4922</v>
      </c>
      <c r="E91" s="159" t="s">
        <v>4923</v>
      </c>
      <c r="F91" s="162" t="s">
        <v>4686</v>
      </c>
      <c r="G91" s="165" t="str">
        <f>IF(COUNTIF(H91:AU91,"&lt;&gt;")=0,"",SUMPRODUCT(((Recommendations[ImplStatus]="Implemented")+(Recommendations[ImplStatus]="Compensated"))*ISNUMBER(MATCH(Recommendations[Id],H91:AU91,0)))/COUNTIF(H91:AU91,"&lt;&gt;"))</f>
        <v/>
      </c>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82"/>
    </row>
    <row r="92" spans="1:47" ht="60" customHeight="1" x14ac:dyDescent="0.35">
      <c r="A92" s="178" t="s">
        <v>4909</v>
      </c>
      <c r="B92" s="152" t="s">
        <v>4912</v>
      </c>
      <c r="C92" s="153" t="s">
        <v>4924</v>
      </c>
      <c r="D92" s="156" t="s">
        <v>4925</v>
      </c>
      <c r="E92" s="159" t="s">
        <v>4926</v>
      </c>
      <c r="F92" s="162" t="s">
        <v>4686</v>
      </c>
      <c r="G92" s="165" t="str">
        <f>IF(COUNTIF(H92:AU92,"&lt;&gt;")=0,"",SUMPRODUCT(((Recommendations[ImplStatus]="Implemented")+(Recommendations[ImplStatus]="Compensated"))*ISNUMBER(MATCH(Recommendations[Id],H92:AU92,0)))/COUNTIF(H92:AU92,"&lt;&gt;"))</f>
        <v/>
      </c>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82"/>
    </row>
    <row r="93" spans="1:47" ht="60" customHeight="1" x14ac:dyDescent="0.35">
      <c r="A93" s="178" t="s">
        <v>4909</v>
      </c>
      <c r="B93" s="152" t="s">
        <v>4912</v>
      </c>
      <c r="C93" s="153" t="s">
        <v>4927</v>
      </c>
      <c r="D93" s="156" t="s">
        <v>4928</v>
      </c>
      <c r="E93" s="159" t="s">
        <v>4929</v>
      </c>
      <c r="F93" s="162" t="s">
        <v>4686</v>
      </c>
      <c r="G93" s="165">
        <f>IF(COUNTIF(H93:AU93,"&lt;&gt;")=0,"",SUMPRODUCT(((Recommendations[ImplStatus]="Implemented")+(Recommendations[ImplStatus]="Compensated"))*ISNUMBER(MATCH(Recommendations[Id],H93:AU93,0)))/COUNTIF(H93:AU93,"&lt;&gt;"))</f>
        <v>0</v>
      </c>
      <c r="H93" s="168" t="s">
        <v>51</v>
      </c>
      <c r="I93" s="168" t="s">
        <v>204</v>
      </c>
      <c r="J93" s="168" t="s">
        <v>468</v>
      </c>
      <c r="K93" s="168" t="s">
        <v>2419</v>
      </c>
      <c r="L93" s="168" t="s">
        <v>2454</v>
      </c>
      <c r="M93" s="168" t="s">
        <v>2461</v>
      </c>
      <c r="N93" s="168" t="s">
        <v>2468</v>
      </c>
      <c r="O93" s="168" t="s">
        <v>2472</v>
      </c>
      <c r="P93" s="168" t="s">
        <v>2476</v>
      </c>
      <c r="Q93" s="168" t="s">
        <v>2483</v>
      </c>
      <c r="R93" s="168" t="s">
        <v>2490</v>
      </c>
      <c r="S93" s="168" t="s">
        <v>2519</v>
      </c>
      <c r="T93" s="168" t="s">
        <v>2530</v>
      </c>
      <c r="U93" s="168" t="s">
        <v>2640</v>
      </c>
      <c r="V93" s="168" t="s">
        <v>2649</v>
      </c>
      <c r="W93" s="168" t="s">
        <v>2656</v>
      </c>
      <c r="X93" s="168" t="s">
        <v>2663</v>
      </c>
      <c r="Y93" s="168" t="s">
        <v>2670</v>
      </c>
      <c r="Z93" s="168" t="s">
        <v>2677</v>
      </c>
      <c r="AA93" s="168" t="s">
        <v>2684</v>
      </c>
      <c r="AB93" s="168" t="s">
        <v>2691</v>
      </c>
      <c r="AC93" s="168" t="s">
        <v>2698</v>
      </c>
      <c r="AD93" s="168" t="s">
        <v>2705</v>
      </c>
      <c r="AE93" s="168" t="s">
        <v>2712</v>
      </c>
      <c r="AF93" s="168" t="s">
        <v>2719</v>
      </c>
      <c r="AG93" s="168" t="s">
        <v>2726</v>
      </c>
      <c r="AH93" s="168" t="s">
        <v>2733</v>
      </c>
      <c r="AI93" s="168" t="s">
        <v>2740</v>
      </c>
      <c r="AJ93" s="168" t="s">
        <v>2747</v>
      </c>
      <c r="AK93" s="168" t="s">
        <v>2754</v>
      </c>
      <c r="AL93" s="168" t="s">
        <v>2856</v>
      </c>
      <c r="AM93" s="168"/>
      <c r="AN93" s="168"/>
      <c r="AO93" s="168"/>
      <c r="AP93" s="168"/>
      <c r="AQ93" s="168"/>
      <c r="AR93" s="168"/>
      <c r="AS93" s="168"/>
      <c r="AT93" s="168"/>
      <c r="AU93" s="182"/>
    </row>
    <row r="94" spans="1:47" ht="60" customHeight="1" x14ac:dyDescent="0.35">
      <c r="A94" s="178" t="s">
        <v>4909</v>
      </c>
      <c r="B94" s="152" t="s">
        <v>4912</v>
      </c>
      <c r="C94" s="153" t="s">
        <v>4930</v>
      </c>
      <c r="D94" s="156" t="s">
        <v>4931</v>
      </c>
      <c r="E94" s="159" t="s">
        <v>4932</v>
      </c>
      <c r="F94" s="162" t="s">
        <v>4690</v>
      </c>
      <c r="G94" s="165" t="str">
        <f>IF(COUNTIF(H94:AU94,"&lt;&gt;")=0,"",SUMPRODUCT(((Recommendations[ImplStatus]="Implemented")+(Recommendations[ImplStatus]="Compensated"))*ISNUMBER(MATCH(Recommendations[Id],H94:AU94,0)))/COUNTIF(H94:AU94,"&lt;&gt;"))</f>
        <v/>
      </c>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82"/>
    </row>
    <row r="95" spans="1:47" ht="60" customHeight="1" outlineLevel="1" x14ac:dyDescent="0.35">
      <c r="A95" s="177" t="s">
        <v>4909</v>
      </c>
      <c r="B95" s="151" t="s">
        <v>4933</v>
      </c>
      <c r="C95" s="149" t="s">
        <v>4934</v>
      </c>
      <c r="D95" s="155"/>
      <c r="E95" s="158" t="s">
        <v>28</v>
      </c>
      <c r="F95" s="161" t="s">
        <v>28</v>
      </c>
      <c r="G95" s="164" t="str">
        <f>IF(COUNTIF(H95:AU95,"&lt;&gt;")=0,"",SUMPRODUCT(((Recommendations[ImplStatus]="Implemented")+(Recommendations[ImplStatus]="Compensated"))*ISNUMBER(MATCH(Recommendations[Id],H95:AU95,0)))/COUNTIF(H95:AU95,"&lt;&gt;"))</f>
        <v/>
      </c>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c r="AH95" s="167"/>
      <c r="AI95" s="167"/>
      <c r="AJ95" s="167"/>
      <c r="AK95" s="167"/>
      <c r="AL95" s="167"/>
      <c r="AM95" s="167"/>
      <c r="AN95" s="167"/>
      <c r="AO95" s="167"/>
      <c r="AP95" s="167"/>
      <c r="AQ95" s="167"/>
      <c r="AR95" s="167"/>
      <c r="AS95" s="167"/>
      <c r="AT95" s="167"/>
      <c r="AU95" s="181"/>
    </row>
    <row r="96" spans="1:47" ht="60" customHeight="1" x14ac:dyDescent="0.35">
      <c r="A96" s="178" t="s">
        <v>4909</v>
      </c>
      <c r="B96" s="152" t="s">
        <v>4933</v>
      </c>
      <c r="C96" s="153" t="s">
        <v>4935</v>
      </c>
      <c r="D96" s="156" t="s">
        <v>4936</v>
      </c>
      <c r="E96" s="159"/>
      <c r="F96" s="162" t="s">
        <v>28</v>
      </c>
      <c r="G96" s="165" t="str">
        <f>IF(COUNTIF(H96:AU96,"&lt;&gt;")=0,"",SUMPRODUCT(((Recommendations[ImplStatus]="Implemented")+(Recommendations[ImplStatus]="Compensated"))*ISNUMBER(MATCH(Recommendations[Id],H96:AU96,0)))/COUNTIF(H96:AU96,"&lt;&gt;"))</f>
        <v/>
      </c>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82"/>
    </row>
    <row r="97" spans="1:47" ht="60" customHeight="1" x14ac:dyDescent="0.35">
      <c r="A97" s="178" t="s">
        <v>4909</v>
      </c>
      <c r="B97" s="152" t="s">
        <v>4933</v>
      </c>
      <c r="C97" s="153" t="s">
        <v>4937</v>
      </c>
      <c r="D97" s="156" t="s">
        <v>4938</v>
      </c>
      <c r="E97" s="159"/>
      <c r="F97" s="162" t="s">
        <v>28</v>
      </c>
      <c r="G97" s="165" t="str">
        <f>IF(COUNTIF(H97:AU97,"&lt;&gt;")=0,"",SUMPRODUCT(((Recommendations[ImplStatus]="Implemented")+(Recommendations[ImplStatus]="Compensated"))*ISNUMBER(MATCH(Recommendations[Id],H97:AU97,0)))/COUNTIF(H97:AU97,"&lt;&gt;"))</f>
        <v/>
      </c>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82"/>
    </row>
    <row r="98" spans="1:47" ht="60" customHeight="1" x14ac:dyDescent="0.35">
      <c r="A98" s="178" t="s">
        <v>4909</v>
      </c>
      <c r="B98" s="152" t="s">
        <v>4933</v>
      </c>
      <c r="C98" s="153" t="s">
        <v>4939</v>
      </c>
      <c r="D98" s="156" t="s">
        <v>4940</v>
      </c>
      <c r="E98" s="159"/>
      <c r="F98" s="162" t="s">
        <v>28</v>
      </c>
      <c r="G98" s="165" t="str">
        <f>IF(COUNTIF(H98:AU98,"&lt;&gt;")=0,"",SUMPRODUCT(((Recommendations[ImplStatus]="Implemented")+(Recommendations[ImplStatus]="Compensated"))*ISNUMBER(MATCH(Recommendations[Id],H98:AU98,0)))/COUNTIF(H98:AU98,"&lt;&gt;"))</f>
        <v/>
      </c>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82"/>
    </row>
    <row r="99" spans="1:47" ht="60" customHeight="1" x14ac:dyDescent="0.35">
      <c r="A99" s="178" t="s">
        <v>4909</v>
      </c>
      <c r="B99" s="152" t="s">
        <v>4933</v>
      </c>
      <c r="C99" s="153" t="s">
        <v>4941</v>
      </c>
      <c r="D99" s="156" t="s">
        <v>4942</v>
      </c>
      <c r="E99" s="159"/>
      <c r="F99" s="162" t="s">
        <v>28</v>
      </c>
      <c r="G99" s="165" t="str">
        <f>IF(COUNTIF(H99:AU99,"&lt;&gt;")=0,"",SUMPRODUCT(((Recommendations[ImplStatus]="Implemented")+(Recommendations[ImplStatus]="Compensated"))*ISNUMBER(MATCH(Recommendations[Id],H99:AU99,0)))/COUNTIF(H99:AU99,"&lt;&gt;"))</f>
        <v/>
      </c>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82"/>
    </row>
    <row r="100" spans="1:47" ht="60" customHeight="1" x14ac:dyDescent="0.35">
      <c r="A100" s="178" t="s">
        <v>4909</v>
      </c>
      <c r="B100" s="152" t="s">
        <v>4933</v>
      </c>
      <c r="C100" s="153" t="s">
        <v>4943</v>
      </c>
      <c r="D100" s="156" t="s">
        <v>4944</v>
      </c>
      <c r="E100" s="159"/>
      <c r="F100" s="162" t="s">
        <v>28</v>
      </c>
      <c r="G100" s="165" t="str">
        <f>IF(COUNTIF(H100:AU100,"&lt;&gt;")=0,"",SUMPRODUCT(((Recommendations[ImplStatus]="Implemented")+(Recommendations[ImplStatus]="Compensated"))*ISNUMBER(MATCH(Recommendations[Id],H100:AU100,0)))/COUNTIF(H100:AU100,"&lt;&gt;"))</f>
        <v/>
      </c>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82"/>
    </row>
    <row r="101" spans="1:47" ht="60" customHeight="1" x14ac:dyDescent="0.35">
      <c r="A101" s="178" t="s">
        <v>4909</v>
      </c>
      <c r="B101" s="152" t="s">
        <v>4933</v>
      </c>
      <c r="C101" s="153" t="s">
        <v>4945</v>
      </c>
      <c r="D101" s="156" t="s">
        <v>4946</v>
      </c>
      <c r="E101" s="159"/>
      <c r="F101" s="162" t="s">
        <v>28</v>
      </c>
      <c r="G101" s="165" t="str">
        <f>IF(COUNTIF(H101:AU101,"&lt;&gt;")=0,"",SUMPRODUCT(((Recommendations[ImplStatus]="Implemented")+(Recommendations[ImplStatus]="Compensated"))*ISNUMBER(MATCH(Recommendations[Id],H101:AU101,0)))/COUNTIF(H101:AU101,"&lt;&gt;"))</f>
        <v/>
      </c>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82"/>
    </row>
    <row r="102" spans="1:47" ht="60" customHeight="1" x14ac:dyDescent="0.35">
      <c r="A102" s="178" t="s">
        <v>4909</v>
      </c>
      <c r="B102" s="152" t="s">
        <v>4933</v>
      </c>
      <c r="C102" s="153" t="s">
        <v>4947</v>
      </c>
      <c r="D102" s="156" t="s">
        <v>4948</v>
      </c>
      <c r="E102" s="159"/>
      <c r="F102" s="162" t="s">
        <v>28</v>
      </c>
      <c r="G102" s="165" t="str">
        <f>IF(COUNTIF(H102:AU102,"&lt;&gt;")=0,"",SUMPRODUCT(((Recommendations[ImplStatus]="Implemented")+(Recommendations[ImplStatus]="Compensated"))*ISNUMBER(MATCH(Recommendations[Id],H102:AU102,0)))/COUNTIF(H102:AU102,"&lt;&gt;"))</f>
        <v/>
      </c>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82"/>
    </row>
    <row r="103" spans="1:47" ht="60" customHeight="1" outlineLevel="1" x14ac:dyDescent="0.35">
      <c r="A103" s="177" t="s">
        <v>4909</v>
      </c>
      <c r="B103" s="151" t="s">
        <v>4093</v>
      </c>
      <c r="C103" s="149" t="s">
        <v>4949</v>
      </c>
      <c r="D103" s="155" t="s">
        <v>4950</v>
      </c>
      <c r="E103" s="158" t="s">
        <v>28</v>
      </c>
      <c r="F103" s="161" t="s">
        <v>28</v>
      </c>
      <c r="G103" s="164" t="str">
        <f>IF(COUNTIF(H103:AU103,"&lt;&gt;")=0,"",SUMPRODUCT(((Recommendations[ImplStatus]="Implemented")+(Recommendations[ImplStatus]="Compensated"))*ISNUMBER(MATCH(Recommendations[Id],H103:AU103,0)))/COUNTIF(H103:AU103,"&lt;&gt;"))</f>
        <v/>
      </c>
      <c r="H103" s="167"/>
      <c r="I103" s="167"/>
      <c r="J103" s="167"/>
      <c r="K103" s="167"/>
      <c r="L103" s="167"/>
      <c r="M103" s="167"/>
      <c r="N103" s="167"/>
      <c r="O103" s="167"/>
      <c r="P103" s="167"/>
      <c r="Q103" s="167"/>
      <c r="R103" s="167"/>
      <c r="S103" s="167"/>
      <c r="T103" s="167"/>
      <c r="U103" s="167"/>
      <c r="V103" s="167"/>
      <c r="W103" s="167"/>
      <c r="X103" s="167"/>
      <c r="Y103" s="167"/>
      <c r="Z103" s="167"/>
      <c r="AA103" s="167"/>
      <c r="AB103" s="167"/>
      <c r="AC103" s="167"/>
      <c r="AD103" s="167"/>
      <c r="AE103" s="167"/>
      <c r="AF103" s="167"/>
      <c r="AG103" s="167"/>
      <c r="AH103" s="167"/>
      <c r="AI103" s="167"/>
      <c r="AJ103" s="167"/>
      <c r="AK103" s="167"/>
      <c r="AL103" s="167"/>
      <c r="AM103" s="167"/>
      <c r="AN103" s="167"/>
      <c r="AO103" s="167"/>
      <c r="AP103" s="167"/>
      <c r="AQ103" s="167"/>
      <c r="AR103" s="167"/>
      <c r="AS103" s="167"/>
      <c r="AT103" s="167"/>
      <c r="AU103" s="181"/>
    </row>
    <row r="104" spans="1:47" ht="60" customHeight="1" x14ac:dyDescent="0.35">
      <c r="A104" s="178" t="s">
        <v>4909</v>
      </c>
      <c r="B104" s="152" t="s">
        <v>4093</v>
      </c>
      <c r="C104" s="153" t="s">
        <v>4951</v>
      </c>
      <c r="D104" s="156" t="s">
        <v>4952</v>
      </c>
      <c r="E104" s="159" t="s">
        <v>4953</v>
      </c>
      <c r="F104" s="162" t="s">
        <v>4686</v>
      </c>
      <c r="G104" s="165" t="str">
        <f>IF(COUNTIF(H104:AU104,"&lt;&gt;")=0,"",SUMPRODUCT(((Recommendations[ImplStatus]="Implemented")+(Recommendations[ImplStatus]="Compensated"))*ISNUMBER(MATCH(Recommendations[Id],H104:AU104,0)))/COUNTIF(H104:AU104,"&lt;&gt;"))</f>
        <v/>
      </c>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82"/>
    </row>
    <row r="105" spans="1:47" ht="60" customHeight="1" x14ac:dyDescent="0.35">
      <c r="A105" s="178" t="s">
        <v>4909</v>
      </c>
      <c r="B105" s="152" t="s">
        <v>4093</v>
      </c>
      <c r="C105" s="153" t="s">
        <v>4954</v>
      </c>
      <c r="D105" s="156" t="s">
        <v>4955</v>
      </c>
      <c r="E105" s="159" t="s">
        <v>4956</v>
      </c>
      <c r="F105" s="162" t="s">
        <v>4690</v>
      </c>
      <c r="G105" s="165" t="str">
        <f>IF(COUNTIF(H105:AU105,"&lt;&gt;")=0,"",SUMPRODUCT(((Recommendations[ImplStatus]="Implemented")+(Recommendations[ImplStatus]="Compensated"))*ISNUMBER(MATCH(Recommendations[Id],H105:AU105,0)))/COUNTIF(H105:AU105,"&lt;&gt;"))</f>
        <v/>
      </c>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82"/>
    </row>
    <row r="106" spans="1:47" ht="60" customHeight="1" x14ac:dyDescent="0.35">
      <c r="A106" s="178" t="s">
        <v>4909</v>
      </c>
      <c r="B106" s="152" t="s">
        <v>4093</v>
      </c>
      <c r="C106" s="153" t="s">
        <v>4957</v>
      </c>
      <c r="D106" s="156" t="s">
        <v>4958</v>
      </c>
      <c r="E106" s="159"/>
      <c r="F106" s="162" t="s">
        <v>28</v>
      </c>
      <c r="G106" s="165" t="str">
        <f>IF(COUNTIF(H106:AU106,"&lt;&gt;")=0,"",SUMPRODUCT(((Recommendations[ImplStatus]="Implemented")+(Recommendations[ImplStatus]="Compensated"))*ISNUMBER(MATCH(Recommendations[Id],H106:AU106,0)))/COUNTIF(H106:AU106,"&lt;&gt;"))</f>
        <v/>
      </c>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82"/>
    </row>
    <row r="107" spans="1:47" ht="60" customHeight="1" x14ac:dyDescent="0.35">
      <c r="A107" s="178" t="s">
        <v>4909</v>
      </c>
      <c r="B107" s="152" t="s">
        <v>4093</v>
      </c>
      <c r="C107" s="153" t="s">
        <v>4959</v>
      </c>
      <c r="D107" s="156" t="s">
        <v>4960</v>
      </c>
      <c r="E107" s="159"/>
      <c r="F107" s="162" t="s">
        <v>28</v>
      </c>
      <c r="G107" s="165" t="str">
        <f>IF(COUNTIF(H107:AU107,"&lt;&gt;")=0,"",SUMPRODUCT(((Recommendations[ImplStatus]="Implemented")+(Recommendations[ImplStatus]="Compensated"))*ISNUMBER(MATCH(Recommendations[Id],H107:AU107,0)))/COUNTIF(H107:AU107,"&lt;&gt;"))</f>
        <v/>
      </c>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82"/>
    </row>
    <row r="108" spans="1:47" ht="60" customHeight="1" x14ac:dyDescent="0.35">
      <c r="A108" s="178" t="s">
        <v>4909</v>
      </c>
      <c r="B108" s="152" t="s">
        <v>4093</v>
      </c>
      <c r="C108" s="153" t="s">
        <v>4961</v>
      </c>
      <c r="D108" s="156" t="s">
        <v>4962</v>
      </c>
      <c r="E108" s="159"/>
      <c r="F108" s="162" t="s">
        <v>28</v>
      </c>
      <c r="G108" s="165" t="str">
        <f>IF(COUNTIF(H108:AU108,"&lt;&gt;")=0,"",SUMPRODUCT(((Recommendations[ImplStatus]="Implemented")+(Recommendations[ImplStatus]="Compensated"))*ISNUMBER(MATCH(Recommendations[Id],H108:AU108,0)))/COUNTIF(H108:AU108,"&lt;&gt;"))</f>
        <v/>
      </c>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82"/>
    </row>
    <row r="109" spans="1:47" ht="60" customHeight="1" outlineLevel="1" x14ac:dyDescent="0.35">
      <c r="A109" s="177" t="s">
        <v>4909</v>
      </c>
      <c r="B109" s="151" t="s">
        <v>4963</v>
      </c>
      <c r="C109" s="149" t="s">
        <v>4964</v>
      </c>
      <c r="D109" s="155" t="s">
        <v>4965</v>
      </c>
      <c r="E109" s="158" t="s">
        <v>28</v>
      </c>
      <c r="F109" s="161" t="s">
        <v>28</v>
      </c>
      <c r="G109" s="164" t="str">
        <f>IF(COUNTIF(H109:AU109,"&lt;&gt;")=0,"",SUMPRODUCT(((Recommendations[ImplStatus]="Implemented")+(Recommendations[ImplStatus]="Compensated"))*ISNUMBER(MATCH(Recommendations[Id],H109:AU109,0)))/COUNTIF(H109:AU109,"&lt;&gt;"))</f>
        <v/>
      </c>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81"/>
    </row>
    <row r="110" spans="1:47" ht="60" customHeight="1" x14ac:dyDescent="0.35">
      <c r="A110" s="178" t="s">
        <v>4909</v>
      </c>
      <c r="B110" s="152" t="s">
        <v>4963</v>
      </c>
      <c r="C110" s="153" t="s">
        <v>4966</v>
      </c>
      <c r="D110" s="156" t="s">
        <v>4967</v>
      </c>
      <c r="E110" s="159" t="s">
        <v>4968</v>
      </c>
      <c r="F110" s="162" t="s">
        <v>4686</v>
      </c>
      <c r="G110" s="165">
        <f>IF(COUNTIF(H110:AU110,"&lt;&gt;")=0,"",SUMPRODUCT(((Recommendations[ImplStatus]="Implemented")+(Recommendations[ImplStatus]="Compensated"))*ISNUMBER(MATCH(Recommendations[Id],H110:AU110,0)))/COUNTIF(H110:AU110,"&lt;&gt;"))</f>
        <v>0</v>
      </c>
      <c r="H110" s="168" t="s">
        <v>456</v>
      </c>
      <c r="I110" s="168" t="s">
        <v>2560</v>
      </c>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82"/>
    </row>
    <row r="111" spans="1:47" ht="60" customHeight="1" x14ac:dyDescent="0.35">
      <c r="A111" s="178" t="s">
        <v>4909</v>
      </c>
      <c r="B111" s="152" t="s">
        <v>4963</v>
      </c>
      <c r="C111" s="153" t="s">
        <v>4969</v>
      </c>
      <c r="D111" s="156" t="s">
        <v>4970</v>
      </c>
      <c r="E111" s="159" t="s">
        <v>4971</v>
      </c>
      <c r="F111" s="162" t="s">
        <v>4686</v>
      </c>
      <c r="G111" s="165">
        <f>IF(COUNTIF(H111:AU111,"&lt;&gt;")=0,"",SUMPRODUCT(((Recommendations[ImplStatus]="Implemented")+(Recommendations[ImplStatus]="Compensated"))*ISNUMBER(MATCH(Recommendations[Id],H111:AU111,0)))/COUNTIF(H111:AU111,"&lt;&gt;"))</f>
        <v>0</v>
      </c>
      <c r="H111" s="168" t="s">
        <v>135</v>
      </c>
      <c r="I111" s="168" t="s">
        <v>235</v>
      </c>
      <c r="J111" s="168" t="s">
        <v>610</v>
      </c>
      <c r="K111" s="168" t="s">
        <v>1286</v>
      </c>
      <c r="L111" s="168" t="s">
        <v>1508</v>
      </c>
      <c r="M111" s="168" t="s">
        <v>1519</v>
      </c>
      <c r="N111" s="168" t="s">
        <v>1530</v>
      </c>
      <c r="O111" s="168" t="s">
        <v>1539</v>
      </c>
      <c r="P111" s="168" t="s">
        <v>1596</v>
      </c>
      <c r="Q111" s="168" t="s">
        <v>1601</v>
      </c>
      <c r="R111" s="168" t="s">
        <v>1618</v>
      </c>
      <c r="S111" s="168" t="s">
        <v>1621</v>
      </c>
      <c r="T111" s="168" t="s">
        <v>1624</v>
      </c>
      <c r="U111" s="168" t="s">
        <v>2269</v>
      </c>
      <c r="V111" s="168" t="s">
        <v>2277</v>
      </c>
      <c r="W111" s="168" t="s">
        <v>2332</v>
      </c>
      <c r="X111" s="168" t="s">
        <v>2336</v>
      </c>
      <c r="Y111" s="168" t="s">
        <v>2341</v>
      </c>
      <c r="Z111" s="168" t="s">
        <v>2380</v>
      </c>
      <c r="AA111" s="168" t="s">
        <v>2387</v>
      </c>
      <c r="AB111" s="168" t="s">
        <v>2394</v>
      </c>
      <c r="AC111" s="168" t="s">
        <v>2426</v>
      </c>
      <c r="AD111" s="168" t="s">
        <v>2440</v>
      </c>
      <c r="AE111" s="168" t="s">
        <v>2447</v>
      </c>
      <c r="AF111" s="168" t="s">
        <v>2824</v>
      </c>
      <c r="AG111" s="168" t="s">
        <v>2837</v>
      </c>
      <c r="AH111" s="168" t="s">
        <v>2843</v>
      </c>
      <c r="AI111" s="168" t="s">
        <v>2849</v>
      </c>
      <c r="AJ111" s="168"/>
      <c r="AK111" s="168"/>
      <c r="AL111" s="168"/>
      <c r="AM111" s="168"/>
      <c r="AN111" s="168"/>
      <c r="AO111" s="168"/>
      <c r="AP111" s="168"/>
      <c r="AQ111" s="168"/>
      <c r="AR111" s="168"/>
      <c r="AS111" s="168"/>
      <c r="AT111" s="168"/>
      <c r="AU111" s="182"/>
    </row>
    <row r="112" spans="1:47" ht="60" customHeight="1" x14ac:dyDescent="0.35">
      <c r="A112" s="178" t="s">
        <v>4909</v>
      </c>
      <c r="B112" s="152" t="s">
        <v>4963</v>
      </c>
      <c r="C112" s="153" t="s">
        <v>4972</v>
      </c>
      <c r="D112" s="156" t="s">
        <v>4973</v>
      </c>
      <c r="E112" s="159"/>
      <c r="F112" s="162" t="s">
        <v>28</v>
      </c>
      <c r="G112" s="165" t="str">
        <f>IF(COUNTIF(H112:AU112,"&lt;&gt;")=0,"",SUMPRODUCT(((Recommendations[ImplStatus]="Implemented")+(Recommendations[ImplStatus]="Compensated"))*ISNUMBER(MATCH(Recommendations[Id],H112:AU112,0)))/COUNTIF(H112:AU112,"&lt;&gt;"))</f>
        <v/>
      </c>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82"/>
    </row>
    <row r="113" spans="1:47" ht="60" customHeight="1" x14ac:dyDescent="0.35">
      <c r="A113" s="178" t="s">
        <v>4909</v>
      </c>
      <c r="B113" s="152" t="s">
        <v>4963</v>
      </c>
      <c r="C113" s="153" t="s">
        <v>4974</v>
      </c>
      <c r="D113" s="156" t="s">
        <v>4975</v>
      </c>
      <c r="E113" s="159"/>
      <c r="F113" s="162" t="s">
        <v>28</v>
      </c>
      <c r="G113" s="165" t="str">
        <f>IF(COUNTIF(H113:AU113,"&lt;&gt;")=0,"",SUMPRODUCT(((Recommendations[ImplStatus]="Implemented")+(Recommendations[ImplStatus]="Compensated"))*ISNUMBER(MATCH(Recommendations[Id],H113:AU113,0)))/COUNTIF(H113:AU113,"&lt;&gt;"))</f>
        <v/>
      </c>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82"/>
    </row>
    <row r="114" spans="1:47" ht="60" customHeight="1" x14ac:dyDescent="0.35">
      <c r="A114" s="178" t="s">
        <v>4909</v>
      </c>
      <c r="B114" s="152" t="s">
        <v>4963</v>
      </c>
      <c r="C114" s="153" t="s">
        <v>4976</v>
      </c>
      <c r="D114" s="156" t="s">
        <v>4977</v>
      </c>
      <c r="E114" s="159"/>
      <c r="F114" s="162" t="s">
        <v>28</v>
      </c>
      <c r="G114" s="165" t="str">
        <f>IF(COUNTIF(H114:AU114,"&lt;&gt;")=0,"",SUMPRODUCT(((Recommendations[ImplStatus]="Implemented")+(Recommendations[ImplStatus]="Compensated"))*ISNUMBER(MATCH(Recommendations[Id],H114:AU114,0)))/COUNTIF(H114:AU114,"&lt;&gt;"))</f>
        <v/>
      </c>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82"/>
    </row>
    <row r="115" spans="1:47" ht="60" customHeight="1" x14ac:dyDescent="0.35">
      <c r="A115" s="178" t="s">
        <v>4909</v>
      </c>
      <c r="B115" s="152" t="s">
        <v>4963</v>
      </c>
      <c r="C115" s="153" t="s">
        <v>4978</v>
      </c>
      <c r="D115" s="156" t="s">
        <v>4979</v>
      </c>
      <c r="E115" s="159"/>
      <c r="F115" s="162" t="s">
        <v>28</v>
      </c>
      <c r="G115" s="165" t="str">
        <f>IF(COUNTIF(H115:AU115,"&lt;&gt;")=0,"",SUMPRODUCT(((Recommendations[ImplStatus]="Implemented")+(Recommendations[ImplStatus]="Compensated"))*ISNUMBER(MATCH(Recommendations[Id],H115:AU115,0)))/COUNTIF(H115:AU115,"&lt;&gt;"))</f>
        <v/>
      </c>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82"/>
    </row>
    <row r="116" spans="1:47" ht="60" customHeight="1" x14ac:dyDescent="0.35">
      <c r="A116" s="178" t="s">
        <v>4909</v>
      </c>
      <c r="B116" s="152" t="s">
        <v>4963</v>
      </c>
      <c r="C116" s="153" t="s">
        <v>4980</v>
      </c>
      <c r="D116" s="156" t="s">
        <v>4981</v>
      </c>
      <c r="E116" s="159"/>
      <c r="F116" s="162" t="s">
        <v>28</v>
      </c>
      <c r="G116" s="165" t="str">
        <f>IF(COUNTIF(H116:AU116,"&lt;&gt;")=0,"",SUMPRODUCT(((Recommendations[ImplStatus]="Implemented")+(Recommendations[ImplStatus]="Compensated"))*ISNUMBER(MATCH(Recommendations[Id],H116:AU116,0)))/COUNTIF(H116:AU116,"&lt;&gt;"))</f>
        <v/>
      </c>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82"/>
    </row>
    <row r="117" spans="1:47" ht="60" customHeight="1" x14ac:dyDescent="0.35">
      <c r="A117" s="178" t="s">
        <v>4909</v>
      </c>
      <c r="B117" s="152" t="s">
        <v>4963</v>
      </c>
      <c r="C117" s="153" t="s">
        <v>4982</v>
      </c>
      <c r="D117" s="156" t="s">
        <v>4983</v>
      </c>
      <c r="E117" s="159"/>
      <c r="F117" s="162" t="s">
        <v>28</v>
      </c>
      <c r="G117" s="165" t="str">
        <f>IF(COUNTIF(H117:AU117,"&lt;&gt;")=0,"",SUMPRODUCT(((Recommendations[ImplStatus]="Implemented")+(Recommendations[ImplStatus]="Compensated"))*ISNUMBER(MATCH(Recommendations[Id],H117:AU117,0)))/COUNTIF(H117:AU117,"&lt;&gt;"))</f>
        <v/>
      </c>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82"/>
    </row>
    <row r="118" spans="1:47" ht="60" customHeight="1" x14ac:dyDescent="0.35">
      <c r="A118" s="178" t="s">
        <v>4909</v>
      </c>
      <c r="B118" s="152" t="s">
        <v>4963</v>
      </c>
      <c r="C118" s="153" t="s">
        <v>4984</v>
      </c>
      <c r="D118" s="156" t="s">
        <v>4985</v>
      </c>
      <c r="E118" s="159" t="s">
        <v>4986</v>
      </c>
      <c r="F118" s="162" t="s">
        <v>4686</v>
      </c>
      <c r="G118" s="165" t="str">
        <f>IF(COUNTIF(H118:AU118,"&lt;&gt;")=0,"",SUMPRODUCT(((Recommendations[ImplStatus]="Implemented")+(Recommendations[ImplStatus]="Compensated"))*ISNUMBER(MATCH(Recommendations[Id],H118:AU118,0)))/COUNTIF(H118:AU118,"&lt;&gt;"))</f>
        <v/>
      </c>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82"/>
    </row>
    <row r="119" spans="1:47" ht="60" customHeight="1" x14ac:dyDescent="0.35">
      <c r="A119" s="178" t="s">
        <v>4909</v>
      </c>
      <c r="B119" s="152" t="s">
        <v>4963</v>
      </c>
      <c r="C119" s="153" t="s">
        <v>4987</v>
      </c>
      <c r="D119" s="156" t="s">
        <v>4988</v>
      </c>
      <c r="E119" s="159" t="s">
        <v>4989</v>
      </c>
      <c r="F119" s="162" t="s">
        <v>4686</v>
      </c>
      <c r="G119" s="165" t="str">
        <f>IF(COUNTIF(H119:AU119,"&lt;&gt;")=0,"",SUMPRODUCT(((Recommendations[ImplStatus]="Implemented")+(Recommendations[ImplStatus]="Compensated"))*ISNUMBER(MATCH(Recommendations[Id],H119:AU119,0)))/COUNTIF(H119:AU119,"&lt;&gt;"))</f>
        <v/>
      </c>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168"/>
      <c r="AO119" s="168"/>
      <c r="AP119" s="168"/>
      <c r="AQ119" s="168"/>
      <c r="AR119" s="168"/>
      <c r="AS119" s="168"/>
      <c r="AT119" s="168"/>
      <c r="AU119" s="182"/>
    </row>
    <row r="120" spans="1:47" ht="60" customHeight="1" outlineLevel="1" x14ac:dyDescent="0.35">
      <c r="A120" s="177" t="s">
        <v>4909</v>
      </c>
      <c r="B120" s="151" t="s">
        <v>4990</v>
      </c>
      <c r="C120" s="149" t="s">
        <v>4991</v>
      </c>
      <c r="D120" s="155"/>
      <c r="E120" s="158" t="s">
        <v>28</v>
      </c>
      <c r="F120" s="161" t="s">
        <v>28</v>
      </c>
      <c r="G120" s="164" t="str">
        <f>IF(COUNTIF(H120:AU120,"&lt;&gt;")=0,"",SUMPRODUCT(((Recommendations[ImplStatus]="Implemented")+(Recommendations[ImplStatus]="Compensated"))*ISNUMBER(MATCH(Recommendations[Id],H120:AU120,0)))/COUNTIF(H120:AU120,"&lt;&gt;"))</f>
        <v/>
      </c>
      <c r="H120" s="167"/>
      <c r="I120" s="167"/>
      <c r="J120" s="167"/>
      <c r="K120" s="167"/>
      <c r="L120" s="167"/>
      <c r="M120" s="167"/>
      <c r="N120" s="167"/>
      <c r="O120" s="167"/>
      <c r="P120" s="167"/>
      <c r="Q120" s="167"/>
      <c r="R120" s="167"/>
      <c r="S120" s="167"/>
      <c r="T120" s="167"/>
      <c r="U120" s="167"/>
      <c r="V120" s="167"/>
      <c r="W120" s="167"/>
      <c r="X120" s="167"/>
      <c r="Y120" s="167"/>
      <c r="Z120" s="167"/>
      <c r="AA120" s="167"/>
      <c r="AB120" s="167"/>
      <c r="AC120" s="167"/>
      <c r="AD120" s="167"/>
      <c r="AE120" s="167"/>
      <c r="AF120" s="167"/>
      <c r="AG120" s="167"/>
      <c r="AH120" s="167"/>
      <c r="AI120" s="167"/>
      <c r="AJ120" s="167"/>
      <c r="AK120" s="167"/>
      <c r="AL120" s="167"/>
      <c r="AM120" s="167"/>
      <c r="AN120" s="167"/>
      <c r="AO120" s="167"/>
      <c r="AP120" s="167"/>
      <c r="AQ120" s="167"/>
      <c r="AR120" s="167"/>
      <c r="AS120" s="167"/>
      <c r="AT120" s="167"/>
      <c r="AU120" s="181"/>
    </row>
    <row r="121" spans="1:47" ht="60" customHeight="1" x14ac:dyDescent="0.35">
      <c r="A121" s="178" t="s">
        <v>4909</v>
      </c>
      <c r="B121" s="152" t="s">
        <v>4990</v>
      </c>
      <c r="C121" s="153" t="s">
        <v>4992</v>
      </c>
      <c r="D121" s="156" t="s">
        <v>4993</v>
      </c>
      <c r="E121" s="159"/>
      <c r="F121" s="162" t="s">
        <v>28</v>
      </c>
      <c r="G121" s="165" t="str">
        <f>IF(COUNTIF(H121:AU121,"&lt;&gt;")=0,"",SUMPRODUCT(((Recommendations[ImplStatus]="Implemented")+(Recommendations[ImplStatus]="Compensated"))*ISNUMBER(MATCH(Recommendations[Id],H121:AU121,0)))/COUNTIF(H121:AU121,"&lt;&gt;"))</f>
        <v/>
      </c>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82"/>
    </row>
    <row r="122" spans="1:47" ht="60" customHeight="1" x14ac:dyDescent="0.35">
      <c r="A122" s="178" t="s">
        <v>4909</v>
      </c>
      <c r="B122" s="152" t="s">
        <v>4990</v>
      </c>
      <c r="C122" s="153" t="s">
        <v>4994</v>
      </c>
      <c r="D122" s="156" t="s">
        <v>4995</v>
      </c>
      <c r="E122" s="159"/>
      <c r="F122" s="162" t="s">
        <v>28</v>
      </c>
      <c r="G122" s="165" t="str">
        <f>IF(COUNTIF(H122:AU122,"&lt;&gt;")=0,"",SUMPRODUCT(((Recommendations[ImplStatus]="Implemented")+(Recommendations[ImplStatus]="Compensated"))*ISNUMBER(MATCH(Recommendations[Id],H122:AU122,0)))/COUNTIF(H122:AU122,"&lt;&gt;"))</f>
        <v/>
      </c>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8"/>
      <c r="AT122" s="168"/>
      <c r="AU122" s="182"/>
    </row>
    <row r="123" spans="1:47" ht="60" customHeight="1" x14ac:dyDescent="0.35">
      <c r="A123" s="178" t="s">
        <v>4909</v>
      </c>
      <c r="B123" s="152" t="s">
        <v>4990</v>
      </c>
      <c r="C123" s="153" t="s">
        <v>4996</v>
      </c>
      <c r="D123" s="156" t="s">
        <v>4997</v>
      </c>
      <c r="E123" s="159"/>
      <c r="F123" s="162" t="s">
        <v>28</v>
      </c>
      <c r="G123" s="165" t="str">
        <f>IF(COUNTIF(H123:AU123,"&lt;&gt;")=0,"",SUMPRODUCT(((Recommendations[ImplStatus]="Implemented")+(Recommendations[ImplStatus]="Compensated"))*ISNUMBER(MATCH(Recommendations[Id],H123:AU123,0)))/COUNTIF(H123:AU123,"&lt;&gt;"))</f>
        <v/>
      </c>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c r="AF123" s="168"/>
      <c r="AG123" s="168"/>
      <c r="AH123" s="168"/>
      <c r="AI123" s="168"/>
      <c r="AJ123" s="168"/>
      <c r="AK123" s="168"/>
      <c r="AL123" s="168"/>
      <c r="AM123" s="168"/>
      <c r="AN123" s="168"/>
      <c r="AO123" s="168"/>
      <c r="AP123" s="168"/>
      <c r="AQ123" s="168"/>
      <c r="AR123" s="168"/>
      <c r="AS123" s="168"/>
      <c r="AT123" s="168"/>
      <c r="AU123" s="182"/>
    </row>
    <row r="124" spans="1:47" ht="60" customHeight="1" x14ac:dyDescent="0.35">
      <c r="A124" s="178" t="s">
        <v>4909</v>
      </c>
      <c r="B124" s="152" t="s">
        <v>4990</v>
      </c>
      <c r="C124" s="153" t="s">
        <v>4998</v>
      </c>
      <c r="D124" s="156" t="s">
        <v>4999</v>
      </c>
      <c r="E124" s="159"/>
      <c r="F124" s="162" t="s">
        <v>28</v>
      </c>
      <c r="G124" s="165" t="str">
        <f>IF(COUNTIF(H124:AU124,"&lt;&gt;")=0,"",SUMPRODUCT(((Recommendations[ImplStatus]="Implemented")+(Recommendations[ImplStatus]="Compensated"))*ISNUMBER(MATCH(Recommendations[Id],H124:AU124,0)))/COUNTIF(H124:AU124,"&lt;&gt;"))</f>
        <v/>
      </c>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8"/>
      <c r="AI124" s="168"/>
      <c r="AJ124" s="168"/>
      <c r="AK124" s="168"/>
      <c r="AL124" s="168"/>
      <c r="AM124" s="168"/>
      <c r="AN124" s="168"/>
      <c r="AO124" s="168"/>
      <c r="AP124" s="168"/>
      <c r="AQ124" s="168"/>
      <c r="AR124" s="168"/>
      <c r="AS124" s="168"/>
      <c r="AT124" s="168"/>
      <c r="AU124" s="182"/>
    </row>
    <row r="125" spans="1:47" ht="60" customHeight="1" x14ac:dyDescent="0.35">
      <c r="A125" s="178" t="s">
        <v>4909</v>
      </c>
      <c r="B125" s="152" t="s">
        <v>4990</v>
      </c>
      <c r="C125" s="153" t="s">
        <v>5000</v>
      </c>
      <c r="D125" s="156" t="s">
        <v>5001</v>
      </c>
      <c r="E125" s="159"/>
      <c r="F125" s="162" t="s">
        <v>28</v>
      </c>
      <c r="G125" s="165" t="str">
        <f>IF(COUNTIF(H125:AU125,"&lt;&gt;")=0,"",SUMPRODUCT(((Recommendations[ImplStatus]="Implemented")+(Recommendations[ImplStatus]="Compensated"))*ISNUMBER(MATCH(Recommendations[Id],H125:AU125,0)))/COUNTIF(H125:AU125,"&lt;&gt;"))</f>
        <v/>
      </c>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8"/>
      <c r="AT125" s="168"/>
      <c r="AU125" s="182"/>
    </row>
    <row r="126" spans="1:47" ht="60" customHeight="1" x14ac:dyDescent="0.35">
      <c r="A126" s="178" t="s">
        <v>4909</v>
      </c>
      <c r="B126" s="152" t="s">
        <v>4990</v>
      </c>
      <c r="C126" s="153" t="s">
        <v>5002</v>
      </c>
      <c r="D126" s="156" t="s">
        <v>5003</v>
      </c>
      <c r="E126" s="159"/>
      <c r="F126" s="162" t="s">
        <v>28</v>
      </c>
      <c r="G126" s="165" t="str">
        <f>IF(COUNTIF(H126:AU126,"&lt;&gt;")=0,"",SUMPRODUCT(((Recommendations[ImplStatus]="Implemented")+(Recommendations[ImplStatus]="Compensated"))*ISNUMBER(MATCH(Recommendations[Id],H126:AU126,0)))/COUNTIF(H126:AU126,"&lt;&gt;"))</f>
        <v/>
      </c>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8"/>
      <c r="AN126" s="168"/>
      <c r="AO126" s="168"/>
      <c r="AP126" s="168"/>
      <c r="AQ126" s="168"/>
      <c r="AR126" s="168"/>
      <c r="AS126" s="168"/>
      <c r="AT126" s="168"/>
      <c r="AU126" s="182"/>
    </row>
    <row r="127" spans="1:47" ht="60" customHeight="1" x14ac:dyDescent="0.35">
      <c r="A127" s="178" t="s">
        <v>4909</v>
      </c>
      <c r="B127" s="152" t="s">
        <v>4990</v>
      </c>
      <c r="C127" s="153" t="s">
        <v>5004</v>
      </c>
      <c r="D127" s="156" t="s">
        <v>5005</v>
      </c>
      <c r="E127" s="159"/>
      <c r="F127" s="162" t="s">
        <v>28</v>
      </c>
      <c r="G127" s="165" t="str">
        <f>IF(COUNTIF(H127:AU127,"&lt;&gt;")=0,"",SUMPRODUCT(((Recommendations[ImplStatus]="Implemented")+(Recommendations[ImplStatus]="Compensated"))*ISNUMBER(MATCH(Recommendations[Id],H127:AU127,0)))/COUNTIF(H127:AU127,"&lt;&gt;"))</f>
        <v/>
      </c>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8"/>
      <c r="AT127" s="168"/>
      <c r="AU127" s="182"/>
    </row>
    <row r="128" spans="1:47" ht="60" customHeight="1" x14ac:dyDescent="0.35">
      <c r="A128" s="178" t="s">
        <v>4909</v>
      </c>
      <c r="B128" s="152" t="s">
        <v>4990</v>
      </c>
      <c r="C128" s="153" t="s">
        <v>5006</v>
      </c>
      <c r="D128" s="156" t="s">
        <v>5007</v>
      </c>
      <c r="E128" s="159"/>
      <c r="F128" s="162" t="s">
        <v>28</v>
      </c>
      <c r="G128" s="165" t="str">
        <f>IF(COUNTIF(H128:AU128,"&lt;&gt;")=0,"",SUMPRODUCT(((Recommendations[ImplStatus]="Implemented")+(Recommendations[ImplStatus]="Compensated"))*ISNUMBER(MATCH(Recommendations[Id],H128:AU128,0)))/COUNTIF(H128:AU128,"&lt;&gt;"))</f>
        <v/>
      </c>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c r="AM128" s="168"/>
      <c r="AN128" s="168"/>
      <c r="AO128" s="168"/>
      <c r="AP128" s="168"/>
      <c r="AQ128" s="168"/>
      <c r="AR128" s="168"/>
      <c r="AS128" s="168"/>
      <c r="AT128" s="168"/>
      <c r="AU128" s="182"/>
    </row>
    <row r="129" spans="1:47" ht="60" customHeight="1" x14ac:dyDescent="0.35">
      <c r="A129" s="178" t="s">
        <v>4909</v>
      </c>
      <c r="B129" s="152" t="s">
        <v>4990</v>
      </c>
      <c r="C129" s="153" t="s">
        <v>5008</v>
      </c>
      <c r="D129" s="156" t="s">
        <v>5009</v>
      </c>
      <c r="E129" s="159"/>
      <c r="F129" s="162" t="s">
        <v>28</v>
      </c>
      <c r="G129" s="165" t="str">
        <f>IF(COUNTIF(H129:AU129,"&lt;&gt;")=0,"",SUMPRODUCT(((Recommendations[ImplStatus]="Implemented")+(Recommendations[ImplStatus]="Compensated"))*ISNUMBER(MATCH(Recommendations[Id],H129:AU129,0)))/COUNTIF(H129:AU129,"&lt;&gt;"))</f>
        <v/>
      </c>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82"/>
    </row>
    <row r="130" spans="1:47" ht="60" customHeight="1" x14ac:dyDescent="0.35">
      <c r="A130" s="178" t="s">
        <v>4909</v>
      </c>
      <c r="B130" s="152" t="s">
        <v>4990</v>
      </c>
      <c r="C130" s="153" t="s">
        <v>5010</v>
      </c>
      <c r="D130" s="156" t="s">
        <v>5011</v>
      </c>
      <c r="E130" s="159"/>
      <c r="F130" s="162" t="s">
        <v>28</v>
      </c>
      <c r="G130" s="165" t="str">
        <f>IF(COUNTIF(H130:AU130,"&lt;&gt;")=0,"",SUMPRODUCT(((Recommendations[ImplStatus]="Implemented")+(Recommendations[ImplStatus]="Compensated"))*ISNUMBER(MATCH(Recommendations[Id],H130:AU130,0)))/COUNTIF(H130:AU130,"&lt;&gt;"))</f>
        <v/>
      </c>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82"/>
    </row>
    <row r="131" spans="1:47" ht="60" customHeight="1" x14ac:dyDescent="0.35">
      <c r="A131" s="178" t="s">
        <v>4909</v>
      </c>
      <c r="B131" s="152" t="s">
        <v>4990</v>
      </c>
      <c r="C131" s="153" t="s">
        <v>5012</v>
      </c>
      <c r="D131" s="156" t="s">
        <v>5013</v>
      </c>
      <c r="E131" s="159"/>
      <c r="F131" s="162" t="s">
        <v>28</v>
      </c>
      <c r="G131" s="165" t="str">
        <f>IF(COUNTIF(H131:AU131,"&lt;&gt;")=0,"",SUMPRODUCT(((Recommendations[ImplStatus]="Implemented")+(Recommendations[ImplStatus]="Compensated"))*ISNUMBER(MATCH(Recommendations[Id],H131:AU131,0)))/COUNTIF(H131:AU131,"&lt;&gt;"))</f>
        <v/>
      </c>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8"/>
      <c r="AO131" s="168"/>
      <c r="AP131" s="168"/>
      <c r="AQ131" s="168"/>
      <c r="AR131" s="168"/>
      <c r="AS131" s="168"/>
      <c r="AT131" s="168"/>
      <c r="AU131" s="182"/>
    </row>
    <row r="132" spans="1:47" ht="60" customHeight="1" x14ac:dyDescent="0.35">
      <c r="A132" s="178" t="s">
        <v>4909</v>
      </c>
      <c r="B132" s="152" t="s">
        <v>4990</v>
      </c>
      <c r="C132" s="153" t="s">
        <v>5014</v>
      </c>
      <c r="D132" s="156" t="s">
        <v>5015</v>
      </c>
      <c r="E132" s="159"/>
      <c r="F132" s="162" t="s">
        <v>28</v>
      </c>
      <c r="G132" s="165" t="str">
        <f>IF(COUNTIF(H132:AU132,"&lt;&gt;")=0,"",SUMPRODUCT(((Recommendations[ImplStatus]="Implemented")+(Recommendations[ImplStatus]="Compensated"))*ISNUMBER(MATCH(Recommendations[Id],H132:AU132,0)))/COUNTIF(H132:AU132,"&lt;&gt;"))</f>
        <v/>
      </c>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82"/>
    </row>
    <row r="133" spans="1:47" ht="60" customHeight="1" outlineLevel="1" x14ac:dyDescent="0.35">
      <c r="A133" s="177" t="s">
        <v>4909</v>
      </c>
      <c r="B133" s="151" t="s">
        <v>5016</v>
      </c>
      <c r="C133" s="149" t="s">
        <v>5017</v>
      </c>
      <c r="D133" s="155" t="s">
        <v>5018</v>
      </c>
      <c r="E133" s="158" t="s">
        <v>28</v>
      </c>
      <c r="F133" s="161" t="s">
        <v>28</v>
      </c>
      <c r="G133" s="164" t="str">
        <f>IF(COUNTIF(H133:AU133,"&lt;&gt;")=0,"",SUMPRODUCT(((Recommendations[ImplStatus]="Implemented")+(Recommendations[ImplStatus]="Compensated"))*ISNUMBER(MATCH(Recommendations[Id],H133:AU133,0)))/COUNTIF(H133:AU133,"&lt;&gt;"))</f>
        <v/>
      </c>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81"/>
    </row>
    <row r="134" spans="1:47" ht="60" customHeight="1" x14ac:dyDescent="0.35">
      <c r="A134" s="178" t="s">
        <v>4909</v>
      </c>
      <c r="B134" s="152" t="s">
        <v>5016</v>
      </c>
      <c r="C134" s="153" t="s">
        <v>5019</v>
      </c>
      <c r="D134" s="156" t="s">
        <v>5020</v>
      </c>
      <c r="E134" s="159" t="s">
        <v>5021</v>
      </c>
      <c r="F134" s="162" t="s">
        <v>4690</v>
      </c>
      <c r="G134" s="165">
        <f>IF(COUNTIF(H134:AU134,"&lt;&gt;")=0,"",SUMPRODUCT(((Recommendations[ImplStatus]="Implemented")+(Recommendations[ImplStatus]="Compensated"))*ISNUMBER(MATCH(Recommendations[Id],H134:AU134,0)))/COUNTIF(H134:AU134,"&lt;&gt;"))</f>
        <v>0</v>
      </c>
      <c r="H134" s="168" t="s">
        <v>84</v>
      </c>
      <c r="I134" s="168" t="s">
        <v>93</v>
      </c>
      <c r="J134" s="168" t="s">
        <v>100</v>
      </c>
      <c r="K134" s="168" t="s">
        <v>107</v>
      </c>
      <c r="L134" s="168" t="s">
        <v>129</v>
      </c>
      <c r="M134" s="168" t="s">
        <v>148</v>
      </c>
      <c r="N134" s="168" t="s">
        <v>173</v>
      </c>
      <c r="O134" s="168" t="s">
        <v>182</v>
      </c>
      <c r="P134" s="168" t="s">
        <v>185</v>
      </c>
      <c r="Q134" s="168" t="s">
        <v>193</v>
      </c>
      <c r="R134" s="168" t="s">
        <v>196</v>
      </c>
      <c r="S134" s="168" t="s">
        <v>2144</v>
      </c>
      <c r="T134" s="168" t="s">
        <v>2160</v>
      </c>
      <c r="U134" s="168" t="s">
        <v>2168</v>
      </c>
      <c r="V134" s="168" t="s">
        <v>2180</v>
      </c>
      <c r="W134" s="168" t="s">
        <v>2196</v>
      </c>
      <c r="X134" s="168" t="s">
        <v>2204</v>
      </c>
      <c r="Y134" s="168" t="s">
        <v>2770</v>
      </c>
      <c r="Z134" s="168" t="s">
        <v>2783</v>
      </c>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82"/>
    </row>
    <row r="135" spans="1:47" ht="60" customHeight="1" x14ac:dyDescent="0.35">
      <c r="A135" s="178" t="s">
        <v>4909</v>
      </c>
      <c r="B135" s="152" t="s">
        <v>5016</v>
      </c>
      <c r="C135" s="153" t="s">
        <v>5022</v>
      </c>
      <c r="D135" s="156" t="s">
        <v>5023</v>
      </c>
      <c r="E135" s="159" t="s">
        <v>5024</v>
      </c>
      <c r="F135" s="162" t="s">
        <v>4690</v>
      </c>
      <c r="G135" s="165" t="str">
        <f>IF(COUNTIF(H135:AU135,"&lt;&gt;")=0,"",SUMPRODUCT(((Recommendations[ImplStatus]="Implemented")+(Recommendations[ImplStatus]="Compensated"))*ISNUMBER(MATCH(Recommendations[Id],H135:AU135,0)))/COUNTIF(H135:AU135,"&lt;&gt;"))</f>
        <v/>
      </c>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82"/>
    </row>
    <row r="136" spans="1:47" ht="60" customHeight="1" x14ac:dyDescent="0.35">
      <c r="A136" s="178" t="s">
        <v>4909</v>
      </c>
      <c r="B136" s="152" t="s">
        <v>5016</v>
      </c>
      <c r="C136" s="153" t="s">
        <v>5025</v>
      </c>
      <c r="D136" s="156" t="s">
        <v>5026</v>
      </c>
      <c r="E136" s="159" t="s">
        <v>5027</v>
      </c>
      <c r="F136" s="162" t="s">
        <v>4686</v>
      </c>
      <c r="G136" s="165" t="str">
        <f>IF(COUNTIF(H136:AU136,"&lt;&gt;")=0,"",SUMPRODUCT(((Recommendations[ImplStatus]="Implemented")+(Recommendations[ImplStatus]="Compensated"))*ISNUMBER(MATCH(Recommendations[Id],H136:AU136,0)))/COUNTIF(H136:AU136,"&lt;&gt;"))</f>
        <v/>
      </c>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82"/>
    </row>
    <row r="137" spans="1:47" ht="60" customHeight="1" x14ac:dyDescent="0.35">
      <c r="A137" s="178" t="s">
        <v>4909</v>
      </c>
      <c r="B137" s="152" t="s">
        <v>5016</v>
      </c>
      <c r="C137" s="153" t="s">
        <v>5028</v>
      </c>
      <c r="D137" s="156" t="s">
        <v>5029</v>
      </c>
      <c r="E137" s="159" t="s">
        <v>5030</v>
      </c>
      <c r="F137" s="162" t="s">
        <v>28</v>
      </c>
      <c r="G137" s="165" t="str">
        <f>IF(COUNTIF(H137:AU137,"&lt;&gt;")=0,"",SUMPRODUCT(((Recommendations[ImplStatus]="Implemented")+(Recommendations[ImplStatus]="Compensated"))*ISNUMBER(MATCH(Recommendations[Id],H137:AU137,0)))/COUNTIF(H137:AU137,"&lt;&gt;"))</f>
        <v/>
      </c>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82"/>
    </row>
    <row r="138" spans="1:47" ht="60" customHeight="1" outlineLevel="1" x14ac:dyDescent="0.35">
      <c r="A138" s="177" t="s">
        <v>4909</v>
      </c>
      <c r="B138" s="151" t="s">
        <v>4326</v>
      </c>
      <c r="C138" s="149" t="s">
        <v>5031</v>
      </c>
      <c r="D138" s="155"/>
      <c r="E138" s="158" t="s">
        <v>28</v>
      </c>
      <c r="F138" s="161" t="s">
        <v>28</v>
      </c>
      <c r="G138" s="164" t="str">
        <f>IF(COUNTIF(H138:AU138,"&lt;&gt;")=0,"",SUMPRODUCT(((Recommendations[ImplStatus]="Implemented")+(Recommendations[ImplStatus]="Compensated"))*ISNUMBER(MATCH(Recommendations[Id],H138:AU138,0)))/COUNTIF(H138:AU138,"&lt;&gt;"))</f>
        <v/>
      </c>
      <c r="H138" s="167"/>
      <c r="I138" s="167"/>
      <c r="J138" s="167"/>
      <c r="K138" s="167"/>
      <c r="L138" s="167"/>
      <c r="M138" s="167"/>
      <c r="N138" s="167"/>
      <c r="O138" s="167"/>
      <c r="P138" s="167"/>
      <c r="Q138" s="167"/>
      <c r="R138" s="167"/>
      <c r="S138" s="167"/>
      <c r="T138" s="167"/>
      <c r="U138" s="167"/>
      <c r="V138" s="167"/>
      <c r="W138" s="167"/>
      <c r="X138" s="167"/>
      <c r="Y138" s="167"/>
      <c r="Z138" s="167"/>
      <c r="AA138" s="167"/>
      <c r="AB138" s="167"/>
      <c r="AC138" s="167"/>
      <c r="AD138" s="167"/>
      <c r="AE138" s="167"/>
      <c r="AF138" s="167"/>
      <c r="AG138" s="167"/>
      <c r="AH138" s="167"/>
      <c r="AI138" s="167"/>
      <c r="AJ138" s="167"/>
      <c r="AK138" s="167"/>
      <c r="AL138" s="167"/>
      <c r="AM138" s="167"/>
      <c r="AN138" s="167"/>
      <c r="AO138" s="167"/>
      <c r="AP138" s="167"/>
      <c r="AQ138" s="167"/>
      <c r="AR138" s="167"/>
      <c r="AS138" s="167"/>
      <c r="AT138" s="167"/>
      <c r="AU138" s="181"/>
    </row>
    <row r="139" spans="1:47" ht="60" customHeight="1" x14ac:dyDescent="0.35">
      <c r="A139" s="178" t="s">
        <v>4909</v>
      </c>
      <c r="B139" s="152" t="s">
        <v>4326</v>
      </c>
      <c r="C139" s="153" t="s">
        <v>5032</v>
      </c>
      <c r="D139" s="156" t="s">
        <v>5033</v>
      </c>
      <c r="E139" s="159"/>
      <c r="F139" s="162" t="s">
        <v>28</v>
      </c>
      <c r="G139" s="165" t="str">
        <f>IF(COUNTIF(H139:AU139,"&lt;&gt;")=0,"",SUMPRODUCT(((Recommendations[ImplStatus]="Implemented")+(Recommendations[ImplStatus]="Compensated"))*ISNUMBER(MATCH(Recommendations[Id],H139:AU139,0)))/COUNTIF(H139:AU139,"&lt;&gt;"))</f>
        <v/>
      </c>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8"/>
      <c r="AT139" s="168"/>
      <c r="AU139" s="182"/>
    </row>
    <row r="140" spans="1:47" ht="60" customHeight="1" x14ac:dyDescent="0.35">
      <c r="A140" s="178" t="s">
        <v>4909</v>
      </c>
      <c r="B140" s="152" t="s">
        <v>4326</v>
      </c>
      <c r="C140" s="153" t="s">
        <v>5034</v>
      </c>
      <c r="D140" s="156" t="s">
        <v>5035</v>
      </c>
      <c r="E140" s="159"/>
      <c r="F140" s="162" t="s">
        <v>28</v>
      </c>
      <c r="G140" s="165" t="str">
        <f>IF(COUNTIF(H140:AU140,"&lt;&gt;")=0,"",SUMPRODUCT(((Recommendations[ImplStatus]="Implemented")+(Recommendations[ImplStatus]="Compensated"))*ISNUMBER(MATCH(Recommendations[Id],H140:AU140,0)))/COUNTIF(H140:AU140,"&lt;&gt;"))</f>
        <v/>
      </c>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82"/>
    </row>
    <row r="141" spans="1:47" ht="60" customHeight="1" outlineLevel="1" x14ac:dyDescent="0.35">
      <c r="A141" s="177" t="s">
        <v>4909</v>
      </c>
      <c r="B141" s="151" t="s">
        <v>5036</v>
      </c>
      <c r="C141" s="149" t="s">
        <v>5037</v>
      </c>
      <c r="D141" s="155" t="s">
        <v>5038</v>
      </c>
      <c r="E141" s="158" t="s">
        <v>28</v>
      </c>
      <c r="F141" s="161" t="s">
        <v>28</v>
      </c>
      <c r="G141" s="164" t="str">
        <f>IF(COUNTIF(H141:AU141,"&lt;&gt;")=0,"",SUMPRODUCT(((Recommendations[ImplStatus]="Implemented")+(Recommendations[ImplStatus]="Compensated"))*ISNUMBER(MATCH(Recommendations[Id],H141:AU141,0)))/COUNTIF(H141:AU141,"&lt;&gt;"))</f>
        <v/>
      </c>
      <c r="H141" s="167"/>
      <c r="I141" s="167"/>
      <c r="J141" s="167"/>
      <c r="K141" s="167"/>
      <c r="L141" s="167"/>
      <c r="M141" s="167"/>
      <c r="N141" s="167"/>
      <c r="O141" s="167"/>
      <c r="P141" s="167"/>
      <c r="Q141" s="167"/>
      <c r="R141" s="167"/>
      <c r="S141" s="167"/>
      <c r="T141" s="167"/>
      <c r="U141" s="167"/>
      <c r="V141" s="167"/>
      <c r="W141" s="167"/>
      <c r="X141" s="167"/>
      <c r="Y141" s="167"/>
      <c r="Z141" s="167"/>
      <c r="AA141" s="167"/>
      <c r="AB141" s="167"/>
      <c r="AC141" s="167"/>
      <c r="AD141" s="167"/>
      <c r="AE141" s="167"/>
      <c r="AF141" s="167"/>
      <c r="AG141" s="167"/>
      <c r="AH141" s="167"/>
      <c r="AI141" s="167"/>
      <c r="AJ141" s="167"/>
      <c r="AK141" s="167"/>
      <c r="AL141" s="167"/>
      <c r="AM141" s="167"/>
      <c r="AN141" s="167"/>
      <c r="AO141" s="167"/>
      <c r="AP141" s="167"/>
      <c r="AQ141" s="167"/>
      <c r="AR141" s="167"/>
      <c r="AS141" s="167"/>
      <c r="AT141" s="167"/>
      <c r="AU141" s="181"/>
    </row>
    <row r="142" spans="1:47" ht="60" customHeight="1" x14ac:dyDescent="0.35">
      <c r="A142" s="178" t="s">
        <v>4909</v>
      </c>
      <c r="B142" s="152" t="s">
        <v>5036</v>
      </c>
      <c r="C142" s="153" t="s">
        <v>5039</v>
      </c>
      <c r="D142" s="156" t="s">
        <v>5040</v>
      </c>
      <c r="E142" s="159" t="s">
        <v>5041</v>
      </c>
      <c r="F142" s="162" t="s">
        <v>4686</v>
      </c>
      <c r="G142" s="165">
        <f>IF(COUNTIF(H142:AU142,"&lt;&gt;")=0,"",SUMPRODUCT(((Recommendations[ImplStatus]="Implemented")+(Recommendations[ImplStatus]="Compensated"))*ISNUMBER(MATCH(Recommendations[Id],H142:AU142,0)))/COUNTIF(H142:AU142,"&lt;&gt;"))</f>
        <v>0</v>
      </c>
      <c r="H142" s="168" t="s">
        <v>59</v>
      </c>
      <c r="I142" s="168" t="s">
        <v>65</v>
      </c>
      <c r="J142" s="168" t="s">
        <v>71</v>
      </c>
      <c r="K142" s="168" t="s">
        <v>115</v>
      </c>
      <c r="L142" s="168" t="s">
        <v>162</v>
      </c>
      <c r="M142" s="168" t="s">
        <v>213</v>
      </c>
      <c r="N142" s="168" t="s">
        <v>257</v>
      </c>
      <c r="O142" s="168" t="s">
        <v>270</v>
      </c>
      <c r="P142" s="168" t="s">
        <v>288</v>
      </c>
      <c r="Q142" s="168" t="s">
        <v>293</v>
      </c>
      <c r="R142" s="168" t="s">
        <v>297</v>
      </c>
      <c r="S142" s="168" t="s">
        <v>309</v>
      </c>
      <c r="T142" s="168" t="s">
        <v>320</v>
      </c>
      <c r="U142" s="168" t="s">
        <v>371</v>
      </c>
      <c r="V142" s="168" t="s">
        <v>412</v>
      </c>
      <c r="W142" s="168" t="s">
        <v>425</v>
      </c>
      <c r="X142" s="168" t="s">
        <v>433</v>
      </c>
      <c r="Y142" s="168" t="s">
        <v>514</v>
      </c>
      <c r="Z142" s="168" t="s">
        <v>525</v>
      </c>
      <c r="AA142" s="168" t="s">
        <v>534</v>
      </c>
      <c r="AB142" s="168" t="s">
        <v>543</v>
      </c>
      <c r="AC142" s="168" t="s">
        <v>557</v>
      </c>
      <c r="AD142" s="168" t="s">
        <v>570</v>
      </c>
      <c r="AE142" s="168" t="s">
        <v>582</v>
      </c>
      <c r="AF142" s="168" t="s">
        <v>591</v>
      </c>
      <c r="AG142" s="168" t="s">
        <v>600</v>
      </c>
      <c r="AH142" s="168" t="s">
        <v>618</v>
      </c>
      <c r="AI142" s="168" t="s">
        <v>626</v>
      </c>
      <c r="AJ142" s="168" t="s">
        <v>636</v>
      </c>
      <c r="AK142" s="168" t="s">
        <v>649</v>
      </c>
      <c r="AL142" s="168" t="s">
        <v>660</v>
      </c>
      <c r="AM142" s="168" t="s">
        <v>668</v>
      </c>
      <c r="AN142" s="168" t="s">
        <v>676</v>
      </c>
      <c r="AO142" s="168" t="s">
        <v>684</v>
      </c>
      <c r="AP142" s="168" t="s">
        <v>692</v>
      </c>
      <c r="AQ142" s="168" t="s">
        <v>700</v>
      </c>
      <c r="AR142" s="168" t="s">
        <v>708</v>
      </c>
      <c r="AS142" s="168" t="s">
        <v>716</v>
      </c>
      <c r="AT142" s="168" t="s">
        <v>724</v>
      </c>
      <c r="AU142" s="182" t="s">
        <v>732</v>
      </c>
    </row>
    <row r="143" spans="1:47" ht="60" customHeight="1" x14ac:dyDescent="0.35">
      <c r="A143" s="178" t="s">
        <v>4909</v>
      </c>
      <c r="B143" s="152" t="s">
        <v>5036</v>
      </c>
      <c r="C143" s="153" t="s">
        <v>5042</v>
      </c>
      <c r="D143" s="156" t="s">
        <v>5043</v>
      </c>
      <c r="E143" s="159" t="s">
        <v>5044</v>
      </c>
      <c r="F143" s="162" t="s">
        <v>4686</v>
      </c>
      <c r="G143" s="165" t="str">
        <f>IF(COUNTIF(H143:AU143,"&lt;&gt;")=0,"",SUMPRODUCT(((Recommendations[ImplStatus]="Implemented")+(Recommendations[ImplStatus]="Compensated"))*ISNUMBER(MATCH(Recommendations[Id],H143:AU143,0)))/COUNTIF(H143:AU143,"&lt;&gt;"))</f>
        <v/>
      </c>
      <c r="H143" s="168"/>
      <c r="I143" s="168"/>
      <c r="J143" s="168"/>
      <c r="K143" s="168"/>
      <c r="L143" s="168"/>
      <c r="M143" s="168"/>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M143" s="168"/>
      <c r="AN143" s="168"/>
      <c r="AO143" s="168"/>
      <c r="AP143" s="168"/>
      <c r="AQ143" s="168"/>
      <c r="AR143" s="168"/>
      <c r="AS143" s="168"/>
      <c r="AT143" s="168"/>
      <c r="AU143" s="182"/>
    </row>
    <row r="144" spans="1:47" ht="60" customHeight="1" x14ac:dyDescent="0.35">
      <c r="A144" s="178" t="s">
        <v>4909</v>
      </c>
      <c r="B144" s="152" t="s">
        <v>5036</v>
      </c>
      <c r="C144" s="153" t="s">
        <v>5045</v>
      </c>
      <c r="D144" s="156" t="s">
        <v>5046</v>
      </c>
      <c r="E144" s="159" t="s">
        <v>5047</v>
      </c>
      <c r="F144" s="162" t="s">
        <v>4690</v>
      </c>
      <c r="G144" s="165" t="str">
        <f>IF(COUNTIF(H144:AU144,"&lt;&gt;")=0,"",SUMPRODUCT(((Recommendations[ImplStatus]="Implemented")+(Recommendations[ImplStatus]="Compensated"))*ISNUMBER(MATCH(Recommendations[Id],H144:AU144,0)))/COUNTIF(H144:AU144,"&lt;&gt;"))</f>
        <v/>
      </c>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82"/>
    </row>
    <row r="145" spans="1:47" ht="60" customHeight="1" x14ac:dyDescent="0.35">
      <c r="A145" s="178" t="s">
        <v>4909</v>
      </c>
      <c r="B145" s="152" t="s">
        <v>5036</v>
      </c>
      <c r="C145" s="153" t="s">
        <v>5048</v>
      </c>
      <c r="D145" s="156" t="s">
        <v>5049</v>
      </c>
      <c r="E145" s="159" t="s">
        <v>5050</v>
      </c>
      <c r="F145" s="162" t="s">
        <v>4686</v>
      </c>
      <c r="G145" s="165" t="str">
        <f>IF(COUNTIF(H145:AU145,"&lt;&gt;")=0,"",SUMPRODUCT(((Recommendations[ImplStatus]="Implemented")+(Recommendations[ImplStatus]="Compensated"))*ISNUMBER(MATCH(Recommendations[Id],H145:AU145,0)))/COUNTIF(H145:AU145,"&lt;&gt;"))</f>
        <v/>
      </c>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82"/>
    </row>
    <row r="146" spans="1:47" ht="60" customHeight="1" x14ac:dyDescent="0.35">
      <c r="A146" s="178" t="s">
        <v>4909</v>
      </c>
      <c r="B146" s="152" t="s">
        <v>5036</v>
      </c>
      <c r="C146" s="153" t="s">
        <v>5051</v>
      </c>
      <c r="D146" s="156" t="s">
        <v>5052</v>
      </c>
      <c r="E146" s="159" t="s">
        <v>5053</v>
      </c>
      <c r="F146" s="162" t="s">
        <v>4686</v>
      </c>
      <c r="G146" s="165" t="str">
        <f>IF(COUNTIF(H146:AU146,"&lt;&gt;")=0,"",SUMPRODUCT(((Recommendations[ImplStatus]="Implemented")+(Recommendations[ImplStatus]="Compensated"))*ISNUMBER(MATCH(Recommendations[Id],H146:AU146,0)))/COUNTIF(H146:AU146,"&lt;&gt;"))</f>
        <v/>
      </c>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82"/>
    </row>
    <row r="147" spans="1:47" ht="60" customHeight="1" x14ac:dyDescent="0.35">
      <c r="A147" s="178" t="s">
        <v>4909</v>
      </c>
      <c r="B147" s="152" t="s">
        <v>5036</v>
      </c>
      <c r="C147" s="153" t="s">
        <v>5054</v>
      </c>
      <c r="D147" s="156" t="s">
        <v>5055</v>
      </c>
      <c r="E147" s="159" t="s">
        <v>5056</v>
      </c>
      <c r="F147" s="162" t="s">
        <v>4686</v>
      </c>
      <c r="G147" s="165" t="str">
        <f>IF(COUNTIF(H147:AU147,"&lt;&gt;")=0,"",SUMPRODUCT(((Recommendations[ImplStatus]="Implemented")+(Recommendations[ImplStatus]="Compensated"))*ISNUMBER(MATCH(Recommendations[Id],H147:AU147,0)))/COUNTIF(H147:AU147,"&lt;&gt;"))</f>
        <v/>
      </c>
      <c r="H147" s="168"/>
      <c r="I147" s="168"/>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82"/>
    </row>
    <row r="148" spans="1:47" ht="60" customHeight="1" outlineLevel="1" x14ac:dyDescent="0.35">
      <c r="A148" s="177" t="s">
        <v>4909</v>
      </c>
      <c r="B148" s="151" t="s">
        <v>5057</v>
      </c>
      <c r="C148" s="149" t="s">
        <v>5058</v>
      </c>
      <c r="D148" s="155"/>
      <c r="E148" s="158" t="s">
        <v>28</v>
      </c>
      <c r="F148" s="161" t="s">
        <v>28</v>
      </c>
      <c r="G148" s="164" t="str">
        <f>IF(COUNTIF(H148:AU148,"&lt;&gt;")=0,"",SUMPRODUCT(((Recommendations[ImplStatus]="Implemented")+(Recommendations[ImplStatus]="Compensated"))*ISNUMBER(MATCH(Recommendations[Id],H148:AU148,0)))/COUNTIF(H148:AU148,"&lt;&gt;"))</f>
        <v/>
      </c>
      <c r="H148" s="167"/>
      <c r="I148" s="167"/>
      <c r="J148" s="167"/>
      <c r="K148" s="167"/>
      <c r="L148" s="167"/>
      <c r="M148" s="167"/>
      <c r="N148" s="167"/>
      <c r="O148" s="167"/>
      <c r="P148" s="167"/>
      <c r="Q148" s="167"/>
      <c r="R148" s="167"/>
      <c r="S148" s="167"/>
      <c r="T148" s="167"/>
      <c r="U148" s="167"/>
      <c r="V148" s="167"/>
      <c r="W148" s="167"/>
      <c r="X148" s="167"/>
      <c r="Y148" s="167"/>
      <c r="Z148" s="167"/>
      <c r="AA148" s="167"/>
      <c r="AB148" s="167"/>
      <c r="AC148" s="167"/>
      <c r="AD148" s="167"/>
      <c r="AE148" s="167"/>
      <c r="AF148" s="167"/>
      <c r="AG148" s="167"/>
      <c r="AH148" s="167"/>
      <c r="AI148" s="167"/>
      <c r="AJ148" s="167"/>
      <c r="AK148" s="167"/>
      <c r="AL148" s="167"/>
      <c r="AM148" s="167"/>
      <c r="AN148" s="167"/>
      <c r="AO148" s="167"/>
      <c r="AP148" s="167"/>
      <c r="AQ148" s="167"/>
      <c r="AR148" s="167"/>
      <c r="AS148" s="167"/>
      <c r="AT148" s="167"/>
      <c r="AU148" s="181"/>
    </row>
    <row r="149" spans="1:47" ht="60" customHeight="1" x14ac:dyDescent="0.35">
      <c r="A149" s="178" t="s">
        <v>4909</v>
      </c>
      <c r="B149" s="152" t="s">
        <v>5057</v>
      </c>
      <c r="C149" s="153" t="s">
        <v>5059</v>
      </c>
      <c r="D149" s="156" t="s">
        <v>5060</v>
      </c>
      <c r="E149" s="159"/>
      <c r="F149" s="162" t="s">
        <v>28</v>
      </c>
      <c r="G149" s="165" t="str">
        <f>IF(COUNTIF(H149:AU149,"&lt;&gt;")=0,"",SUMPRODUCT(((Recommendations[ImplStatus]="Implemented")+(Recommendations[ImplStatus]="Compensated"))*ISNUMBER(MATCH(Recommendations[Id],H149:AU149,0)))/COUNTIF(H149:AU149,"&lt;&gt;"))</f>
        <v/>
      </c>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82"/>
    </row>
    <row r="150" spans="1:47" ht="60" customHeight="1" x14ac:dyDescent="0.35">
      <c r="A150" s="178" t="s">
        <v>4909</v>
      </c>
      <c r="B150" s="152" t="s">
        <v>5057</v>
      </c>
      <c r="C150" s="153" t="s">
        <v>5061</v>
      </c>
      <c r="D150" s="156" t="s">
        <v>5062</v>
      </c>
      <c r="E150" s="159"/>
      <c r="F150" s="162" t="s">
        <v>28</v>
      </c>
      <c r="G150" s="165" t="str">
        <f>IF(COUNTIF(H150:AU150,"&lt;&gt;")=0,"",SUMPRODUCT(((Recommendations[ImplStatus]="Implemented")+(Recommendations[ImplStatus]="Compensated"))*ISNUMBER(MATCH(Recommendations[Id],H150:AU150,0)))/COUNTIF(H150:AU150,"&lt;&gt;"))</f>
        <v/>
      </c>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82"/>
    </row>
    <row r="151" spans="1:47" ht="60" customHeight="1" x14ac:dyDescent="0.35">
      <c r="A151" s="178" t="s">
        <v>4909</v>
      </c>
      <c r="B151" s="152" t="s">
        <v>5057</v>
      </c>
      <c r="C151" s="153" t="s">
        <v>5063</v>
      </c>
      <c r="D151" s="156" t="s">
        <v>5064</v>
      </c>
      <c r="E151" s="159"/>
      <c r="F151" s="162" t="s">
        <v>28</v>
      </c>
      <c r="G151" s="165" t="str">
        <f>IF(COUNTIF(H151:AU151,"&lt;&gt;")=0,"",SUMPRODUCT(((Recommendations[ImplStatus]="Implemented")+(Recommendations[ImplStatus]="Compensated"))*ISNUMBER(MATCH(Recommendations[Id],H151:AU151,0)))/COUNTIF(H151:AU151,"&lt;&gt;"))</f>
        <v/>
      </c>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82"/>
    </row>
    <row r="152" spans="1:47" ht="60" customHeight="1" x14ac:dyDescent="0.35">
      <c r="A152" s="178" t="s">
        <v>4909</v>
      </c>
      <c r="B152" s="152" t="s">
        <v>5057</v>
      </c>
      <c r="C152" s="153" t="s">
        <v>5065</v>
      </c>
      <c r="D152" s="156" t="s">
        <v>5066</v>
      </c>
      <c r="E152" s="159"/>
      <c r="F152" s="162" t="s">
        <v>28</v>
      </c>
      <c r="G152" s="165" t="str">
        <f>IF(COUNTIF(H152:AU152,"&lt;&gt;")=0,"",SUMPRODUCT(((Recommendations[ImplStatus]="Implemented")+(Recommendations[ImplStatus]="Compensated"))*ISNUMBER(MATCH(Recommendations[Id],H152:AU152,0)))/COUNTIF(H152:AU152,"&lt;&gt;"))</f>
        <v/>
      </c>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82"/>
    </row>
    <row r="153" spans="1:47" ht="60" customHeight="1" x14ac:dyDescent="0.35">
      <c r="A153" s="178" t="s">
        <v>4909</v>
      </c>
      <c r="B153" s="152" t="s">
        <v>5057</v>
      </c>
      <c r="C153" s="153" t="s">
        <v>5067</v>
      </c>
      <c r="D153" s="156" t="s">
        <v>5068</v>
      </c>
      <c r="E153" s="159"/>
      <c r="F153" s="162" t="s">
        <v>28</v>
      </c>
      <c r="G153" s="165" t="str">
        <f>IF(COUNTIF(H153:AU153,"&lt;&gt;")=0,"",SUMPRODUCT(((Recommendations[ImplStatus]="Implemented")+(Recommendations[ImplStatus]="Compensated"))*ISNUMBER(MATCH(Recommendations[Id],H153:AU153,0)))/COUNTIF(H153:AU153,"&lt;&gt;"))</f>
        <v/>
      </c>
      <c r="H153" s="168"/>
      <c r="I153" s="168"/>
      <c r="J153" s="168"/>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82"/>
    </row>
    <row r="154" spans="1:47" ht="60" customHeight="1" outlineLevel="1" x14ac:dyDescent="0.35">
      <c r="A154" s="176" t="s">
        <v>5069</v>
      </c>
      <c r="B154" s="150" t="s">
        <v>28</v>
      </c>
      <c r="C154" s="148" t="s">
        <v>5070</v>
      </c>
      <c r="D154" s="154" t="s">
        <v>5071</v>
      </c>
      <c r="E154" s="157" t="s">
        <v>28</v>
      </c>
      <c r="F154" s="160" t="s">
        <v>28</v>
      </c>
      <c r="G154" s="163" t="str">
        <f>IF(COUNTIF(H154:AU154,"&lt;&gt;")=0,"",SUMPRODUCT(((Recommendations[ImplStatus]="Implemented")+(Recommendations[ImplStatus]="Compensated"))*ISNUMBER(MATCH(Recommendations[Id],H154:AU154,0)))/COUNTIF(H154:AU154,"&lt;&gt;"))</f>
        <v/>
      </c>
      <c r="H154" s="166"/>
      <c r="I154" s="166"/>
      <c r="J154" s="166"/>
      <c r="K154" s="166"/>
      <c r="L154" s="166"/>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6"/>
      <c r="AK154" s="166"/>
      <c r="AL154" s="166"/>
      <c r="AM154" s="166"/>
      <c r="AN154" s="166"/>
      <c r="AO154" s="166"/>
      <c r="AP154" s="166"/>
      <c r="AQ154" s="166"/>
      <c r="AR154" s="166"/>
      <c r="AS154" s="166"/>
      <c r="AT154" s="166"/>
      <c r="AU154" s="180"/>
    </row>
    <row r="155" spans="1:47" ht="60" customHeight="1" outlineLevel="1" x14ac:dyDescent="0.35">
      <c r="A155" s="177" t="s">
        <v>5069</v>
      </c>
      <c r="B155" s="151" t="s">
        <v>5072</v>
      </c>
      <c r="C155" s="149" t="s">
        <v>5073</v>
      </c>
      <c r="D155" s="155" t="s">
        <v>5074</v>
      </c>
      <c r="E155" s="158" t="s">
        <v>28</v>
      </c>
      <c r="F155" s="161" t="s">
        <v>28</v>
      </c>
      <c r="G155" s="164" t="str">
        <f>IF(COUNTIF(H155:AU155,"&lt;&gt;")=0,"",SUMPRODUCT(((Recommendations[ImplStatus]="Implemented")+(Recommendations[ImplStatus]="Compensated"))*ISNUMBER(MATCH(Recommendations[Id],H155:AU155,0)))/COUNTIF(H155:AU155,"&lt;&gt;"))</f>
        <v/>
      </c>
      <c r="H155" s="167"/>
      <c r="I155" s="167"/>
      <c r="J155" s="167"/>
      <c r="K155" s="167"/>
      <c r="L155" s="167"/>
      <c r="M155" s="167"/>
      <c r="N155" s="167"/>
      <c r="O155" s="167"/>
      <c r="P155" s="167"/>
      <c r="Q155" s="167"/>
      <c r="R155" s="167"/>
      <c r="S155" s="167"/>
      <c r="T155" s="167"/>
      <c r="U155" s="167"/>
      <c r="V155" s="167"/>
      <c r="W155" s="167"/>
      <c r="X155" s="167"/>
      <c r="Y155" s="167"/>
      <c r="Z155" s="167"/>
      <c r="AA155" s="167"/>
      <c r="AB155" s="167"/>
      <c r="AC155" s="167"/>
      <c r="AD155" s="167"/>
      <c r="AE155" s="167"/>
      <c r="AF155" s="167"/>
      <c r="AG155" s="167"/>
      <c r="AH155" s="167"/>
      <c r="AI155" s="167"/>
      <c r="AJ155" s="167"/>
      <c r="AK155" s="167"/>
      <c r="AL155" s="167"/>
      <c r="AM155" s="167"/>
      <c r="AN155" s="167"/>
      <c r="AO155" s="167"/>
      <c r="AP155" s="167"/>
      <c r="AQ155" s="167"/>
      <c r="AR155" s="167"/>
      <c r="AS155" s="167"/>
      <c r="AT155" s="167"/>
      <c r="AU155" s="181"/>
    </row>
    <row r="156" spans="1:47" ht="60" customHeight="1" x14ac:dyDescent="0.35">
      <c r="A156" s="178" t="s">
        <v>5069</v>
      </c>
      <c r="B156" s="152" t="s">
        <v>5072</v>
      </c>
      <c r="C156" s="153" t="s">
        <v>5075</v>
      </c>
      <c r="D156" s="156" t="s">
        <v>5076</v>
      </c>
      <c r="E156" s="159"/>
      <c r="F156" s="162" t="s">
        <v>28</v>
      </c>
      <c r="G156" s="165" t="str">
        <f>IF(COUNTIF(H156:AU156,"&lt;&gt;")=0,"",SUMPRODUCT(((Recommendations[ImplStatus]="Implemented")+(Recommendations[ImplStatus]="Compensated"))*ISNUMBER(MATCH(Recommendations[Id],H156:AU156,0)))/COUNTIF(H156:AU156,"&lt;&gt;"))</f>
        <v/>
      </c>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82"/>
    </row>
    <row r="157" spans="1:47" ht="60" customHeight="1" x14ac:dyDescent="0.35">
      <c r="A157" s="178" t="s">
        <v>5069</v>
      </c>
      <c r="B157" s="152" t="s">
        <v>5072</v>
      </c>
      <c r="C157" s="153" t="s">
        <v>5077</v>
      </c>
      <c r="D157" s="156" t="s">
        <v>5078</v>
      </c>
      <c r="E157" s="159" t="s">
        <v>5079</v>
      </c>
      <c r="F157" s="162" t="s">
        <v>4686</v>
      </c>
      <c r="G157" s="165">
        <f>IF(COUNTIF(H157:AU157,"&lt;&gt;")=0,"",SUMPRODUCT(((Recommendations[ImplStatus]="Implemented")+(Recommendations[ImplStatus]="Compensated"))*ISNUMBER(MATCH(Recommendations[Id],H157:AU157,0)))/COUNTIF(H157:AU157,"&lt;&gt;"))</f>
        <v>0</v>
      </c>
      <c r="H157" s="168" t="s">
        <v>1635</v>
      </c>
      <c r="I157" s="168" t="s">
        <v>1644</v>
      </c>
      <c r="J157" s="168" t="s">
        <v>1659</v>
      </c>
      <c r="K157" s="168" t="s">
        <v>1734</v>
      </c>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82"/>
    </row>
    <row r="158" spans="1:47" ht="60" customHeight="1" x14ac:dyDescent="0.35">
      <c r="A158" s="178" t="s">
        <v>5069</v>
      </c>
      <c r="B158" s="152" t="s">
        <v>5072</v>
      </c>
      <c r="C158" s="153" t="s">
        <v>5080</v>
      </c>
      <c r="D158" s="156" t="s">
        <v>5081</v>
      </c>
      <c r="E158" s="159" t="s">
        <v>5082</v>
      </c>
      <c r="F158" s="162" t="s">
        <v>4686</v>
      </c>
      <c r="G158" s="165" t="str">
        <f>IF(COUNTIF(H158:AU158,"&lt;&gt;")=0,"",SUMPRODUCT(((Recommendations[ImplStatus]="Implemented")+(Recommendations[ImplStatus]="Compensated"))*ISNUMBER(MATCH(Recommendations[Id],H158:AU158,0)))/COUNTIF(H158:AU158,"&lt;&gt;"))</f>
        <v/>
      </c>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82"/>
    </row>
    <row r="159" spans="1:47" ht="60" customHeight="1" x14ac:dyDescent="0.35">
      <c r="A159" s="178" t="s">
        <v>5069</v>
      </c>
      <c r="B159" s="152" t="s">
        <v>5072</v>
      </c>
      <c r="C159" s="153" t="s">
        <v>5083</v>
      </c>
      <c r="D159" s="156" t="s">
        <v>5084</v>
      </c>
      <c r="E159" s="159" t="s">
        <v>5085</v>
      </c>
      <c r="F159" s="162" t="s">
        <v>4686</v>
      </c>
      <c r="G159" s="165" t="str">
        <f>IF(COUNTIF(H159:AU159,"&lt;&gt;")=0,"",SUMPRODUCT(((Recommendations[ImplStatus]="Implemented")+(Recommendations[ImplStatus]="Compensated"))*ISNUMBER(MATCH(Recommendations[Id],H159:AU159,0)))/COUNTIF(H159:AU159,"&lt;&gt;"))</f>
        <v/>
      </c>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82"/>
    </row>
    <row r="160" spans="1:47" ht="60" customHeight="1" x14ac:dyDescent="0.35">
      <c r="A160" s="178" t="s">
        <v>5069</v>
      </c>
      <c r="B160" s="152" t="s">
        <v>5072</v>
      </c>
      <c r="C160" s="153" t="s">
        <v>5086</v>
      </c>
      <c r="D160" s="156" t="s">
        <v>5087</v>
      </c>
      <c r="E160" s="159"/>
      <c r="F160" s="162" t="s">
        <v>28</v>
      </c>
      <c r="G160" s="165" t="str">
        <f>IF(COUNTIF(H160:AU160,"&lt;&gt;")=0,"",SUMPRODUCT(((Recommendations[ImplStatus]="Implemented")+(Recommendations[ImplStatus]="Compensated"))*ISNUMBER(MATCH(Recommendations[Id],H160:AU160,0)))/COUNTIF(H160:AU160,"&lt;&gt;"))</f>
        <v/>
      </c>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82"/>
    </row>
    <row r="161" spans="1:47" ht="60" customHeight="1" x14ac:dyDescent="0.35">
      <c r="A161" s="178" t="s">
        <v>5069</v>
      </c>
      <c r="B161" s="152" t="s">
        <v>5072</v>
      </c>
      <c r="C161" s="153" t="s">
        <v>5088</v>
      </c>
      <c r="D161" s="156" t="s">
        <v>5089</v>
      </c>
      <c r="E161" s="159" t="s">
        <v>5090</v>
      </c>
      <c r="F161" s="162" t="s">
        <v>4686</v>
      </c>
      <c r="G161" s="165" t="str">
        <f>IF(COUNTIF(H161:AU161,"&lt;&gt;")=0,"",SUMPRODUCT(((Recommendations[ImplStatus]="Implemented")+(Recommendations[ImplStatus]="Compensated"))*ISNUMBER(MATCH(Recommendations[Id],H161:AU161,0)))/COUNTIF(H161:AU161,"&lt;&gt;"))</f>
        <v/>
      </c>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82"/>
    </row>
    <row r="162" spans="1:47" ht="60" customHeight="1" x14ac:dyDescent="0.35">
      <c r="A162" s="178" t="s">
        <v>5069</v>
      </c>
      <c r="B162" s="152" t="s">
        <v>5072</v>
      </c>
      <c r="C162" s="153" t="s">
        <v>5091</v>
      </c>
      <c r="D162" s="156" t="s">
        <v>5092</v>
      </c>
      <c r="E162" s="159" t="s">
        <v>5093</v>
      </c>
      <c r="F162" s="162" t="s">
        <v>4686</v>
      </c>
      <c r="G162" s="165" t="str">
        <f>IF(COUNTIF(H162:AU162,"&lt;&gt;")=0,"",SUMPRODUCT(((Recommendations[ImplStatus]="Implemented")+(Recommendations[ImplStatus]="Compensated"))*ISNUMBER(MATCH(Recommendations[Id],H162:AU162,0)))/COUNTIF(H162:AU162,"&lt;&gt;"))</f>
        <v/>
      </c>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82"/>
    </row>
    <row r="163" spans="1:47" ht="60" customHeight="1" x14ac:dyDescent="0.35">
      <c r="A163" s="178" t="s">
        <v>5069</v>
      </c>
      <c r="B163" s="152" t="s">
        <v>5072</v>
      </c>
      <c r="C163" s="153" t="s">
        <v>5094</v>
      </c>
      <c r="D163" s="156" t="s">
        <v>5095</v>
      </c>
      <c r="E163" s="159" t="s">
        <v>5096</v>
      </c>
      <c r="F163" s="162" t="s">
        <v>4686</v>
      </c>
      <c r="G163" s="165" t="str">
        <f>IF(COUNTIF(H163:AU163,"&lt;&gt;")=0,"",SUMPRODUCT(((Recommendations[ImplStatus]="Implemented")+(Recommendations[ImplStatus]="Compensated"))*ISNUMBER(MATCH(Recommendations[Id],H163:AU163,0)))/COUNTIF(H163:AU163,"&lt;&gt;"))</f>
        <v/>
      </c>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82"/>
    </row>
    <row r="164" spans="1:47" ht="60" customHeight="1" outlineLevel="1" x14ac:dyDescent="0.35">
      <c r="A164" s="177" t="s">
        <v>5069</v>
      </c>
      <c r="B164" s="151" t="s">
        <v>4490</v>
      </c>
      <c r="C164" s="149" t="s">
        <v>5097</v>
      </c>
      <c r="D164" s="155" t="s">
        <v>5098</v>
      </c>
      <c r="E164" s="158" t="s">
        <v>28</v>
      </c>
      <c r="F164" s="161" t="s">
        <v>28</v>
      </c>
      <c r="G164" s="164" t="str">
        <f>IF(COUNTIF(H164:AU164,"&lt;&gt;")=0,"",SUMPRODUCT(((Recommendations[ImplStatus]="Implemented")+(Recommendations[ImplStatus]="Compensated"))*ISNUMBER(MATCH(Recommendations[Id],H164:AU164,0)))/COUNTIF(H164:AU164,"&lt;&gt;"))</f>
        <v/>
      </c>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81"/>
    </row>
    <row r="165" spans="1:47" ht="60" customHeight="1" x14ac:dyDescent="0.35">
      <c r="A165" s="178" t="s">
        <v>5069</v>
      </c>
      <c r="B165" s="152" t="s">
        <v>4490</v>
      </c>
      <c r="C165" s="153" t="s">
        <v>5099</v>
      </c>
      <c r="D165" s="156" t="s">
        <v>5100</v>
      </c>
      <c r="E165" s="159" t="s">
        <v>5101</v>
      </c>
      <c r="F165" s="162" t="s">
        <v>4686</v>
      </c>
      <c r="G165" s="165">
        <f>IF(COUNTIF(H165:AU165,"&lt;&gt;")=0,"",SUMPRODUCT(((Recommendations[ImplStatus]="Implemented")+(Recommendations[ImplStatus]="Compensated"))*ISNUMBER(MATCH(Recommendations[Id],H165:AU165,0)))/COUNTIF(H165:AU165,"&lt;&gt;"))</f>
        <v>0</v>
      </c>
      <c r="H165" s="168" t="s">
        <v>481</v>
      </c>
      <c r="I165" s="168" t="s">
        <v>494</v>
      </c>
      <c r="J165" s="168" t="s">
        <v>505</v>
      </c>
      <c r="K165" s="168" t="s">
        <v>1583</v>
      </c>
      <c r="L165" s="168" t="s">
        <v>1635</v>
      </c>
      <c r="M165" s="168" t="s">
        <v>1644</v>
      </c>
      <c r="N165" s="168" t="s">
        <v>1652</v>
      </c>
      <c r="O165" s="168" t="s">
        <v>1659</v>
      </c>
      <c r="P165" s="168" t="s">
        <v>1666</v>
      </c>
      <c r="Q165" s="168" t="s">
        <v>1674</v>
      </c>
      <c r="R165" s="168" t="s">
        <v>1681</v>
      </c>
      <c r="S165" s="168" t="s">
        <v>1689</v>
      </c>
      <c r="T165" s="168" t="s">
        <v>1696</v>
      </c>
      <c r="U165" s="168" t="s">
        <v>1712</v>
      </c>
      <c r="V165" s="168" t="s">
        <v>1719</v>
      </c>
      <c r="W165" s="168" t="s">
        <v>1726</v>
      </c>
      <c r="X165" s="168" t="s">
        <v>1734</v>
      </c>
      <c r="Y165" s="168" t="s">
        <v>1741</v>
      </c>
      <c r="Z165" s="168" t="s">
        <v>1748</v>
      </c>
      <c r="AA165" s="168" t="s">
        <v>1755</v>
      </c>
      <c r="AB165" s="168" t="s">
        <v>1762</v>
      </c>
      <c r="AC165" s="168" t="s">
        <v>1769</v>
      </c>
      <c r="AD165" s="168" t="s">
        <v>1776</v>
      </c>
      <c r="AE165" s="168" t="s">
        <v>1784</v>
      </c>
      <c r="AF165" s="168" t="s">
        <v>1791</v>
      </c>
      <c r="AG165" s="168" t="s">
        <v>1994</v>
      </c>
      <c r="AH165" s="168" t="s">
        <v>2139</v>
      </c>
      <c r="AI165" s="168" t="s">
        <v>2148</v>
      </c>
      <c r="AJ165" s="168" t="s">
        <v>2156</v>
      </c>
      <c r="AK165" s="168" t="s">
        <v>2164</v>
      </c>
      <c r="AL165" s="168" t="s">
        <v>2172</v>
      </c>
      <c r="AM165" s="168" t="s">
        <v>2176</v>
      </c>
      <c r="AN165" s="168" t="s">
        <v>2188</v>
      </c>
      <c r="AO165" s="168" t="s">
        <v>2192</v>
      </c>
      <c r="AP165" s="168" t="s">
        <v>2212</v>
      </c>
      <c r="AQ165" s="168" t="s">
        <v>2221</v>
      </c>
      <c r="AR165" s="168" t="s">
        <v>2234</v>
      </c>
      <c r="AS165" s="168" t="s">
        <v>2314</v>
      </c>
      <c r="AT165" s="168" t="s">
        <v>2323</v>
      </c>
      <c r="AU165" s="182"/>
    </row>
    <row r="166" spans="1:47" ht="60" customHeight="1" x14ac:dyDescent="0.35">
      <c r="A166" s="178" t="s">
        <v>5069</v>
      </c>
      <c r="B166" s="152" t="s">
        <v>4490</v>
      </c>
      <c r="C166" s="153" t="s">
        <v>5102</v>
      </c>
      <c r="D166" s="156" t="s">
        <v>5103</v>
      </c>
      <c r="E166" s="159" t="s">
        <v>5104</v>
      </c>
      <c r="F166" s="162" t="s">
        <v>4686</v>
      </c>
      <c r="G166" s="165" t="str">
        <f>IF(COUNTIF(H166:AU166,"&lt;&gt;")=0,"",SUMPRODUCT(((Recommendations[ImplStatus]="Implemented")+(Recommendations[ImplStatus]="Compensated"))*ISNUMBER(MATCH(Recommendations[Id],H166:AU166,0)))/COUNTIF(H166:AU166,"&lt;&gt;"))</f>
        <v/>
      </c>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82"/>
    </row>
    <row r="167" spans="1:47" ht="60" customHeight="1" x14ac:dyDescent="0.35">
      <c r="A167" s="178" t="s">
        <v>5069</v>
      </c>
      <c r="B167" s="152" t="s">
        <v>4490</v>
      </c>
      <c r="C167" s="153" t="s">
        <v>5105</v>
      </c>
      <c r="D167" s="156" t="s">
        <v>5106</v>
      </c>
      <c r="E167" s="159" t="s">
        <v>5107</v>
      </c>
      <c r="F167" s="162" t="s">
        <v>4686</v>
      </c>
      <c r="G167" s="165" t="str">
        <f>IF(COUNTIF(H167:AU167,"&lt;&gt;")=0,"",SUMPRODUCT(((Recommendations[ImplStatus]="Implemented")+(Recommendations[ImplStatus]="Compensated"))*ISNUMBER(MATCH(Recommendations[Id],H167:AU167,0)))/COUNTIF(H167:AU167,"&lt;&gt;"))</f>
        <v/>
      </c>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82"/>
    </row>
    <row r="168" spans="1:47" ht="60" customHeight="1" x14ac:dyDescent="0.35">
      <c r="A168" s="178" t="s">
        <v>5069</v>
      </c>
      <c r="B168" s="152" t="s">
        <v>4490</v>
      </c>
      <c r="C168" s="153" t="s">
        <v>5108</v>
      </c>
      <c r="D168" s="156" t="s">
        <v>5109</v>
      </c>
      <c r="E168" s="159"/>
      <c r="F168" s="162" t="s">
        <v>28</v>
      </c>
      <c r="G168" s="165">
        <f>IF(COUNTIF(H168:AU168,"&lt;&gt;")=0,"",SUMPRODUCT(((Recommendations[ImplStatus]="Implemented")+(Recommendations[ImplStatus]="Compensated"))*ISNUMBER(MATCH(Recommendations[Id],H168:AU168,0)))/COUNTIF(H168:AU168,"&lt;&gt;"))</f>
        <v>0</v>
      </c>
      <c r="H168" s="168" t="s">
        <v>274</v>
      </c>
      <c r="I168" s="168" t="s">
        <v>1457</v>
      </c>
      <c r="J168" s="168" t="s">
        <v>1470</v>
      </c>
      <c r="K168" s="168" t="s">
        <v>1482</v>
      </c>
      <c r="L168" s="168" t="s">
        <v>1488</v>
      </c>
      <c r="M168" s="168" t="s">
        <v>1704</v>
      </c>
      <c r="N168" s="168" t="s">
        <v>1798</v>
      </c>
      <c r="O168" s="168" t="s">
        <v>1861</v>
      </c>
      <c r="P168" s="168" t="s">
        <v>1873</v>
      </c>
      <c r="Q168" s="168" t="s">
        <v>1884</v>
      </c>
      <c r="R168" s="168" t="s">
        <v>1892</v>
      </c>
      <c r="S168" s="168" t="s">
        <v>1901</v>
      </c>
      <c r="T168" s="168" t="s">
        <v>1910</v>
      </c>
      <c r="U168" s="168" t="s">
        <v>1918</v>
      </c>
      <c r="V168" s="168" t="s">
        <v>1964</v>
      </c>
      <c r="W168" s="168" t="s">
        <v>1974</v>
      </c>
      <c r="X168" s="168" t="s">
        <v>1988</v>
      </c>
      <c r="Y168" s="168" t="s">
        <v>2010</v>
      </c>
      <c r="Z168" s="168" t="s">
        <v>2018</v>
      </c>
      <c r="AA168" s="168" t="s">
        <v>2022</v>
      </c>
      <c r="AB168" s="168" t="s">
        <v>2030</v>
      </c>
      <c r="AC168" s="168" t="s">
        <v>2036</v>
      </c>
      <c r="AD168" s="168" t="s">
        <v>2042</v>
      </c>
      <c r="AE168" s="168" t="s">
        <v>2048</v>
      </c>
      <c r="AF168" s="168"/>
      <c r="AG168" s="168"/>
      <c r="AH168" s="168"/>
      <c r="AI168" s="168"/>
      <c r="AJ168" s="168"/>
      <c r="AK168" s="168"/>
      <c r="AL168" s="168"/>
      <c r="AM168" s="168"/>
      <c r="AN168" s="168"/>
      <c r="AO168" s="168"/>
      <c r="AP168" s="168"/>
      <c r="AQ168" s="168"/>
      <c r="AR168" s="168"/>
      <c r="AS168" s="168"/>
      <c r="AT168" s="168"/>
      <c r="AU168" s="182"/>
    </row>
    <row r="169" spans="1:47" ht="60" customHeight="1" x14ac:dyDescent="0.35">
      <c r="A169" s="178" t="s">
        <v>5069</v>
      </c>
      <c r="B169" s="152" t="s">
        <v>4490</v>
      </c>
      <c r="C169" s="153" t="s">
        <v>5110</v>
      </c>
      <c r="D169" s="156" t="s">
        <v>5111</v>
      </c>
      <c r="E169" s="159"/>
      <c r="F169" s="162" t="s">
        <v>28</v>
      </c>
      <c r="G169" s="165" t="str">
        <f>IF(COUNTIF(H169:AU169,"&lt;&gt;")=0,"",SUMPRODUCT(((Recommendations[ImplStatus]="Implemented")+(Recommendations[ImplStatus]="Compensated"))*ISNUMBER(MATCH(Recommendations[Id],H169:AU169,0)))/COUNTIF(H169:AU169,"&lt;&gt;"))</f>
        <v/>
      </c>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82"/>
    </row>
    <row r="170" spans="1:47" ht="60" customHeight="1" x14ac:dyDescent="0.35">
      <c r="A170" s="178" t="s">
        <v>5069</v>
      </c>
      <c r="B170" s="152" t="s">
        <v>4490</v>
      </c>
      <c r="C170" s="153" t="s">
        <v>5112</v>
      </c>
      <c r="D170" s="156" t="s">
        <v>5113</v>
      </c>
      <c r="E170" s="159" t="s">
        <v>5114</v>
      </c>
      <c r="F170" s="162" t="s">
        <v>4700</v>
      </c>
      <c r="G170" s="165" t="str">
        <f>IF(COUNTIF(H170:AU170,"&lt;&gt;")=0,"",SUMPRODUCT(((Recommendations[ImplStatus]="Implemented")+(Recommendations[ImplStatus]="Compensated"))*ISNUMBER(MATCH(Recommendations[Id],H170:AU170,0)))/COUNTIF(H170:AU170,"&lt;&gt;"))</f>
        <v/>
      </c>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82"/>
    </row>
    <row r="171" spans="1:47" ht="60" customHeight="1" x14ac:dyDescent="0.35">
      <c r="A171" s="178" t="s">
        <v>5069</v>
      </c>
      <c r="B171" s="152" t="s">
        <v>4490</v>
      </c>
      <c r="C171" s="153" t="s">
        <v>5115</v>
      </c>
      <c r="D171" s="156" t="s">
        <v>5116</v>
      </c>
      <c r="E171" s="159"/>
      <c r="F171" s="162" t="s">
        <v>28</v>
      </c>
      <c r="G171" s="165" t="str">
        <f>IF(COUNTIF(H171:AU171,"&lt;&gt;")=0,"",SUMPRODUCT(((Recommendations[ImplStatus]="Implemented")+(Recommendations[ImplStatus]="Compensated"))*ISNUMBER(MATCH(Recommendations[Id],H171:AU171,0)))/COUNTIF(H171:AU171,"&lt;&gt;"))</f>
        <v/>
      </c>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82"/>
    </row>
    <row r="172" spans="1:47" ht="60" customHeight="1" x14ac:dyDescent="0.35">
      <c r="A172" s="178" t="s">
        <v>5069</v>
      </c>
      <c r="B172" s="152" t="s">
        <v>4490</v>
      </c>
      <c r="C172" s="153" t="s">
        <v>5117</v>
      </c>
      <c r="D172" s="156" t="s">
        <v>5118</v>
      </c>
      <c r="E172" s="159"/>
      <c r="F172" s="162" t="s">
        <v>28</v>
      </c>
      <c r="G172" s="165" t="str">
        <f>IF(COUNTIF(H172:AU172,"&lt;&gt;")=0,"",SUMPRODUCT(((Recommendations[ImplStatus]="Implemented")+(Recommendations[ImplStatus]="Compensated"))*ISNUMBER(MATCH(Recommendations[Id],H172:AU172,0)))/COUNTIF(H172:AU172,"&lt;&gt;"))</f>
        <v/>
      </c>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82"/>
    </row>
    <row r="173" spans="1:47" ht="60" customHeight="1" x14ac:dyDescent="0.35">
      <c r="A173" s="178" t="s">
        <v>5069</v>
      </c>
      <c r="B173" s="152" t="s">
        <v>4490</v>
      </c>
      <c r="C173" s="153" t="s">
        <v>5119</v>
      </c>
      <c r="D173" s="156" t="s">
        <v>5120</v>
      </c>
      <c r="E173" s="159" t="s">
        <v>5121</v>
      </c>
      <c r="F173" s="162" t="s">
        <v>4686</v>
      </c>
      <c r="G173" s="165" t="str">
        <f>IF(COUNTIF(H173:AU173,"&lt;&gt;")=0,"",SUMPRODUCT(((Recommendations[ImplStatus]="Implemented")+(Recommendations[ImplStatus]="Compensated"))*ISNUMBER(MATCH(Recommendations[Id],H173:AU173,0)))/COUNTIF(H173:AU173,"&lt;&gt;"))</f>
        <v/>
      </c>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82"/>
    </row>
    <row r="174" spans="1:47" ht="60" customHeight="1" outlineLevel="1" x14ac:dyDescent="0.35">
      <c r="A174" s="177" t="s">
        <v>5069</v>
      </c>
      <c r="B174" s="151" t="s">
        <v>5122</v>
      </c>
      <c r="C174" s="149" t="s">
        <v>5123</v>
      </c>
      <c r="D174" s="155"/>
      <c r="E174" s="158" t="s">
        <v>28</v>
      </c>
      <c r="F174" s="161" t="s">
        <v>28</v>
      </c>
      <c r="G174" s="164" t="str">
        <f>IF(COUNTIF(H174:AU174,"&lt;&gt;")=0,"",SUMPRODUCT(((Recommendations[ImplStatus]="Implemented")+(Recommendations[ImplStatus]="Compensated"))*ISNUMBER(MATCH(Recommendations[Id],H174:AU174,0)))/COUNTIF(H174:AU174,"&lt;&gt;"))</f>
        <v/>
      </c>
      <c r="H174" s="167"/>
      <c r="I174" s="167"/>
      <c r="J174" s="167"/>
      <c r="K174" s="167"/>
      <c r="L174" s="167"/>
      <c r="M174" s="167"/>
      <c r="N174" s="167"/>
      <c r="O174" s="167"/>
      <c r="P174" s="167"/>
      <c r="Q174" s="167"/>
      <c r="R174" s="167"/>
      <c r="S174" s="167"/>
      <c r="T174" s="167"/>
      <c r="U174" s="167"/>
      <c r="V174" s="167"/>
      <c r="W174" s="167"/>
      <c r="X174" s="167"/>
      <c r="Y174" s="167"/>
      <c r="Z174" s="167"/>
      <c r="AA174" s="167"/>
      <c r="AB174" s="167"/>
      <c r="AC174" s="167"/>
      <c r="AD174" s="167"/>
      <c r="AE174" s="167"/>
      <c r="AF174" s="167"/>
      <c r="AG174" s="167"/>
      <c r="AH174" s="167"/>
      <c r="AI174" s="167"/>
      <c r="AJ174" s="167"/>
      <c r="AK174" s="167"/>
      <c r="AL174" s="167"/>
      <c r="AM174" s="167"/>
      <c r="AN174" s="167"/>
      <c r="AO174" s="167"/>
      <c r="AP174" s="167"/>
      <c r="AQ174" s="167"/>
      <c r="AR174" s="167"/>
      <c r="AS174" s="167"/>
      <c r="AT174" s="167"/>
      <c r="AU174" s="181"/>
    </row>
    <row r="175" spans="1:47" ht="60" customHeight="1" x14ac:dyDescent="0.35">
      <c r="A175" s="178" t="s">
        <v>5069</v>
      </c>
      <c r="B175" s="152" t="s">
        <v>5122</v>
      </c>
      <c r="C175" s="153" t="s">
        <v>5124</v>
      </c>
      <c r="D175" s="156" t="s">
        <v>5125</v>
      </c>
      <c r="E175" s="159"/>
      <c r="F175" s="162" t="s">
        <v>28</v>
      </c>
      <c r="G175" s="165" t="str">
        <f>IF(COUNTIF(H175:AU175,"&lt;&gt;")=0,"",SUMPRODUCT(((Recommendations[ImplStatus]="Implemented")+(Recommendations[ImplStatus]="Compensated"))*ISNUMBER(MATCH(Recommendations[Id],H175:AU175,0)))/COUNTIF(H175:AU175,"&lt;&gt;"))</f>
        <v/>
      </c>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82"/>
    </row>
    <row r="176" spans="1:47" ht="60" customHeight="1" x14ac:dyDescent="0.35">
      <c r="A176" s="178" t="s">
        <v>5069</v>
      </c>
      <c r="B176" s="152" t="s">
        <v>5122</v>
      </c>
      <c r="C176" s="153" t="s">
        <v>5126</v>
      </c>
      <c r="D176" s="156" t="s">
        <v>5127</v>
      </c>
      <c r="E176" s="159"/>
      <c r="F176" s="162" t="s">
        <v>28</v>
      </c>
      <c r="G176" s="165" t="str">
        <f>IF(COUNTIF(H176:AU176,"&lt;&gt;")=0,"",SUMPRODUCT(((Recommendations[ImplStatus]="Implemented")+(Recommendations[ImplStatus]="Compensated"))*ISNUMBER(MATCH(Recommendations[Id],H176:AU176,0)))/COUNTIF(H176:AU176,"&lt;&gt;"))</f>
        <v/>
      </c>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82"/>
    </row>
    <row r="177" spans="1:47" ht="60" customHeight="1" x14ac:dyDescent="0.35">
      <c r="A177" s="178" t="s">
        <v>5069</v>
      </c>
      <c r="B177" s="152" t="s">
        <v>5122</v>
      </c>
      <c r="C177" s="153" t="s">
        <v>5128</v>
      </c>
      <c r="D177" s="156" t="s">
        <v>5129</v>
      </c>
      <c r="E177" s="159"/>
      <c r="F177" s="162" t="s">
        <v>28</v>
      </c>
      <c r="G177" s="165" t="str">
        <f>IF(COUNTIF(H177:AU177,"&lt;&gt;")=0,"",SUMPRODUCT(((Recommendations[ImplStatus]="Implemented")+(Recommendations[ImplStatus]="Compensated"))*ISNUMBER(MATCH(Recommendations[Id],H177:AU177,0)))/COUNTIF(H177:AU177,"&lt;&gt;"))</f>
        <v/>
      </c>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82"/>
    </row>
    <row r="178" spans="1:47" ht="60" customHeight="1" x14ac:dyDescent="0.35">
      <c r="A178" s="178" t="s">
        <v>5069</v>
      </c>
      <c r="B178" s="152" t="s">
        <v>5122</v>
      </c>
      <c r="C178" s="153" t="s">
        <v>5130</v>
      </c>
      <c r="D178" s="156" t="s">
        <v>5131</v>
      </c>
      <c r="E178" s="159"/>
      <c r="F178" s="162" t="s">
        <v>28</v>
      </c>
      <c r="G178" s="165" t="str">
        <f>IF(COUNTIF(H178:AU178,"&lt;&gt;")=0,"",SUMPRODUCT(((Recommendations[ImplStatus]="Implemented")+(Recommendations[ImplStatus]="Compensated"))*ISNUMBER(MATCH(Recommendations[Id],H178:AU178,0)))/COUNTIF(H178:AU178,"&lt;&gt;"))</f>
        <v/>
      </c>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82"/>
    </row>
    <row r="179" spans="1:47" ht="60" customHeight="1" x14ac:dyDescent="0.35">
      <c r="A179" s="178" t="s">
        <v>5069</v>
      </c>
      <c r="B179" s="152" t="s">
        <v>5122</v>
      </c>
      <c r="C179" s="153" t="s">
        <v>5132</v>
      </c>
      <c r="D179" s="156" t="s">
        <v>5133</v>
      </c>
      <c r="E179" s="159"/>
      <c r="F179" s="162" t="s">
        <v>28</v>
      </c>
      <c r="G179" s="165" t="str">
        <f>IF(COUNTIF(H179:AU179,"&lt;&gt;")=0,"",SUMPRODUCT(((Recommendations[ImplStatus]="Implemented")+(Recommendations[ImplStatus]="Compensated"))*ISNUMBER(MATCH(Recommendations[Id],H179:AU179,0)))/COUNTIF(H179:AU179,"&lt;&gt;"))</f>
        <v/>
      </c>
      <c r="H179" s="168"/>
      <c r="I179" s="168"/>
      <c r="J179" s="168"/>
      <c r="K179" s="168"/>
      <c r="L179" s="168"/>
      <c r="M179" s="168"/>
      <c r="N179" s="168"/>
      <c r="O179" s="168"/>
      <c r="P179" s="168"/>
      <c r="Q179" s="168"/>
      <c r="R179" s="168"/>
      <c r="S179" s="168"/>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82"/>
    </row>
    <row r="180" spans="1:47" ht="60" customHeight="1" outlineLevel="1" x14ac:dyDescent="0.35">
      <c r="A180" s="176" t="s">
        <v>5134</v>
      </c>
      <c r="B180" s="150" t="s">
        <v>28</v>
      </c>
      <c r="C180" s="148" t="s">
        <v>5135</v>
      </c>
      <c r="D180" s="154" t="s">
        <v>5136</v>
      </c>
      <c r="E180" s="157" t="s">
        <v>28</v>
      </c>
      <c r="F180" s="160" t="s">
        <v>28</v>
      </c>
      <c r="G180" s="163" t="str">
        <f>IF(COUNTIF(H180:AU180,"&lt;&gt;")=0,"",SUMPRODUCT(((Recommendations[ImplStatus]="Implemented")+(Recommendations[ImplStatus]="Compensated"))*ISNUMBER(MATCH(Recommendations[Id],H180:AU180,0)))/COUNTIF(H180:AU180,"&lt;&gt;"))</f>
        <v/>
      </c>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80"/>
    </row>
    <row r="181" spans="1:47" ht="60" customHeight="1" outlineLevel="1" x14ac:dyDescent="0.35">
      <c r="A181" s="177" t="s">
        <v>5134</v>
      </c>
      <c r="B181" s="151" t="s">
        <v>5137</v>
      </c>
      <c r="C181" s="149" t="s">
        <v>5138</v>
      </c>
      <c r="D181" s="155" t="s">
        <v>5139</v>
      </c>
      <c r="E181" s="158" t="s">
        <v>28</v>
      </c>
      <c r="F181" s="161" t="s">
        <v>28</v>
      </c>
      <c r="G181" s="164" t="str">
        <f>IF(COUNTIF(H181:AU181,"&lt;&gt;")=0,"",SUMPRODUCT(((Recommendations[ImplStatus]="Implemented")+(Recommendations[ImplStatus]="Compensated"))*ISNUMBER(MATCH(Recommendations[Id],H181:AU181,0)))/COUNTIF(H181:AU181,"&lt;&gt;"))</f>
        <v/>
      </c>
      <c r="H181" s="167"/>
      <c r="I181" s="167"/>
      <c r="J181" s="167"/>
      <c r="K181" s="167"/>
      <c r="L181" s="167"/>
      <c r="M181" s="167"/>
      <c r="N181" s="167"/>
      <c r="O181" s="167"/>
      <c r="P181" s="167"/>
      <c r="Q181" s="167"/>
      <c r="R181" s="167"/>
      <c r="S181" s="167"/>
      <c r="T181" s="167"/>
      <c r="U181" s="167"/>
      <c r="V181" s="167"/>
      <c r="W181" s="167"/>
      <c r="X181" s="167"/>
      <c r="Y181" s="167"/>
      <c r="Z181" s="167"/>
      <c r="AA181" s="167"/>
      <c r="AB181" s="167"/>
      <c r="AC181" s="167"/>
      <c r="AD181" s="167"/>
      <c r="AE181" s="167"/>
      <c r="AF181" s="167"/>
      <c r="AG181" s="167"/>
      <c r="AH181" s="167"/>
      <c r="AI181" s="167"/>
      <c r="AJ181" s="167"/>
      <c r="AK181" s="167"/>
      <c r="AL181" s="167"/>
      <c r="AM181" s="167"/>
      <c r="AN181" s="167"/>
      <c r="AO181" s="167"/>
      <c r="AP181" s="167"/>
      <c r="AQ181" s="167"/>
      <c r="AR181" s="167"/>
      <c r="AS181" s="167"/>
      <c r="AT181" s="167"/>
      <c r="AU181" s="181"/>
    </row>
    <row r="182" spans="1:47" ht="60" customHeight="1" x14ac:dyDescent="0.35">
      <c r="A182" s="178" t="s">
        <v>5134</v>
      </c>
      <c r="B182" s="152" t="s">
        <v>5137</v>
      </c>
      <c r="C182" s="153" t="s">
        <v>5140</v>
      </c>
      <c r="D182" s="156" t="s">
        <v>5141</v>
      </c>
      <c r="E182" s="159"/>
      <c r="F182" s="162" t="s">
        <v>28</v>
      </c>
      <c r="G182" s="165" t="str">
        <f>IF(COUNTIF(H182:AU182,"&lt;&gt;")=0,"",SUMPRODUCT(((Recommendations[ImplStatus]="Implemented")+(Recommendations[ImplStatus]="Compensated"))*ISNUMBER(MATCH(Recommendations[Id],H182:AU182,0)))/COUNTIF(H182:AU182,"&lt;&gt;"))</f>
        <v/>
      </c>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82"/>
    </row>
    <row r="183" spans="1:47" ht="60" customHeight="1" x14ac:dyDescent="0.35">
      <c r="A183" s="178" t="s">
        <v>5134</v>
      </c>
      <c r="B183" s="152" t="s">
        <v>5137</v>
      </c>
      <c r="C183" s="153" t="s">
        <v>5142</v>
      </c>
      <c r="D183" s="156" t="s">
        <v>5143</v>
      </c>
      <c r="E183" s="159"/>
      <c r="F183" s="162" t="s">
        <v>28</v>
      </c>
      <c r="G183" s="165" t="str">
        <f>IF(COUNTIF(H183:AU183,"&lt;&gt;")=0,"",SUMPRODUCT(((Recommendations[ImplStatus]="Implemented")+(Recommendations[ImplStatus]="Compensated"))*ISNUMBER(MATCH(Recommendations[Id],H183:AU183,0)))/COUNTIF(H183:AU183,"&lt;&gt;"))</f>
        <v/>
      </c>
      <c r="H183" s="168"/>
      <c r="I183" s="168"/>
      <c r="J183" s="168"/>
      <c r="K183" s="168"/>
      <c r="L183" s="168"/>
      <c r="M183" s="168"/>
      <c r="N183" s="168"/>
      <c r="O183" s="168"/>
      <c r="P183" s="168"/>
      <c r="Q183" s="168"/>
      <c r="R183" s="168"/>
      <c r="S183" s="168"/>
      <c r="T183" s="168"/>
      <c r="U183" s="168"/>
      <c r="V183" s="168"/>
      <c r="W183" s="168"/>
      <c r="X183" s="168"/>
      <c r="Y183" s="168"/>
      <c r="Z183" s="168"/>
      <c r="AA183" s="168"/>
      <c r="AB183" s="168"/>
      <c r="AC183" s="168"/>
      <c r="AD183" s="168"/>
      <c r="AE183" s="168"/>
      <c r="AF183" s="168"/>
      <c r="AG183" s="168"/>
      <c r="AH183" s="168"/>
      <c r="AI183" s="168"/>
      <c r="AJ183" s="168"/>
      <c r="AK183" s="168"/>
      <c r="AL183" s="168"/>
      <c r="AM183" s="168"/>
      <c r="AN183" s="168"/>
      <c r="AO183" s="168"/>
      <c r="AP183" s="168"/>
      <c r="AQ183" s="168"/>
      <c r="AR183" s="168"/>
      <c r="AS183" s="168"/>
      <c r="AT183" s="168"/>
      <c r="AU183" s="182"/>
    </row>
    <row r="184" spans="1:47" ht="60" customHeight="1" x14ac:dyDescent="0.35">
      <c r="A184" s="178" t="s">
        <v>5134</v>
      </c>
      <c r="B184" s="152" t="s">
        <v>5137</v>
      </c>
      <c r="C184" s="153" t="s">
        <v>5144</v>
      </c>
      <c r="D184" s="156" t="s">
        <v>5145</v>
      </c>
      <c r="E184" s="159" t="s">
        <v>5146</v>
      </c>
      <c r="F184" s="162" t="s">
        <v>4686</v>
      </c>
      <c r="G184" s="165" t="str">
        <f>IF(COUNTIF(H184:AU184,"&lt;&gt;")=0,"",SUMPRODUCT(((Recommendations[ImplStatus]="Implemented")+(Recommendations[ImplStatus]="Compensated"))*ISNUMBER(MATCH(Recommendations[Id],H184:AU184,0)))/COUNTIF(H184:AU184,"&lt;&gt;"))</f>
        <v/>
      </c>
      <c r="H184" s="168"/>
      <c r="I184" s="168"/>
      <c r="J184" s="168"/>
      <c r="K184" s="168"/>
      <c r="L184" s="168"/>
      <c r="M184" s="168"/>
      <c r="N184" s="168"/>
      <c r="O184" s="168"/>
      <c r="P184" s="168"/>
      <c r="Q184" s="168"/>
      <c r="R184" s="168"/>
      <c r="S184" s="168"/>
      <c r="T184" s="168"/>
      <c r="U184" s="168"/>
      <c r="V184" s="168"/>
      <c r="W184" s="168"/>
      <c r="X184" s="168"/>
      <c r="Y184" s="168"/>
      <c r="Z184" s="168"/>
      <c r="AA184" s="168"/>
      <c r="AB184" s="168"/>
      <c r="AC184" s="168"/>
      <c r="AD184" s="168"/>
      <c r="AE184" s="168"/>
      <c r="AF184" s="168"/>
      <c r="AG184" s="168"/>
      <c r="AH184" s="168"/>
      <c r="AI184" s="168"/>
      <c r="AJ184" s="168"/>
      <c r="AK184" s="168"/>
      <c r="AL184" s="168"/>
      <c r="AM184" s="168"/>
      <c r="AN184" s="168"/>
      <c r="AO184" s="168"/>
      <c r="AP184" s="168"/>
      <c r="AQ184" s="168"/>
      <c r="AR184" s="168"/>
      <c r="AS184" s="168"/>
      <c r="AT184" s="168"/>
      <c r="AU184" s="182"/>
    </row>
    <row r="185" spans="1:47" ht="60" customHeight="1" x14ac:dyDescent="0.35">
      <c r="A185" s="178" t="s">
        <v>5134</v>
      </c>
      <c r="B185" s="152" t="s">
        <v>5137</v>
      </c>
      <c r="C185" s="153" t="s">
        <v>5147</v>
      </c>
      <c r="D185" s="156" t="s">
        <v>5148</v>
      </c>
      <c r="E185" s="159"/>
      <c r="F185" s="162" t="s">
        <v>28</v>
      </c>
      <c r="G185" s="165" t="str">
        <f>IF(COUNTIF(H185:AU185,"&lt;&gt;")=0,"",SUMPRODUCT(((Recommendations[ImplStatus]="Implemented")+(Recommendations[ImplStatus]="Compensated"))*ISNUMBER(MATCH(Recommendations[Id],H185:AU185,0)))/COUNTIF(H185:AU185,"&lt;&gt;"))</f>
        <v/>
      </c>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82"/>
    </row>
    <row r="186" spans="1:47" ht="60" customHeight="1" x14ac:dyDescent="0.35">
      <c r="A186" s="178" t="s">
        <v>5134</v>
      </c>
      <c r="B186" s="152" t="s">
        <v>5137</v>
      </c>
      <c r="C186" s="153" t="s">
        <v>5149</v>
      </c>
      <c r="D186" s="156" t="s">
        <v>5150</v>
      </c>
      <c r="E186" s="159"/>
      <c r="F186" s="162" t="s">
        <v>28</v>
      </c>
      <c r="G186" s="165" t="str">
        <f>IF(COUNTIF(H186:AU186,"&lt;&gt;")=0,"",SUMPRODUCT(((Recommendations[ImplStatus]="Implemented")+(Recommendations[ImplStatus]="Compensated"))*ISNUMBER(MATCH(Recommendations[Id],H186:AU186,0)))/COUNTIF(H186:AU186,"&lt;&gt;"))</f>
        <v/>
      </c>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82"/>
    </row>
    <row r="187" spans="1:47" ht="60" customHeight="1" x14ac:dyDescent="0.35">
      <c r="A187" s="178" t="s">
        <v>5134</v>
      </c>
      <c r="B187" s="152" t="s">
        <v>5137</v>
      </c>
      <c r="C187" s="153" t="s">
        <v>5151</v>
      </c>
      <c r="D187" s="156" t="s">
        <v>5152</v>
      </c>
      <c r="E187" s="159" t="s">
        <v>5153</v>
      </c>
      <c r="F187" s="162" t="s">
        <v>4686</v>
      </c>
      <c r="G187" s="165" t="str">
        <f>IF(COUNTIF(H187:AU187,"&lt;&gt;")=0,"",SUMPRODUCT(((Recommendations[ImplStatus]="Implemented")+(Recommendations[ImplStatus]="Compensated"))*ISNUMBER(MATCH(Recommendations[Id],H187:AU187,0)))/COUNTIF(H187:AU187,"&lt;&gt;"))</f>
        <v/>
      </c>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82"/>
    </row>
    <row r="188" spans="1:47" ht="60" customHeight="1" x14ac:dyDescent="0.35">
      <c r="A188" s="178" t="s">
        <v>5134</v>
      </c>
      <c r="B188" s="152" t="s">
        <v>5137</v>
      </c>
      <c r="C188" s="153" t="s">
        <v>5154</v>
      </c>
      <c r="D188" s="156" t="s">
        <v>5155</v>
      </c>
      <c r="E188" s="159" t="s">
        <v>5156</v>
      </c>
      <c r="F188" s="162" t="s">
        <v>4686</v>
      </c>
      <c r="G188" s="165" t="str">
        <f>IF(COUNTIF(H188:AU188,"&lt;&gt;")=0,"",SUMPRODUCT(((Recommendations[ImplStatus]="Implemented")+(Recommendations[ImplStatus]="Compensated"))*ISNUMBER(MATCH(Recommendations[Id],H188:AU188,0)))/COUNTIF(H188:AU188,"&lt;&gt;"))</f>
        <v/>
      </c>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82"/>
    </row>
    <row r="189" spans="1:47" ht="60" customHeight="1" x14ac:dyDescent="0.35">
      <c r="A189" s="178" t="s">
        <v>5134</v>
      </c>
      <c r="B189" s="152" t="s">
        <v>5137</v>
      </c>
      <c r="C189" s="153" t="s">
        <v>5157</v>
      </c>
      <c r="D189" s="156" t="s">
        <v>5158</v>
      </c>
      <c r="E189" s="159" t="s">
        <v>5159</v>
      </c>
      <c r="F189" s="162" t="s">
        <v>4686</v>
      </c>
      <c r="G189" s="165" t="str">
        <f>IF(COUNTIF(H189:AU189,"&lt;&gt;")=0,"",SUMPRODUCT(((Recommendations[ImplStatus]="Implemented")+(Recommendations[ImplStatus]="Compensated"))*ISNUMBER(MATCH(Recommendations[Id],H189:AU189,0)))/COUNTIF(H189:AU189,"&lt;&gt;"))</f>
        <v/>
      </c>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8"/>
      <c r="AT189" s="168"/>
      <c r="AU189" s="182"/>
    </row>
    <row r="190" spans="1:47" ht="60" customHeight="1" outlineLevel="1" x14ac:dyDescent="0.35">
      <c r="A190" s="177" t="s">
        <v>5134</v>
      </c>
      <c r="B190" s="151" t="s">
        <v>5160</v>
      </c>
      <c r="C190" s="149" t="s">
        <v>5161</v>
      </c>
      <c r="D190" s="155" t="s">
        <v>5162</v>
      </c>
      <c r="E190" s="158" t="s">
        <v>28</v>
      </c>
      <c r="F190" s="161" t="s">
        <v>28</v>
      </c>
      <c r="G190" s="164" t="str">
        <f>IF(COUNTIF(H190:AU190,"&lt;&gt;")=0,"",SUMPRODUCT(((Recommendations[ImplStatus]="Implemented")+(Recommendations[ImplStatus]="Compensated"))*ISNUMBER(MATCH(Recommendations[Id],H190:AU190,0)))/COUNTIF(H190:AU190,"&lt;&gt;"))</f>
        <v/>
      </c>
      <c r="H190" s="167"/>
      <c r="I190" s="167"/>
      <c r="J190" s="167"/>
      <c r="K190" s="167"/>
      <c r="L190" s="167"/>
      <c r="M190" s="167"/>
      <c r="N190" s="167"/>
      <c r="O190" s="167"/>
      <c r="P190" s="167"/>
      <c r="Q190" s="167"/>
      <c r="R190" s="167"/>
      <c r="S190" s="167"/>
      <c r="T190" s="167"/>
      <c r="U190" s="167"/>
      <c r="V190" s="167"/>
      <c r="W190" s="167"/>
      <c r="X190" s="167"/>
      <c r="Y190" s="167"/>
      <c r="Z190" s="167"/>
      <c r="AA190" s="167"/>
      <c r="AB190" s="167"/>
      <c r="AC190" s="167"/>
      <c r="AD190" s="167"/>
      <c r="AE190" s="167"/>
      <c r="AF190" s="167"/>
      <c r="AG190" s="167"/>
      <c r="AH190" s="167"/>
      <c r="AI190" s="167"/>
      <c r="AJ190" s="167"/>
      <c r="AK190" s="167"/>
      <c r="AL190" s="167"/>
      <c r="AM190" s="167"/>
      <c r="AN190" s="167"/>
      <c r="AO190" s="167"/>
      <c r="AP190" s="167"/>
      <c r="AQ190" s="167"/>
      <c r="AR190" s="167"/>
      <c r="AS190" s="167"/>
      <c r="AT190" s="167"/>
      <c r="AU190" s="181"/>
    </row>
    <row r="191" spans="1:47" ht="60" customHeight="1" x14ac:dyDescent="0.35">
      <c r="A191" s="178" t="s">
        <v>5134</v>
      </c>
      <c r="B191" s="152" t="s">
        <v>5160</v>
      </c>
      <c r="C191" s="153" t="s">
        <v>5163</v>
      </c>
      <c r="D191" s="156" t="s">
        <v>5164</v>
      </c>
      <c r="E191" s="159"/>
      <c r="F191" s="162" t="s">
        <v>28</v>
      </c>
      <c r="G191" s="165" t="str">
        <f>IF(COUNTIF(H191:AU191,"&lt;&gt;")=0,"",SUMPRODUCT(((Recommendations[ImplStatus]="Implemented")+(Recommendations[ImplStatus]="Compensated"))*ISNUMBER(MATCH(Recommendations[Id],H191:AU191,0)))/COUNTIF(H191:AU191,"&lt;&gt;"))</f>
        <v/>
      </c>
      <c r="H191" s="168"/>
      <c r="I191" s="168"/>
      <c r="J191" s="168"/>
      <c r="K191" s="168"/>
      <c r="L191" s="168"/>
      <c r="M191" s="168"/>
      <c r="N191" s="168"/>
      <c r="O191" s="168"/>
      <c r="P191" s="168"/>
      <c r="Q191" s="168"/>
      <c r="R191" s="168"/>
      <c r="S191" s="168"/>
      <c r="T191" s="168"/>
      <c r="U191" s="168"/>
      <c r="V191" s="168"/>
      <c r="W191" s="168"/>
      <c r="X191" s="168"/>
      <c r="Y191" s="168"/>
      <c r="Z191" s="168"/>
      <c r="AA191" s="168"/>
      <c r="AB191" s="168"/>
      <c r="AC191" s="168"/>
      <c r="AD191" s="168"/>
      <c r="AE191" s="168"/>
      <c r="AF191" s="168"/>
      <c r="AG191" s="168"/>
      <c r="AH191" s="168"/>
      <c r="AI191" s="168"/>
      <c r="AJ191" s="168"/>
      <c r="AK191" s="168"/>
      <c r="AL191" s="168"/>
      <c r="AM191" s="168"/>
      <c r="AN191" s="168"/>
      <c r="AO191" s="168"/>
      <c r="AP191" s="168"/>
      <c r="AQ191" s="168"/>
      <c r="AR191" s="168"/>
      <c r="AS191" s="168"/>
      <c r="AT191" s="168"/>
      <c r="AU191" s="182"/>
    </row>
    <row r="192" spans="1:47" ht="60" customHeight="1" x14ac:dyDescent="0.35">
      <c r="A192" s="178" t="s">
        <v>5134</v>
      </c>
      <c r="B192" s="152" t="s">
        <v>5160</v>
      </c>
      <c r="C192" s="153" t="s">
        <v>5165</v>
      </c>
      <c r="D192" s="156" t="s">
        <v>5166</v>
      </c>
      <c r="E192" s="159" t="s">
        <v>5167</v>
      </c>
      <c r="F192" s="162" t="s">
        <v>4690</v>
      </c>
      <c r="G192" s="165" t="str">
        <f>IF(COUNTIF(H192:AU192,"&lt;&gt;")=0,"",SUMPRODUCT(((Recommendations[ImplStatus]="Implemented")+(Recommendations[ImplStatus]="Compensated"))*ISNUMBER(MATCH(Recommendations[Id],H192:AU192,0)))/COUNTIF(H192:AU192,"&lt;&gt;"))</f>
        <v/>
      </c>
      <c r="H192" s="168"/>
      <c r="I192" s="168"/>
      <c r="J192" s="168"/>
      <c r="K192" s="168"/>
      <c r="L192" s="168"/>
      <c r="M192" s="168"/>
      <c r="N192" s="168"/>
      <c r="O192" s="168"/>
      <c r="P192" s="168"/>
      <c r="Q192" s="168"/>
      <c r="R192" s="168"/>
      <c r="S192" s="168"/>
      <c r="T192" s="168"/>
      <c r="U192" s="168"/>
      <c r="V192" s="168"/>
      <c r="W192" s="168"/>
      <c r="X192" s="168"/>
      <c r="Y192" s="168"/>
      <c r="Z192" s="168"/>
      <c r="AA192" s="168"/>
      <c r="AB192" s="168"/>
      <c r="AC192" s="168"/>
      <c r="AD192" s="168"/>
      <c r="AE192" s="168"/>
      <c r="AF192" s="168"/>
      <c r="AG192" s="168"/>
      <c r="AH192" s="168"/>
      <c r="AI192" s="168"/>
      <c r="AJ192" s="168"/>
      <c r="AK192" s="168"/>
      <c r="AL192" s="168"/>
      <c r="AM192" s="168"/>
      <c r="AN192" s="168"/>
      <c r="AO192" s="168"/>
      <c r="AP192" s="168"/>
      <c r="AQ192" s="168"/>
      <c r="AR192" s="168"/>
      <c r="AS192" s="168"/>
      <c r="AT192" s="168"/>
      <c r="AU192" s="182"/>
    </row>
    <row r="193" spans="1:47" ht="60" customHeight="1" x14ac:dyDescent="0.35">
      <c r="A193" s="178" t="s">
        <v>5134</v>
      </c>
      <c r="B193" s="152" t="s">
        <v>5160</v>
      </c>
      <c r="C193" s="153" t="s">
        <v>5168</v>
      </c>
      <c r="D193" s="156" t="s">
        <v>5169</v>
      </c>
      <c r="E193" s="159" t="s">
        <v>5170</v>
      </c>
      <c r="F193" s="162" t="s">
        <v>4690</v>
      </c>
      <c r="G193" s="165" t="str">
        <f>IF(COUNTIF(H193:AU193,"&lt;&gt;")=0,"",SUMPRODUCT(((Recommendations[ImplStatus]="Implemented")+(Recommendations[ImplStatus]="Compensated"))*ISNUMBER(MATCH(Recommendations[Id],H193:AU193,0)))/COUNTIF(H193:AU193,"&lt;&gt;"))</f>
        <v/>
      </c>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c r="AO193" s="168"/>
      <c r="AP193" s="168"/>
      <c r="AQ193" s="168"/>
      <c r="AR193" s="168"/>
      <c r="AS193" s="168"/>
      <c r="AT193" s="168"/>
      <c r="AU193" s="182"/>
    </row>
    <row r="194" spans="1:47" ht="60" customHeight="1" x14ac:dyDescent="0.35">
      <c r="A194" s="178" t="s">
        <v>5134</v>
      </c>
      <c r="B194" s="152" t="s">
        <v>5160</v>
      </c>
      <c r="C194" s="153" t="s">
        <v>5171</v>
      </c>
      <c r="D194" s="156" t="s">
        <v>5172</v>
      </c>
      <c r="E194" s="159"/>
      <c r="F194" s="162" t="s">
        <v>28</v>
      </c>
      <c r="G194" s="165" t="str">
        <f>IF(COUNTIF(H194:AU194,"&lt;&gt;")=0,"",SUMPRODUCT(((Recommendations[ImplStatus]="Implemented")+(Recommendations[ImplStatus]="Compensated"))*ISNUMBER(MATCH(Recommendations[Id],H194:AU194,0)))/COUNTIF(H194:AU194,"&lt;&gt;"))</f>
        <v/>
      </c>
      <c r="H194" s="168"/>
      <c r="I194" s="168"/>
      <c r="J194" s="168"/>
      <c r="K194" s="168"/>
      <c r="L194" s="168"/>
      <c r="M194" s="168"/>
      <c r="N194" s="168"/>
      <c r="O194" s="168"/>
      <c r="P194" s="168"/>
      <c r="Q194" s="168"/>
      <c r="R194" s="168"/>
      <c r="S194" s="168"/>
      <c r="T194" s="168"/>
      <c r="U194" s="168"/>
      <c r="V194" s="168"/>
      <c r="W194" s="168"/>
      <c r="X194" s="168"/>
      <c r="Y194" s="168"/>
      <c r="Z194" s="168"/>
      <c r="AA194" s="168"/>
      <c r="AB194" s="168"/>
      <c r="AC194" s="168"/>
      <c r="AD194" s="168"/>
      <c r="AE194" s="168"/>
      <c r="AF194" s="168"/>
      <c r="AG194" s="168"/>
      <c r="AH194" s="168"/>
      <c r="AI194" s="168"/>
      <c r="AJ194" s="168"/>
      <c r="AK194" s="168"/>
      <c r="AL194" s="168"/>
      <c r="AM194" s="168"/>
      <c r="AN194" s="168"/>
      <c r="AO194" s="168"/>
      <c r="AP194" s="168"/>
      <c r="AQ194" s="168"/>
      <c r="AR194" s="168"/>
      <c r="AS194" s="168"/>
      <c r="AT194" s="168"/>
      <c r="AU194" s="182"/>
    </row>
    <row r="195" spans="1:47" ht="60" customHeight="1" x14ac:dyDescent="0.35">
      <c r="A195" s="178" t="s">
        <v>5134</v>
      </c>
      <c r="B195" s="152" t="s">
        <v>5160</v>
      </c>
      <c r="C195" s="153" t="s">
        <v>5173</v>
      </c>
      <c r="D195" s="156" t="s">
        <v>5174</v>
      </c>
      <c r="E195" s="159"/>
      <c r="F195" s="162" t="s">
        <v>28</v>
      </c>
      <c r="G195" s="165" t="str">
        <f>IF(COUNTIF(H195:AU195,"&lt;&gt;")=0,"",SUMPRODUCT(((Recommendations[ImplStatus]="Implemented")+(Recommendations[ImplStatus]="Compensated"))*ISNUMBER(MATCH(Recommendations[Id],H195:AU195,0)))/COUNTIF(H195:AU195,"&lt;&gt;"))</f>
        <v/>
      </c>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168"/>
      <c r="AG195" s="168"/>
      <c r="AH195" s="168"/>
      <c r="AI195" s="168"/>
      <c r="AJ195" s="168"/>
      <c r="AK195" s="168"/>
      <c r="AL195" s="168"/>
      <c r="AM195" s="168"/>
      <c r="AN195" s="168"/>
      <c r="AO195" s="168"/>
      <c r="AP195" s="168"/>
      <c r="AQ195" s="168"/>
      <c r="AR195" s="168"/>
      <c r="AS195" s="168"/>
      <c r="AT195" s="168"/>
      <c r="AU195" s="182"/>
    </row>
    <row r="196" spans="1:47" ht="60" customHeight="1" outlineLevel="1" x14ac:dyDescent="0.35">
      <c r="A196" s="177" t="s">
        <v>5134</v>
      </c>
      <c r="B196" s="151" t="s">
        <v>5175</v>
      </c>
      <c r="C196" s="149" t="s">
        <v>5176</v>
      </c>
      <c r="D196" s="155"/>
      <c r="E196" s="158" t="s">
        <v>28</v>
      </c>
      <c r="F196" s="161" t="s">
        <v>28</v>
      </c>
      <c r="G196" s="164" t="str">
        <f>IF(COUNTIF(H196:AU196,"&lt;&gt;")=0,"",SUMPRODUCT(((Recommendations[ImplStatus]="Implemented")+(Recommendations[ImplStatus]="Compensated"))*ISNUMBER(MATCH(Recommendations[Id],H196:AU196,0)))/COUNTIF(H196:AU196,"&lt;&gt;"))</f>
        <v/>
      </c>
      <c r="H196" s="167"/>
      <c r="I196" s="167"/>
      <c r="J196" s="167"/>
      <c r="K196" s="167"/>
      <c r="L196" s="167"/>
      <c r="M196" s="167"/>
      <c r="N196" s="167"/>
      <c r="O196" s="167"/>
      <c r="P196" s="167"/>
      <c r="Q196" s="167"/>
      <c r="R196" s="167"/>
      <c r="S196" s="167"/>
      <c r="T196" s="167"/>
      <c r="U196" s="167"/>
      <c r="V196" s="167"/>
      <c r="W196" s="167"/>
      <c r="X196" s="167"/>
      <c r="Y196" s="167"/>
      <c r="Z196" s="167"/>
      <c r="AA196" s="167"/>
      <c r="AB196" s="167"/>
      <c r="AC196" s="167"/>
      <c r="AD196" s="167"/>
      <c r="AE196" s="167"/>
      <c r="AF196" s="167"/>
      <c r="AG196" s="167"/>
      <c r="AH196" s="167"/>
      <c r="AI196" s="167"/>
      <c r="AJ196" s="167"/>
      <c r="AK196" s="167"/>
      <c r="AL196" s="167"/>
      <c r="AM196" s="167"/>
      <c r="AN196" s="167"/>
      <c r="AO196" s="167"/>
      <c r="AP196" s="167"/>
      <c r="AQ196" s="167"/>
      <c r="AR196" s="167"/>
      <c r="AS196" s="167"/>
      <c r="AT196" s="167"/>
      <c r="AU196" s="181"/>
    </row>
    <row r="197" spans="1:47" ht="60" customHeight="1" x14ac:dyDescent="0.35">
      <c r="A197" s="178" t="s">
        <v>5134</v>
      </c>
      <c r="B197" s="152" t="s">
        <v>5175</v>
      </c>
      <c r="C197" s="153" t="s">
        <v>5177</v>
      </c>
      <c r="D197" s="156" t="s">
        <v>5178</v>
      </c>
      <c r="E197" s="159"/>
      <c r="F197" s="162" t="s">
        <v>28</v>
      </c>
      <c r="G197" s="165" t="str">
        <f>IF(COUNTIF(H197:AU197,"&lt;&gt;")=0,"",SUMPRODUCT(((Recommendations[ImplStatus]="Implemented")+(Recommendations[ImplStatus]="Compensated"))*ISNUMBER(MATCH(Recommendations[Id],H197:AU197,0)))/COUNTIF(H197:AU197,"&lt;&gt;"))</f>
        <v/>
      </c>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8"/>
      <c r="AT197" s="168"/>
      <c r="AU197" s="182"/>
    </row>
    <row r="198" spans="1:47" ht="60" customHeight="1" x14ac:dyDescent="0.35">
      <c r="A198" s="178" t="s">
        <v>5134</v>
      </c>
      <c r="B198" s="152" t="s">
        <v>5175</v>
      </c>
      <c r="C198" s="153" t="s">
        <v>5179</v>
      </c>
      <c r="D198" s="156" t="s">
        <v>5180</v>
      </c>
      <c r="E198" s="159"/>
      <c r="F198" s="162" t="s">
        <v>28</v>
      </c>
      <c r="G198" s="165" t="str">
        <f>IF(COUNTIF(H198:AU198,"&lt;&gt;")=0,"",SUMPRODUCT(((Recommendations[ImplStatus]="Implemented")+(Recommendations[ImplStatus]="Compensated"))*ISNUMBER(MATCH(Recommendations[Id],H198:AU198,0)))/COUNTIF(H198:AU198,"&lt;&gt;"))</f>
        <v/>
      </c>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82"/>
    </row>
    <row r="199" spans="1:47" ht="60" customHeight="1" outlineLevel="1" x14ac:dyDescent="0.35">
      <c r="A199" s="177" t="s">
        <v>5134</v>
      </c>
      <c r="B199" s="151" t="s">
        <v>5181</v>
      </c>
      <c r="C199" s="149" t="s">
        <v>5182</v>
      </c>
      <c r="D199" s="155" t="s">
        <v>5183</v>
      </c>
      <c r="E199" s="158" t="s">
        <v>28</v>
      </c>
      <c r="F199" s="161" t="s">
        <v>28</v>
      </c>
      <c r="G199" s="164" t="str">
        <f>IF(COUNTIF(H199:AU199,"&lt;&gt;")=0,"",SUMPRODUCT(((Recommendations[ImplStatus]="Implemented")+(Recommendations[ImplStatus]="Compensated"))*ISNUMBER(MATCH(Recommendations[Id],H199:AU199,0)))/COUNTIF(H199:AU199,"&lt;&gt;"))</f>
        <v/>
      </c>
      <c r="H199" s="167"/>
      <c r="I199" s="167"/>
      <c r="J199" s="167"/>
      <c r="K199" s="167"/>
      <c r="L199" s="167"/>
      <c r="M199" s="167"/>
      <c r="N199" s="167"/>
      <c r="O199" s="167"/>
      <c r="P199" s="167"/>
      <c r="Q199" s="167"/>
      <c r="R199" s="167"/>
      <c r="S199" s="167"/>
      <c r="T199" s="167"/>
      <c r="U199" s="167"/>
      <c r="V199" s="167"/>
      <c r="W199" s="167"/>
      <c r="X199" s="167"/>
      <c r="Y199" s="167"/>
      <c r="Z199" s="167"/>
      <c r="AA199" s="167"/>
      <c r="AB199" s="167"/>
      <c r="AC199" s="167"/>
      <c r="AD199" s="167"/>
      <c r="AE199" s="167"/>
      <c r="AF199" s="167"/>
      <c r="AG199" s="167"/>
      <c r="AH199" s="167"/>
      <c r="AI199" s="167"/>
      <c r="AJ199" s="167"/>
      <c r="AK199" s="167"/>
      <c r="AL199" s="167"/>
      <c r="AM199" s="167"/>
      <c r="AN199" s="167"/>
      <c r="AO199" s="167"/>
      <c r="AP199" s="167"/>
      <c r="AQ199" s="167"/>
      <c r="AR199" s="167"/>
      <c r="AS199" s="167"/>
      <c r="AT199" s="167"/>
      <c r="AU199" s="181"/>
    </row>
    <row r="200" spans="1:47" ht="60" customHeight="1" x14ac:dyDescent="0.35">
      <c r="A200" s="178" t="s">
        <v>5134</v>
      </c>
      <c r="B200" s="152" t="s">
        <v>5181</v>
      </c>
      <c r="C200" s="153" t="s">
        <v>5184</v>
      </c>
      <c r="D200" s="156" t="s">
        <v>5185</v>
      </c>
      <c r="E200" s="159" t="s">
        <v>5186</v>
      </c>
      <c r="F200" s="162" t="s">
        <v>4700</v>
      </c>
      <c r="G200" s="165" t="str">
        <f>IF(COUNTIF(H200:AU200,"&lt;&gt;")=0,"",SUMPRODUCT(((Recommendations[ImplStatus]="Implemented")+(Recommendations[ImplStatus]="Compensated"))*ISNUMBER(MATCH(Recommendations[Id],H200:AU200,0)))/COUNTIF(H200:AU200,"&lt;&gt;"))</f>
        <v/>
      </c>
      <c r="H200" s="168"/>
      <c r="I200" s="168"/>
      <c r="J200" s="168"/>
      <c r="K200" s="168"/>
      <c r="L200" s="168"/>
      <c r="M200" s="168"/>
      <c r="N200" s="168"/>
      <c r="O200" s="168"/>
      <c r="P200" s="168"/>
      <c r="Q200" s="168"/>
      <c r="R200" s="168"/>
      <c r="S200" s="168"/>
      <c r="T200" s="168"/>
      <c r="U200" s="168"/>
      <c r="V200" s="168"/>
      <c r="W200" s="168"/>
      <c r="X200" s="168"/>
      <c r="Y200" s="168"/>
      <c r="Z200" s="168"/>
      <c r="AA200" s="168"/>
      <c r="AB200" s="168"/>
      <c r="AC200" s="168"/>
      <c r="AD200" s="168"/>
      <c r="AE200" s="168"/>
      <c r="AF200" s="168"/>
      <c r="AG200" s="168"/>
      <c r="AH200" s="168"/>
      <c r="AI200" s="168"/>
      <c r="AJ200" s="168"/>
      <c r="AK200" s="168"/>
      <c r="AL200" s="168"/>
      <c r="AM200" s="168"/>
      <c r="AN200" s="168"/>
      <c r="AO200" s="168"/>
      <c r="AP200" s="168"/>
      <c r="AQ200" s="168"/>
      <c r="AR200" s="168"/>
      <c r="AS200" s="168"/>
      <c r="AT200" s="168"/>
      <c r="AU200" s="182"/>
    </row>
    <row r="201" spans="1:47" ht="60" customHeight="1" x14ac:dyDescent="0.35">
      <c r="A201" s="178" t="s">
        <v>5134</v>
      </c>
      <c r="B201" s="152" t="s">
        <v>5181</v>
      </c>
      <c r="C201" s="153" t="s">
        <v>5187</v>
      </c>
      <c r="D201" s="156" t="s">
        <v>5188</v>
      </c>
      <c r="E201" s="159" t="s">
        <v>5189</v>
      </c>
      <c r="F201" s="162" t="s">
        <v>4686</v>
      </c>
      <c r="G201" s="165" t="str">
        <f>IF(COUNTIF(H201:AU201,"&lt;&gt;")=0,"",SUMPRODUCT(((Recommendations[ImplStatus]="Implemented")+(Recommendations[ImplStatus]="Compensated"))*ISNUMBER(MATCH(Recommendations[Id],H201:AU201,0)))/COUNTIF(H201:AU201,"&lt;&gt;"))</f>
        <v/>
      </c>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8"/>
      <c r="AT201" s="168"/>
      <c r="AU201" s="182"/>
    </row>
    <row r="202" spans="1:47" ht="60" customHeight="1" x14ac:dyDescent="0.35">
      <c r="A202" s="178" t="s">
        <v>5134</v>
      </c>
      <c r="B202" s="152" t="s">
        <v>5181</v>
      </c>
      <c r="C202" s="153" t="s">
        <v>5190</v>
      </c>
      <c r="D202" s="156" t="s">
        <v>5191</v>
      </c>
      <c r="E202" s="159" t="s">
        <v>5192</v>
      </c>
      <c r="F202" s="162" t="s">
        <v>4686</v>
      </c>
      <c r="G202" s="165" t="str">
        <f>IF(COUNTIF(H202:AU202,"&lt;&gt;")=0,"",SUMPRODUCT(((Recommendations[ImplStatus]="Implemented")+(Recommendations[ImplStatus]="Compensated"))*ISNUMBER(MATCH(Recommendations[Id],H202:AU202,0)))/COUNTIF(H202:AU202,"&lt;&gt;"))</f>
        <v/>
      </c>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c r="AO202" s="168"/>
      <c r="AP202" s="168"/>
      <c r="AQ202" s="168"/>
      <c r="AR202" s="168"/>
      <c r="AS202" s="168"/>
      <c r="AT202" s="168"/>
      <c r="AU202" s="182"/>
    </row>
    <row r="203" spans="1:47" ht="60" customHeight="1" x14ac:dyDescent="0.35">
      <c r="A203" s="178" t="s">
        <v>5134</v>
      </c>
      <c r="B203" s="152" t="s">
        <v>5181</v>
      </c>
      <c r="C203" s="153" t="s">
        <v>5193</v>
      </c>
      <c r="D203" s="156" t="s">
        <v>5194</v>
      </c>
      <c r="E203" s="159" t="s">
        <v>5195</v>
      </c>
      <c r="F203" s="162" t="s">
        <v>4686</v>
      </c>
      <c r="G203" s="165" t="str">
        <f>IF(COUNTIF(H203:AU203,"&lt;&gt;")=0,"",SUMPRODUCT(((Recommendations[ImplStatus]="Implemented")+(Recommendations[ImplStatus]="Compensated"))*ISNUMBER(MATCH(Recommendations[Id],H203:AU203,0)))/COUNTIF(H203:AU203,"&lt;&gt;"))</f>
        <v/>
      </c>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c r="AF203" s="168"/>
      <c r="AG203" s="168"/>
      <c r="AH203" s="168"/>
      <c r="AI203" s="168"/>
      <c r="AJ203" s="168"/>
      <c r="AK203" s="168"/>
      <c r="AL203" s="168"/>
      <c r="AM203" s="168"/>
      <c r="AN203" s="168"/>
      <c r="AO203" s="168"/>
      <c r="AP203" s="168"/>
      <c r="AQ203" s="168"/>
      <c r="AR203" s="168"/>
      <c r="AS203" s="168"/>
      <c r="AT203" s="168"/>
      <c r="AU203" s="182"/>
    </row>
    <row r="204" spans="1:47" ht="60" customHeight="1" x14ac:dyDescent="0.35">
      <c r="A204" s="178" t="s">
        <v>5134</v>
      </c>
      <c r="B204" s="152" t="s">
        <v>5181</v>
      </c>
      <c r="C204" s="153" t="s">
        <v>5196</v>
      </c>
      <c r="D204" s="156" t="s">
        <v>5197</v>
      </c>
      <c r="E204" s="159" t="s">
        <v>5198</v>
      </c>
      <c r="F204" s="162" t="s">
        <v>4686</v>
      </c>
      <c r="G204" s="165" t="str">
        <f>IF(COUNTIF(H204:AU204,"&lt;&gt;")=0,"",SUMPRODUCT(((Recommendations[ImplStatus]="Implemented")+(Recommendations[ImplStatus]="Compensated"))*ISNUMBER(MATCH(Recommendations[Id],H204:AU204,0)))/COUNTIF(H204:AU204,"&lt;&gt;"))</f>
        <v/>
      </c>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c r="AF204" s="168"/>
      <c r="AG204" s="168"/>
      <c r="AH204" s="168"/>
      <c r="AI204" s="168"/>
      <c r="AJ204" s="168"/>
      <c r="AK204" s="168"/>
      <c r="AL204" s="168"/>
      <c r="AM204" s="168"/>
      <c r="AN204" s="168"/>
      <c r="AO204" s="168"/>
      <c r="AP204" s="168"/>
      <c r="AQ204" s="168"/>
      <c r="AR204" s="168"/>
      <c r="AS204" s="168"/>
      <c r="AT204" s="168"/>
      <c r="AU204" s="182"/>
    </row>
    <row r="205" spans="1:47" ht="60" customHeight="1" outlineLevel="1" x14ac:dyDescent="0.35">
      <c r="A205" s="177" t="s">
        <v>5134</v>
      </c>
      <c r="B205" s="151" t="s">
        <v>5199</v>
      </c>
      <c r="C205" s="149" t="s">
        <v>5200</v>
      </c>
      <c r="D205" s="155" t="s">
        <v>5201</v>
      </c>
      <c r="E205" s="158" t="s">
        <v>28</v>
      </c>
      <c r="F205" s="161" t="s">
        <v>28</v>
      </c>
      <c r="G205" s="164" t="str">
        <f>IF(COUNTIF(H205:AU205,"&lt;&gt;")=0,"",SUMPRODUCT(((Recommendations[ImplStatus]="Implemented")+(Recommendations[ImplStatus]="Compensated"))*ISNUMBER(MATCH(Recommendations[Id],H205:AU205,0)))/COUNTIF(H205:AU205,"&lt;&gt;"))</f>
        <v/>
      </c>
      <c r="H205" s="167"/>
      <c r="I205" s="167"/>
      <c r="J205" s="167"/>
      <c r="K205" s="167"/>
      <c r="L205" s="167"/>
      <c r="M205" s="167"/>
      <c r="N205" s="167"/>
      <c r="O205" s="167"/>
      <c r="P205" s="167"/>
      <c r="Q205" s="167"/>
      <c r="R205" s="167"/>
      <c r="S205" s="167"/>
      <c r="T205" s="167"/>
      <c r="U205" s="167"/>
      <c r="V205" s="167"/>
      <c r="W205" s="167"/>
      <c r="X205" s="167"/>
      <c r="Y205" s="167"/>
      <c r="Z205" s="167"/>
      <c r="AA205" s="167"/>
      <c r="AB205" s="167"/>
      <c r="AC205" s="167"/>
      <c r="AD205" s="167"/>
      <c r="AE205" s="167"/>
      <c r="AF205" s="167"/>
      <c r="AG205" s="167"/>
      <c r="AH205" s="167"/>
      <c r="AI205" s="167"/>
      <c r="AJ205" s="167"/>
      <c r="AK205" s="167"/>
      <c r="AL205" s="167"/>
      <c r="AM205" s="167"/>
      <c r="AN205" s="167"/>
      <c r="AO205" s="167"/>
      <c r="AP205" s="167"/>
      <c r="AQ205" s="167"/>
      <c r="AR205" s="167"/>
      <c r="AS205" s="167"/>
      <c r="AT205" s="167"/>
      <c r="AU205" s="181"/>
    </row>
    <row r="206" spans="1:47" ht="60" customHeight="1" x14ac:dyDescent="0.35">
      <c r="A206" s="178" t="s">
        <v>5134</v>
      </c>
      <c r="B206" s="152" t="s">
        <v>5199</v>
      </c>
      <c r="C206" s="153" t="s">
        <v>5202</v>
      </c>
      <c r="D206" s="156" t="s">
        <v>5203</v>
      </c>
      <c r="E206" s="159" t="s">
        <v>5204</v>
      </c>
      <c r="F206" s="162" t="s">
        <v>4690</v>
      </c>
      <c r="G206" s="165" t="str">
        <f>IF(COUNTIF(H206:AU206,"&lt;&gt;")=0,"",SUMPRODUCT(((Recommendations[ImplStatus]="Implemented")+(Recommendations[ImplStatus]="Compensated"))*ISNUMBER(MATCH(Recommendations[Id],H206:AU206,0)))/COUNTIF(H206:AU206,"&lt;&gt;"))</f>
        <v/>
      </c>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c r="AO206" s="168"/>
      <c r="AP206" s="168"/>
      <c r="AQ206" s="168"/>
      <c r="AR206" s="168"/>
      <c r="AS206" s="168"/>
      <c r="AT206" s="168"/>
      <c r="AU206" s="182"/>
    </row>
    <row r="207" spans="1:47" ht="60" customHeight="1" x14ac:dyDescent="0.35">
      <c r="A207" s="178" t="s">
        <v>5134</v>
      </c>
      <c r="B207" s="152" t="s">
        <v>5199</v>
      </c>
      <c r="C207" s="153" t="s">
        <v>5205</v>
      </c>
      <c r="D207" s="156" t="s">
        <v>5206</v>
      </c>
      <c r="E207" s="159" t="s">
        <v>5207</v>
      </c>
      <c r="F207" s="162" t="s">
        <v>4690</v>
      </c>
      <c r="G207" s="165" t="str">
        <f>IF(COUNTIF(H207:AU207,"&lt;&gt;")=0,"",SUMPRODUCT(((Recommendations[ImplStatus]="Implemented")+(Recommendations[ImplStatus]="Compensated"))*ISNUMBER(MATCH(Recommendations[Id],H207:AU207,0)))/COUNTIF(H207:AU207,"&lt;&gt;"))</f>
        <v/>
      </c>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82"/>
    </row>
    <row r="208" spans="1:47" ht="60" customHeight="1" x14ac:dyDescent="0.35">
      <c r="A208" s="178" t="s">
        <v>5134</v>
      </c>
      <c r="B208" s="152" t="s">
        <v>5199</v>
      </c>
      <c r="C208" s="153" t="s">
        <v>5208</v>
      </c>
      <c r="D208" s="156" t="s">
        <v>5209</v>
      </c>
      <c r="E208" s="159"/>
      <c r="F208" s="162" t="s">
        <v>28</v>
      </c>
      <c r="G208" s="165" t="str">
        <f>IF(COUNTIF(H208:AU208,"&lt;&gt;")=0,"",SUMPRODUCT(((Recommendations[ImplStatus]="Implemented")+(Recommendations[ImplStatus]="Compensated"))*ISNUMBER(MATCH(Recommendations[Id],H208:AU208,0)))/COUNTIF(H208:AU208,"&lt;&gt;"))</f>
        <v/>
      </c>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82"/>
    </row>
    <row r="209" spans="1:47" ht="60" customHeight="1" outlineLevel="1" x14ac:dyDescent="0.35">
      <c r="A209" s="177" t="s">
        <v>5134</v>
      </c>
      <c r="B209" s="151" t="s">
        <v>5210</v>
      </c>
      <c r="C209" s="149" t="s">
        <v>5211</v>
      </c>
      <c r="D209" s="155"/>
      <c r="E209" s="158" t="s">
        <v>28</v>
      </c>
      <c r="F209" s="161" t="s">
        <v>28</v>
      </c>
      <c r="G209" s="164" t="str">
        <f>IF(COUNTIF(H209:AU209,"&lt;&gt;")=0,"",SUMPRODUCT(((Recommendations[ImplStatus]="Implemented")+(Recommendations[ImplStatus]="Compensated"))*ISNUMBER(MATCH(Recommendations[Id],H209:AU209,0)))/COUNTIF(H209:AU209,"&lt;&gt;"))</f>
        <v/>
      </c>
      <c r="H209" s="167"/>
      <c r="I209" s="167"/>
      <c r="J209" s="167"/>
      <c r="K209" s="167"/>
      <c r="L209" s="167"/>
      <c r="M209" s="167"/>
      <c r="N209" s="167"/>
      <c r="O209" s="167"/>
      <c r="P209" s="167"/>
      <c r="Q209" s="167"/>
      <c r="R209" s="167"/>
      <c r="S209" s="167"/>
      <c r="T209" s="167"/>
      <c r="U209" s="167"/>
      <c r="V209" s="167"/>
      <c r="W209" s="167"/>
      <c r="X209" s="167"/>
      <c r="Y209" s="167"/>
      <c r="Z209" s="167"/>
      <c r="AA209" s="167"/>
      <c r="AB209" s="167"/>
      <c r="AC209" s="167"/>
      <c r="AD209" s="167"/>
      <c r="AE209" s="167"/>
      <c r="AF209" s="167"/>
      <c r="AG209" s="167"/>
      <c r="AH209" s="167"/>
      <c r="AI209" s="167"/>
      <c r="AJ209" s="167"/>
      <c r="AK209" s="167"/>
      <c r="AL209" s="167"/>
      <c r="AM209" s="167"/>
      <c r="AN209" s="167"/>
      <c r="AO209" s="167"/>
      <c r="AP209" s="167"/>
      <c r="AQ209" s="167"/>
      <c r="AR209" s="167"/>
      <c r="AS209" s="167"/>
      <c r="AT209" s="167"/>
      <c r="AU209" s="181"/>
    </row>
    <row r="210" spans="1:47" ht="60" customHeight="1" x14ac:dyDescent="0.35">
      <c r="A210" s="178" t="s">
        <v>5134</v>
      </c>
      <c r="B210" s="152" t="s">
        <v>5210</v>
      </c>
      <c r="C210" s="153" t="s">
        <v>5212</v>
      </c>
      <c r="D210" s="156" t="s">
        <v>5213</v>
      </c>
      <c r="E210" s="159"/>
      <c r="F210" s="162" t="s">
        <v>28</v>
      </c>
      <c r="G210" s="165" t="str">
        <f>IF(COUNTIF(H210:AU210,"&lt;&gt;")=0,"",SUMPRODUCT(((Recommendations[ImplStatus]="Implemented")+(Recommendations[ImplStatus]="Compensated"))*ISNUMBER(MATCH(Recommendations[Id],H210:AU210,0)))/COUNTIF(H210:AU210,"&lt;&gt;"))</f>
        <v/>
      </c>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82"/>
    </row>
    <row r="211" spans="1:47" ht="60" customHeight="1" outlineLevel="1" x14ac:dyDescent="0.35">
      <c r="A211" s="176" t="s">
        <v>5214</v>
      </c>
      <c r="B211" s="150" t="s">
        <v>28</v>
      </c>
      <c r="C211" s="148" t="s">
        <v>5215</v>
      </c>
      <c r="D211" s="154" t="s">
        <v>5216</v>
      </c>
      <c r="E211" s="157" t="s">
        <v>28</v>
      </c>
      <c r="F211" s="160" t="s">
        <v>28</v>
      </c>
      <c r="G211" s="163" t="str">
        <f>IF(COUNTIF(H211:AU211,"&lt;&gt;")=0,"",SUMPRODUCT(((Recommendations[ImplStatus]="Implemented")+(Recommendations[ImplStatus]="Compensated"))*ISNUMBER(MATCH(Recommendations[Id],H211:AU211,0)))/COUNTIF(H211:AU211,"&lt;&gt;"))</f>
        <v/>
      </c>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c r="AL211" s="166"/>
      <c r="AM211" s="166"/>
      <c r="AN211" s="166"/>
      <c r="AO211" s="166"/>
      <c r="AP211" s="166"/>
      <c r="AQ211" s="166"/>
      <c r="AR211" s="166"/>
      <c r="AS211" s="166"/>
      <c r="AT211" s="166"/>
      <c r="AU211" s="180"/>
    </row>
    <row r="212" spans="1:47" ht="60" customHeight="1" outlineLevel="1" x14ac:dyDescent="0.35">
      <c r="A212" s="177" t="s">
        <v>5214</v>
      </c>
      <c r="B212" s="151" t="s">
        <v>5217</v>
      </c>
      <c r="C212" s="149" t="s">
        <v>5218</v>
      </c>
      <c r="D212" s="155" t="s">
        <v>5219</v>
      </c>
      <c r="E212" s="158" t="s">
        <v>28</v>
      </c>
      <c r="F212" s="161" t="s">
        <v>28</v>
      </c>
      <c r="G212" s="164" t="str">
        <f>IF(COUNTIF(H212:AU212,"&lt;&gt;")=0,"",SUMPRODUCT(((Recommendations[ImplStatus]="Implemented")+(Recommendations[ImplStatus]="Compensated"))*ISNUMBER(MATCH(Recommendations[Id],H212:AU212,0)))/COUNTIF(H212:AU212,"&lt;&gt;"))</f>
        <v/>
      </c>
      <c r="H212" s="167"/>
      <c r="I212" s="167"/>
      <c r="J212" s="167"/>
      <c r="K212" s="167"/>
      <c r="L212" s="167"/>
      <c r="M212" s="167"/>
      <c r="N212" s="167"/>
      <c r="O212" s="167"/>
      <c r="P212" s="167"/>
      <c r="Q212" s="167"/>
      <c r="R212" s="167"/>
      <c r="S212" s="167"/>
      <c r="T212" s="167"/>
      <c r="U212" s="167"/>
      <c r="V212" s="167"/>
      <c r="W212" s="167"/>
      <c r="X212" s="167"/>
      <c r="Y212" s="167"/>
      <c r="Z212" s="167"/>
      <c r="AA212" s="167"/>
      <c r="AB212" s="167"/>
      <c r="AC212" s="167"/>
      <c r="AD212" s="167"/>
      <c r="AE212" s="167"/>
      <c r="AF212" s="167"/>
      <c r="AG212" s="167"/>
      <c r="AH212" s="167"/>
      <c r="AI212" s="167"/>
      <c r="AJ212" s="167"/>
      <c r="AK212" s="167"/>
      <c r="AL212" s="167"/>
      <c r="AM212" s="167"/>
      <c r="AN212" s="167"/>
      <c r="AO212" s="167"/>
      <c r="AP212" s="167"/>
      <c r="AQ212" s="167"/>
      <c r="AR212" s="167"/>
      <c r="AS212" s="167"/>
      <c r="AT212" s="167"/>
      <c r="AU212" s="181"/>
    </row>
    <row r="213" spans="1:47" ht="60" customHeight="1" x14ac:dyDescent="0.35">
      <c r="A213" s="178" t="s">
        <v>5214</v>
      </c>
      <c r="B213" s="152" t="s">
        <v>5217</v>
      </c>
      <c r="C213" s="153" t="s">
        <v>5220</v>
      </c>
      <c r="D213" s="156" t="s">
        <v>5221</v>
      </c>
      <c r="E213" s="159"/>
      <c r="F213" s="162" t="s">
        <v>28</v>
      </c>
      <c r="G213" s="165" t="str">
        <f>IF(COUNTIF(H213:AU213,"&lt;&gt;")=0,"",SUMPRODUCT(((Recommendations[ImplStatus]="Implemented")+(Recommendations[ImplStatus]="Compensated"))*ISNUMBER(MATCH(Recommendations[Id],H213:AU213,0)))/COUNTIF(H213:AU213,"&lt;&gt;"))</f>
        <v/>
      </c>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82"/>
    </row>
    <row r="214" spans="1:47" ht="60" customHeight="1" x14ac:dyDescent="0.35">
      <c r="A214" s="178" t="s">
        <v>5214</v>
      </c>
      <c r="B214" s="152" t="s">
        <v>5217</v>
      </c>
      <c r="C214" s="153" t="s">
        <v>5222</v>
      </c>
      <c r="D214" s="156" t="s">
        <v>5223</v>
      </c>
      <c r="E214" s="159"/>
      <c r="F214" s="162" t="s">
        <v>28</v>
      </c>
      <c r="G214" s="165" t="str">
        <f>IF(COUNTIF(H214:AU214,"&lt;&gt;")=0,"",SUMPRODUCT(((Recommendations[ImplStatus]="Implemented")+(Recommendations[ImplStatus]="Compensated"))*ISNUMBER(MATCH(Recommendations[Id],H214:AU214,0)))/COUNTIF(H214:AU214,"&lt;&gt;"))</f>
        <v/>
      </c>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82"/>
    </row>
    <row r="215" spans="1:47" ht="60" customHeight="1" x14ac:dyDescent="0.35">
      <c r="A215" s="178" t="s">
        <v>5214</v>
      </c>
      <c r="B215" s="152" t="s">
        <v>5217</v>
      </c>
      <c r="C215" s="153" t="s">
        <v>5224</v>
      </c>
      <c r="D215" s="156" t="s">
        <v>5225</v>
      </c>
      <c r="E215" s="159" t="s">
        <v>5226</v>
      </c>
      <c r="F215" s="162" t="s">
        <v>4690</v>
      </c>
      <c r="G215" s="165" t="str">
        <f>IF(COUNTIF(H215:AU215,"&lt;&gt;")=0,"",SUMPRODUCT(((Recommendations[ImplStatus]="Implemented")+(Recommendations[ImplStatus]="Compensated"))*ISNUMBER(MATCH(Recommendations[Id],H215:AU215,0)))/COUNTIF(H215:AU215,"&lt;&gt;"))</f>
        <v/>
      </c>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8"/>
      <c r="AT215" s="168"/>
      <c r="AU215" s="182"/>
    </row>
    <row r="216" spans="1:47" ht="60" customHeight="1" x14ac:dyDescent="0.35">
      <c r="A216" s="178" t="s">
        <v>5214</v>
      </c>
      <c r="B216" s="152" t="s">
        <v>5217</v>
      </c>
      <c r="C216" s="153" t="s">
        <v>5227</v>
      </c>
      <c r="D216" s="156" t="s">
        <v>5228</v>
      </c>
      <c r="E216" s="159" t="s">
        <v>5229</v>
      </c>
      <c r="F216" s="162" t="s">
        <v>4686</v>
      </c>
      <c r="G216" s="165" t="str">
        <f>IF(COUNTIF(H216:AU216,"&lt;&gt;")=0,"",SUMPRODUCT(((Recommendations[ImplStatus]="Implemented")+(Recommendations[ImplStatus]="Compensated"))*ISNUMBER(MATCH(Recommendations[Id],H216:AU216,0)))/COUNTIF(H216:AU216,"&lt;&gt;"))</f>
        <v/>
      </c>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82"/>
    </row>
    <row r="217" spans="1:47" ht="60" customHeight="1" outlineLevel="1" x14ac:dyDescent="0.35">
      <c r="A217" s="177" t="s">
        <v>5214</v>
      </c>
      <c r="B217" s="151" t="s">
        <v>5175</v>
      </c>
      <c r="C217" s="149" t="s">
        <v>5230</v>
      </c>
      <c r="D217" s="155"/>
      <c r="E217" s="158" t="s">
        <v>28</v>
      </c>
      <c r="F217" s="161" t="s">
        <v>28</v>
      </c>
      <c r="G217" s="164" t="str">
        <f>IF(COUNTIF(H217:AU217,"&lt;&gt;")=0,"",SUMPRODUCT(((Recommendations[ImplStatus]="Implemented")+(Recommendations[ImplStatus]="Compensated"))*ISNUMBER(MATCH(Recommendations[Id],H217:AU217,0)))/COUNTIF(H217:AU217,"&lt;&gt;"))</f>
        <v/>
      </c>
      <c r="H217" s="167"/>
      <c r="I217" s="167"/>
      <c r="J217" s="167"/>
      <c r="K217" s="167"/>
      <c r="L217" s="167"/>
      <c r="M217" s="167"/>
      <c r="N217" s="167"/>
      <c r="O217" s="167"/>
      <c r="P217" s="167"/>
      <c r="Q217" s="167"/>
      <c r="R217" s="167"/>
      <c r="S217" s="167"/>
      <c r="T217" s="167"/>
      <c r="U217" s="167"/>
      <c r="V217" s="167"/>
      <c r="W217" s="167"/>
      <c r="X217" s="167"/>
      <c r="Y217" s="167"/>
      <c r="Z217" s="167"/>
      <c r="AA217" s="167"/>
      <c r="AB217" s="167"/>
      <c r="AC217" s="167"/>
      <c r="AD217" s="167"/>
      <c r="AE217" s="167"/>
      <c r="AF217" s="167"/>
      <c r="AG217" s="167"/>
      <c r="AH217" s="167"/>
      <c r="AI217" s="167"/>
      <c r="AJ217" s="167"/>
      <c r="AK217" s="167"/>
      <c r="AL217" s="167"/>
      <c r="AM217" s="167"/>
      <c r="AN217" s="167"/>
      <c r="AO217" s="167"/>
      <c r="AP217" s="167"/>
      <c r="AQ217" s="167"/>
      <c r="AR217" s="167"/>
      <c r="AS217" s="167"/>
      <c r="AT217" s="167"/>
      <c r="AU217" s="181"/>
    </row>
    <row r="218" spans="1:47" ht="60" customHeight="1" x14ac:dyDescent="0.35">
      <c r="A218" s="178" t="s">
        <v>5214</v>
      </c>
      <c r="B218" s="152" t="s">
        <v>5175</v>
      </c>
      <c r="C218" s="153" t="s">
        <v>5231</v>
      </c>
      <c r="D218" s="156" t="s">
        <v>5232</v>
      </c>
      <c r="E218" s="159"/>
      <c r="F218" s="162" t="s">
        <v>28</v>
      </c>
      <c r="G218" s="165" t="str">
        <f>IF(COUNTIF(H218:AU218,"&lt;&gt;")=0,"",SUMPRODUCT(((Recommendations[ImplStatus]="Implemented")+(Recommendations[ImplStatus]="Compensated"))*ISNUMBER(MATCH(Recommendations[Id],H218:AU218,0)))/COUNTIF(H218:AU218,"&lt;&gt;"))</f>
        <v/>
      </c>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c r="AO218" s="168"/>
      <c r="AP218" s="168"/>
      <c r="AQ218" s="168"/>
      <c r="AR218" s="168"/>
      <c r="AS218" s="168"/>
      <c r="AT218" s="168"/>
      <c r="AU218" s="182"/>
    </row>
    <row r="219" spans="1:47" ht="60" customHeight="1" x14ac:dyDescent="0.35">
      <c r="A219" s="178" t="s">
        <v>5214</v>
      </c>
      <c r="B219" s="152" t="s">
        <v>5175</v>
      </c>
      <c r="C219" s="153" t="s">
        <v>5233</v>
      </c>
      <c r="D219" s="156" t="s">
        <v>5234</v>
      </c>
      <c r="E219" s="159"/>
      <c r="F219" s="162" t="s">
        <v>28</v>
      </c>
      <c r="G219" s="165" t="str">
        <f>IF(COUNTIF(H219:AU219,"&lt;&gt;")=0,"",SUMPRODUCT(((Recommendations[ImplStatus]="Implemented")+(Recommendations[ImplStatus]="Compensated"))*ISNUMBER(MATCH(Recommendations[Id],H219:AU219,0)))/COUNTIF(H219:AU219,"&lt;&gt;"))</f>
        <v/>
      </c>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168"/>
      <c r="AP219" s="168"/>
      <c r="AQ219" s="168"/>
      <c r="AR219" s="168"/>
      <c r="AS219" s="168"/>
      <c r="AT219" s="168"/>
      <c r="AU219" s="182"/>
    </row>
    <row r="220" spans="1:47" ht="60" customHeight="1" outlineLevel="1" x14ac:dyDescent="0.35">
      <c r="A220" s="177" t="s">
        <v>5214</v>
      </c>
      <c r="B220" s="151" t="s">
        <v>5235</v>
      </c>
      <c r="C220" s="149" t="s">
        <v>5236</v>
      </c>
      <c r="D220" s="155" t="s">
        <v>5237</v>
      </c>
      <c r="E220" s="158" t="s">
        <v>28</v>
      </c>
      <c r="F220" s="161" t="s">
        <v>28</v>
      </c>
      <c r="G220" s="164" t="str">
        <f>IF(COUNTIF(H220:AU220,"&lt;&gt;")=0,"",SUMPRODUCT(((Recommendations[ImplStatus]="Implemented")+(Recommendations[ImplStatus]="Compensated"))*ISNUMBER(MATCH(Recommendations[Id],H220:AU220,0)))/COUNTIF(H220:AU220,"&lt;&gt;"))</f>
        <v/>
      </c>
      <c r="H220" s="167"/>
      <c r="I220" s="167"/>
      <c r="J220" s="167"/>
      <c r="K220" s="167"/>
      <c r="L220" s="167"/>
      <c r="M220" s="167"/>
      <c r="N220" s="167"/>
      <c r="O220" s="167"/>
      <c r="P220" s="167"/>
      <c r="Q220" s="167"/>
      <c r="R220" s="167"/>
      <c r="S220" s="167"/>
      <c r="T220" s="167"/>
      <c r="U220" s="167"/>
      <c r="V220" s="167"/>
      <c r="W220" s="167"/>
      <c r="X220" s="167"/>
      <c r="Y220" s="167"/>
      <c r="Z220" s="167"/>
      <c r="AA220" s="167"/>
      <c r="AB220" s="167"/>
      <c r="AC220" s="167"/>
      <c r="AD220" s="167"/>
      <c r="AE220" s="167"/>
      <c r="AF220" s="167"/>
      <c r="AG220" s="167"/>
      <c r="AH220" s="167"/>
      <c r="AI220" s="167"/>
      <c r="AJ220" s="167"/>
      <c r="AK220" s="167"/>
      <c r="AL220" s="167"/>
      <c r="AM220" s="167"/>
      <c r="AN220" s="167"/>
      <c r="AO220" s="167"/>
      <c r="AP220" s="167"/>
      <c r="AQ220" s="167"/>
      <c r="AR220" s="167"/>
      <c r="AS220" s="167"/>
      <c r="AT220" s="167"/>
      <c r="AU220" s="181"/>
    </row>
    <row r="221" spans="1:47" ht="60" customHeight="1" x14ac:dyDescent="0.35">
      <c r="A221" s="178" t="s">
        <v>5214</v>
      </c>
      <c r="B221" s="152" t="s">
        <v>5235</v>
      </c>
      <c r="C221" s="153" t="s">
        <v>5238</v>
      </c>
      <c r="D221" s="156" t="s">
        <v>5239</v>
      </c>
      <c r="E221" s="159" t="s">
        <v>5240</v>
      </c>
      <c r="F221" s="162" t="s">
        <v>4686</v>
      </c>
      <c r="G221" s="165" t="str">
        <f>IF(COUNTIF(H221:AU221,"&lt;&gt;")=0,"",SUMPRODUCT(((Recommendations[ImplStatus]="Implemented")+(Recommendations[ImplStatus]="Compensated"))*ISNUMBER(MATCH(Recommendations[Id],H221:AU221,0)))/COUNTIF(H221:AU221,"&lt;&gt;"))</f>
        <v/>
      </c>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82"/>
    </row>
    <row r="222" spans="1:47" ht="60" customHeight="1" x14ac:dyDescent="0.35">
      <c r="A222" s="178" t="s">
        <v>5214</v>
      </c>
      <c r="B222" s="152" t="s">
        <v>5235</v>
      </c>
      <c r="C222" s="153" t="s">
        <v>5241</v>
      </c>
      <c r="D222" s="156" t="s">
        <v>5242</v>
      </c>
      <c r="E222" s="159" t="s">
        <v>5243</v>
      </c>
      <c r="F222" s="162" t="s">
        <v>4686</v>
      </c>
      <c r="G222" s="165" t="str">
        <f>IF(COUNTIF(H222:AU222,"&lt;&gt;")=0,"",SUMPRODUCT(((Recommendations[ImplStatus]="Implemented")+(Recommendations[ImplStatus]="Compensated"))*ISNUMBER(MATCH(Recommendations[Id],H222:AU222,0)))/COUNTIF(H222:AU222,"&lt;&gt;"))</f>
        <v/>
      </c>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c r="AF222" s="168"/>
      <c r="AG222" s="168"/>
      <c r="AH222" s="168"/>
      <c r="AI222" s="168"/>
      <c r="AJ222" s="168"/>
      <c r="AK222" s="168"/>
      <c r="AL222" s="168"/>
      <c r="AM222" s="168"/>
      <c r="AN222" s="168"/>
      <c r="AO222" s="168"/>
      <c r="AP222" s="168"/>
      <c r="AQ222" s="168"/>
      <c r="AR222" s="168"/>
      <c r="AS222" s="168"/>
      <c r="AT222" s="168"/>
      <c r="AU222" s="182"/>
    </row>
    <row r="223" spans="1:47" ht="60" customHeight="1" x14ac:dyDescent="0.35">
      <c r="A223" s="178" t="s">
        <v>5214</v>
      </c>
      <c r="B223" s="152" t="s">
        <v>5235</v>
      </c>
      <c r="C223" s="153" t="s">
        <v>5244</v>
      </c>
      <c r="D223" s="156" t="s">
        <v>5245</v>
      </c>
      <c r="E223" s="159" t="s">
        <v>5246</v>
      </c>
      <c r="F223" s="162" t="s">
        <v>4686</v>
      </c>
      <c r="G223" s="165" t="str">
        <f>IF(COUNTIF(H223:AU223,"&lt;&gt;")=0,"",SUMPRODUCT(((Recommendations[ImplStatus]="Implemented")+(Recommendations[ImplStatus]="Compensated"))*ISNUMBER(MATCH(Recommendations[Id],H223:AU223,0)))/COUNTIF(H223:AU223,"&lt;&gt;"))</f>
        <v/>
      </c>
      <c r="H223" s="168"/>
      <c r="I223" s="168"/>
      <c r="J223" s="168"/>
      <c r="K223" s="168"/>
      <c r="L223" s="168"/>
      <c r="M223" s="168"/>
      <c r="N223" s="168"/>
      <c r="O223" s="168"/>
      <c r="P223" s="168"/>
      <c r="Q223" s="168"/>
      <c r="R223" s="168"/>
      <c r="S223" s="168"/>
      <c r="T223" s="168"/>
      <c r="U223" s="168"/>
      <c r="V223" s="168"/>
      <c r="W223" s="168"/>
      <c r="X223" s="168"/>
      <c r="Y223" s="168"/>
      <c r="Z223" s="168"/>
      <c r="AA223" s="168"/>
      <c r="AB223" s="168"/>
      <c r="AC223" s="168"/>
      <c r="AD223" s="168"/>
      <c r="AE223" s="168"/>
      <c r="AF223" s="168"/>
      <c r="AG223" s="168"/>
      <c r="AH223" s="168"/>
      <c r="AI223" s="168"/>
      <c r="AJ223" s="168"/>
      <c r="AK223" s="168"/>
      <c r="AL223" s="168"/>
      <c r="AM223" s="168"/>
      <c r="AN223" s="168"/>
      <c r="AO223" s="168"/>
      <c r="AP223" s="168"/>
      <c r="AQ223" s="168"/>
      <c r="AR223" s="168"/>
      <c r="AS223" s="168"/>
      <c r="AT223" s="168"/>
      <c r="AU223" s="182"/>
    </row>
    <row r="224" spans="1:47" ht="60" customHeight="1" x14ac:dyDescent="0.35">
      <c r="A224" s="178" t="s">
        <v>5214</v>
      </c>
      <c r="B224" s="152" t="s">
        <v>5235</v>
      </c>
      <c r="C224" s="153" t="s">
        <v>5247</v>
      </c>
      <c r="D224" s="156" t="s">
        <v>5248</v>
      </c>
      <c r="E224" s="159" t="s">
        <v>5249</v>
      </c>
      <c r="F224" s="162" t="s">
        <v>4686</v>
      </c>
      <c r="G224" s="165" t="str">
        <f>IF(COUNTIF(H224:AU224,"&lt;&gt;")=0,"",SUMPRODUCT(((Recommendations[ImplStatus]="Implemented")+(Recommendations[ImplStatus]="Compensated"))*ISNUMBER(MATCH(Recommendations[Id],H224:AU224,0)))/COUNTIF(H224:AU224,"&lt;&gt;"))</f>
        <v/>
      </c>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c r="AF224" s="168"/>
      <c r="AG224" s="168"/>
      <c r="AH224" s="168"/>
      <c r="AI224" s="168"/>
      <c r="AJ224" s="168"/>
      <c r="AK224" s="168"/>
      <c r="AL224" s="168"/>
      <c r="AM224" s="168"/>
      <c r="AN224" s="168"/>
      <c r="AO224" s="168"/>
      <c r="AP224" s="168"/>
      <c r="AQ224" s="168"/>
      <c r="AR224" s="168"/>
      <c r="AS224" s="168"/>
      <c r="AT224" s="168"/>
      <c r="AU224" s="182"/>
    </row>
    <row r="225" spans="1:47" ht="60" customHeight="1" x14ac:dyDescent="0.35">
      <c r="A225" s="178" t="s">
        <v>5214</v>
      </c>
      <c r="B225" s="152" t="s">
        <v>5235</v>
      </c>
      <c r="C225" s="153" t="s">
        <v>5250</v>
      </c>
      <c r="D225" s="156" t="s">
        <v>5251</v>
      </c>
      <c r="E225" s="159" t="s">
        <v>5252</v>
      </c>
      <c r="F225" s="162" t="s">
        <v>4686</v>
      </c>
      <c r="G225" s="165" t="str">
        <f>IF(COUNTIF(H225:AU225,"&lt;&gt;")=0,"",SUMPRODUCT(((Recommendations[ImplStatus]="Implemented")+(Recommendations[ImplStatus]="Compensated"))*ISNUMBER(MATCH(Recommendations[Id],H225:AU225,0)))/COUNTIF(H225:AU225,"&lt;&gt;"))</f>
        <v/>
      </c>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c r="AF225" s="168"/>
      <c r="AG225" s="168"/>
      <c r="AH225" s="168"/>
      <c r="AI225" s="168"/>
      <c r="AJ225" s="168"/>
      <c r="AK225" s="168"/>
      <c r="AL225" s="168"/>
      <c r="AM225" s="168"/>
      <c r="AN225" s="168"/>
      <c r="AO225" s="168"/>
      <c r="AP225" s="168"/>
      <c r="AQ225" s="168"/>
      <c r="AR225" s="168"/>
      <c r="AS225" s="168"/>
      <c r="AT225" s="168"/>
      <c r="AU225" s="182"/>
    </row>
    <row r="226" spans="1:47" ht="60" customHeight="1" x14ac:dyDescent="0.35">
      <c r="A226" s="179" t="s">
        <v>5214</v>
      </c>
      <c r="B226" s="169" t="s">
        <v>5235</v>
      </c>
      <c r="C226" s="170" t="s">
        <v>5253</v>
      </c>
      <c r="D226" s="171" t="s">
        <v>5254</v>
      </c>
      <c r="E226" s="172" t="s">
        <v>5255</v>
      </c>
      <c r="F226" s="173" t="s">
        <v>4686</v>
      </c>
      <c r="G226" s="174" t="str">
        <f>IF(COUNTIF(H226:AU226,"&lt;&gt;")=0,"",SUMPRODUCT(((Recommendations[ImplStatus]="Implemented")+(Recommendations[ImplStatus]="Compensated"))*ISNUMBER(MATCH(Recommendations[Id],H226:AU226,0)))/COUNTIF(H226:AU226,"&lt;&gt;"))</f>
        <v/>
      </c>
      <c r="H226" s="175"/>
      <c r="I226" s="175"/>
      <c r="J226" s="175"/>
      <c r="K226" s="175"/>
      <c r="L226" s="175"/>
      <c r="M226" s="175"/>
      <c r="N226" s="175"/>
      <c r="O226" s="175"/>
      <c r="P226" s="175"/>
      <c r="Q226" s="175"/>
      <c r="R226" s="175"/>
      <c r="S226" s="175"/>
      <c r="T226" s="175"/>
      <c r="U226" s="175"/>
      <c r="V226" s="175"/>
      <c r="W226" s="175"/>
      <c r="X226" s="175"/>
      <c r="Y226" s="175"/>
      <c r="Z226" s="175"/>
      <c r="AA226" s="175"/>
      <c r="AB226" s="175"/>
      <c r="AC226" s="175"/>
      <c r="AD226" s="175"/>
      <c r="AE226" s="175"/>
      <c r="AF226" s="175"/>
      <c r="AG226" s="175"/>
      <c r="AH226" s="175"/>
      <c r="AI226" s="175"/>
      <c r="AJ226" s="175"/>
      <c r="AK226" s="175"/>
      <c r="AL226" s="175"/>
      <c r="AM226" s="175"/>
      <c r="AN226" s="175"/>
      <c r="AO226" s="175"/>
      <c r="AP226" s="175"/>
      <c r="AQ226" s="175"/>
      <c r="AR226" s="175"/>
      <c r="AS226" s="175"/>
      <c r="AT226" s="175"/>
      <c r="AU226" s="183"/>
    </row>
    <row r="230" spans="1:47" ht="32" customHeight="1" x14ac:dyDescent="0.35">
      <c r="A230" s="266" t="s">
        <v>2861</v>
      </c>
      <c r="B230" s="266"/>
      <c r="C230" s="266"/>
      <c r="D230" s="266"/>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IFERROR(INDEX('Recommendations'!$G$2:$G$365, MATCH(H2,'Recommendations'!$B$2:$B$365,0))="Implemented", FALSE))</xm:f>
            <x14:dxf>
              <font>
                <color rgb="FF000000"/>
              </font>
              <fill>
                <patternFill>
                  <bgColor rgb="FF3C7D22"/>
                </patternFill>
              </fill>
            </x14:dxf>
          </x14:cfRule>
          <x14:cfRule type="expression" priority="2" id="{00000000-000E-0000-0700-000002000000}">
            <xm:f>AND(H2&lt;&gt;"", IFERROR(INDEX('Recommendations'!$G$2:$G$365, MATCH(H2,'Recommendations'!$B$2:$B$365,0))="Compensated", FALSE))</xm:f>
            <x14:dxf>
              <font>
                <color rgb="FF000000"/>
              </font>
              <fill>
                <patternFill>
                  <bgColor rgb="FFC6E0B4"/>
                </patternFill>
              </fill>
            </x14:dxf>
          </x14:cfRule>
          <x14:cfRule type="expression" priority="3" id="{00000000-000E-0000-0700-000003000000}">
            <xm:f>AND(H2&lt;&gt;"", IFERROR(INDEX('Recommendations'!$G$2:$G$365, MATCH(H2,'Recommendations'!$B$2:$B$365,0))="Testing", FALSE))</xm:f>
            <x14:dxf>
              <font>
                <color rgb="FF000000"/>
              </font>
              <fill>
                <patternFill>
                  <bgColor rgb="FFFFC000"/>
                </patternFill>
              </fill>
            </x14:dxf>
          </x14:cfRule>
          <x14:cfRule type="expression" priority="4" id="{00000000-000E-0000-0700-000004000000}">
            <xm:f>AND(H2&lt;&gt;"", IFERROR(INDEX('Recommendations'!$G$2:$G$365, MATCH(H2,'Recommendations'!$B$2:$B$365,0))="Failed", FALSE))</xm:f>
            <x14:dxf>
              <font>
                <color rgb="FF000000"/>
              </font>
              <fill>
                <patternFill>
                  <bgColor rgb="FFD82891"/>
                </patternFill>
              </fill>
            </x14:dxf>
          </x14:cfRule>
          <x14:cfRule type="expression" priority="5" id="{00000000-000E-0000-0700-000005000000}">
            <xm:f>AND(H2&lt;&gt;"", IFERROR(INDEX('Recommendations'!$G$2:$G$365, MATCH(H2,'Recommendations'!$B$2:$B$365,0))="Risk Accepted", FALSE))</xm:f>
            <x14:dxf>
              <font>
                <color rgb="FF000000"/>
              </font>
              <fill>
                <patternFill>
                  <bgColor rgb="FFD9D9D9"/>
                </patternFill>
              </fill>
            </x14:dxf>
          </x14:cfRule>
          <x14:cfRule type="expression" priority="6" id="{00000000-000E-0000-0700-000006000000}">
            <xm:f>AND(H2&lt;&gt;"", IFERROR(INDEX('Recommendations'!$G$2:$G$365, MATCH(H2,'Recommendations'!$B$2:$B$365,0))="N/A",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7" t="s">
        <v>4673</v>
      </c>
      <c r="B1" s="208" t="s">
        <v>5256</v>
      </c>
      <c r="C1" s="208" t="s">
        <v>5257</v>
      </c>
      <c r="D1" s="208" t="s">
        <v>5258</v>
      </c>
      <c r="E1" s="208" t="s">
        <v>3983</v>
      </c>
      <c r="F1" s="208" t="s">
        <v>3097</v>
      </c>
      <c r="G1" s="208" t="s">
        <v>3098</v>
      </c>
      <c r="H1" s="208" t="s">
        <v>3099</v>
      </c>
      <c r="I1" s="208" t="s">
        <v>3100</v>
      </c>
      <c r="J1" s="208" t="s">
        <v>3101</v>
      </c>
      <c r="K1" s="208" t="s">
        <v>3102</v>
      </c>
      <c r="L1" s="208" t="s">
        <v>3103</v>
      </c>
      <c r="M1" s="208" t="s">
        <v>3104</v>
      </c>
      <c r="N1" s="208" t="s">
        <v>3105</v>
      </c>
      <c r="O1" s="208" t="s">
        <v>3106</v>
      </c>
      <c r="P1" s="208" t="s">
        <v>3107</v>
      </c>
      <c r="Q1" s="208" t="s">
        <v>3108</v>
      </c>
      <c r="R1" s="208" t="s">
        <v>3109</v>
      </c>
      <c r="S1" s="208" t="s">
        <v>3110</v>
      </c>
      <c r="T1" s="208" t="s">
        <v>3111</v>
      </c>
      <c r="U1" s="208" t="s">
        <v>3112</v>
      </c>
      <c r="V1" s="208" t="s">
        <v>3113</v>
      </c>
      <c r="W1" s="208" t="s">
        <v>3114</v>
      </c>
      <c r="X1" s="208" t="s">
        <v>3115</v>
      </c>
      <c r="Y1" s="208" t="s">
        <v>3116</v>
      </c>
      <c r="Z1" s="208" t="s">
        <v>3117</v>
      </c>
      <c r="AA1" s="208" t="s">
        <v>3118</v>
      </c>
      <c r="AB1" s="208" t="s">
        <v>3119</v>
      </c>
      <c r="AC1" s="208" t="s">
        <v>3120</v>
      </c>
      <c r="AD1" s="208" t="s">
        <v>3121</v>
      </c>
      <c r="AE1" s="208" t="s">
        <v>3122</v>
      </c>
      <c r="AF1" s="208" t="s">
        <v>3123</v>
      </c>
      <c r="AG1" s="208" t="s">
        <v>3124</v>
      </c>
      <c r="AH1" s="208" t="s">
        <v>3125</v>
      </c>
      <c r="AI1" s="208" t="s">
        <v>3126</v>
      </c>
      <c r="AJ1" s="208" t="s">
        <v>3127</v>
      </c>
      <c r="AK1" s="208" t="s">
        <v>3128</v>
      </c>
      <c r="AL1" s="208" t="s">
        <v>3129</v>
      </c>
      <c r="AM1" s="208" t="s">
        <v>3130</v>
      </c>
      <c r="AN1" s="208" t="s">
        <v>3131</v>
      </c>
      <c r="AO1" s="208" t="s">
        <v>3132</v>
      </c>
      <c r="AP1" s="208" t="s">
        <v>3133</v>
      </c>
      <c r="AQ1" s="208" t="s">
        <v>3134</v>
      </c>
      <c r="AR1" s="208" t="s">
        <v>3135</v>
      </c>
      <c r="AS1" s="208" t="s">
        <v>3136</v>
      </c>
      <c r="AT1" s="209" t="s">
        <v>3137</v>
      </c>
    </row>
    <row r="2" spans="1:46" ht="60" customHeight="1" outlineLevel="1" x14ac:dyDescent="0.35">
      <c r="A2" s="201" t="s">
        <v>2940</v>
      </c>
      <c r="B2" s="187" t="s">
        <v>5259</v>
      </c>
      <c r="C2" s="187"/>
      <c r="D2" s="190" t="s">
        <v>5260</v>
      </c>
      <c r="E2" s="190"/>
      <c r="F2" s="192" t="str">
        <f>IF(COUNTIF(G2:AT2,"&lt;&gt;")=0,"",SUMPRODUCT(((Recommendations[ImplStatus]="Implemented")+(Recommendations[ImplStatus]="Compensated"))*ISNUMBER(MATCH(Recommendations[Id],G2:AT2,0)))/COUNTIF(G2:AT2,"&lt;&gt;"))</f>
        <v/>
      </c>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204"/>
    </row>
    <row r="3" spans="1:46" ht="60" customHeight="1" x14ac:dyDescent="0.35">
      <c r="A3" s="202" t="s">
        <v>2940</v>
      </c>
      <c r="B3" s="188" t="s">
        <v>5259</v>
      </c>
      <c r="C3" s="189" t="s">
        <v>5261</v>
      </c>
      <c r="D3" s="191" t="s">
        <v>5262</v>
      </c>
      <c r="E3" s="191" t="s">
        <v>5263</v>
      </c>
      <c r="F3" s="193" t="str">
        <f>IF(COUNTIF(G3:AT3,"&lt;&gt;")=0,"",SUMPRODUCT(((Recommendations[ImplStatus]="Implemented")+(Recommendations[ImplStatus]="Compensated"))*ISNUMBER(MATCH(Recommendations[Id],G3:AT3,0)))/COUNTIF(G3:AT3,"&lt;&gt;"))</f>
        <v/>
      </c>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205"/>
    </row>
    <row r="4" spans="1:46" ht="60" customHeight="1" x14ac:dyDescent="0.35">
      <c r="A4" s="202" t="s">
        <v>2940</v>
      </c>
      <c r="B4" s="188" t="s">
        <v>5259</v>
      </c>
      <c r="C4" s="189" t="s">
        <v>5264</v>
      </c>
      <c r="D4" s="191" t="s">
        <v>5265</v>
      </c>
      <c r="E4" s="191" t="s">
        <v>5266</v>
      </c>
      <c r="F4" s="193" t="str">
        <f>IF(COUNTIF(G4:AT4,"&lt;&gt;")=0,"",SUMPRODUCT(((Recommendations[ImplStatus]="Implemented")+(Recommendations[ImplStatus]="Compensated"))*ISNUMBER(MATCH(Recommendations[Id],G4:AT4,0)))/COUNTIF(G4:AT4,"&lt;&gt;"))</f>
        <v/>
      </c>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205"/>
    </row>
    <row r="5" spans="1:46" ht="60" customHeight="1" x14ac:dyDescent="0.35">
      <c r="A5" s="202" t="s">
        <v>2940</v>
      </c>
      <c r="B5" s="188" t="s">
        <v>5259</v>
      </c>
      <c r="C5" s="189" t="s">
        <v>5267</v>
      </c>
      <c r="D5" s="191" t="s">
        <v>5268</v>
      </c>
      <c r="E5" s="191" t="s">
        <v>5269</v>
      </c>
      <c r="F5" s="193" t="str">
        <f>IF(COUNTIF(G5:AT5,"&lt;&gt;")=0,"",SUMPRODUCT(((Recommendations[ImplStatus]="Implemented")+(Recommendations[ImplStatus]="Compensated"))*ISNUMBER(MATCH(Recommendations[Id],G5:AT5,0)))/COUNTIF(G5:AT5,"&lt;&gt;"))</f>
        <v/>
      </c>
      <c r="G5" s="195"/>
      <c r="H5" s="195"/>
      <c r="I5" s="195"/>
      <c r="J5" s="195"/>
      <c r="K5" s="195"/>
      <c r="L5" s="195"/>
      <c r="M5" s="195"/>
      <c r="N5" s="195"/>
      <c r="O5" s="195"/>
      <c r="P5" s="195"/>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5"/>
      <c r="AR5" s="195"/>
      <c r="AS5" s="195"/>
      <c r="AT5" s="205"/>
    </row>
    <row r="6" spans="1:46" ht="60" customHeight="1" x14ac:dyDescent="0.35">
      <c r="A6" s="202" t="s">
        <v>2940</v>
      </c>
      <c r="B6" s="188" t="s">
        <v>5259</v>
      </c>
      <c r="C6" s="189" t="s">
        <v>5270</v>
      </c>
      <c r="D6" s="191" t="s">
        <v>5271</v>
      </c>
      <c r="E6" s="191" t="s">
        <v>5272</v>
      </c>
      <c r="F6" s="193" t="str">
        <f>IF(COUNTIF(G6:AT6,"&lt;&gt;")=0,"",SUMPRODUCT(((Recommendations[ImplStatus]="Implemented")+(Recommendations[ImplStatus]="Compensated"))*ISNUMBER(MATCH(Recommendations[Id],G6:AT6,0)))/COUNTIF(G6:AT6,"&lt;&gt;"))</f>
        <v/>
      </c>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c r="AK6" s="195"/>
      <c r="AL6" s="195"/>
      <c r="AM6" s="195"/>
      <c r="AN6" s="195"/>
      <c r="AO6" s="195"/>
      <c r="AP6" s="195"/>
      <c r="AQ6" s="195"/>
      <c r="AR6" s="195"/>
      <c r="AS6" s="195"/>
      <c r="AT6" s="205"/>
    </row>
    <row r="7" spans="1:46" ht="60" customHeight="1" x14ac:dyDescent="0.35">
      <c r="A7" s="202" t="s">
        <v>2940</v>
      </c>
      <c r="B7" s="188" t="s">
        <v>5259</v>
      </c>
      <c r="C7" s="189" t="s">
        <v>5273</v>
      </c>
      <c r="D7" s="191" t="s">
        <v>5274</v>
      </c>
      <c r="E7" s="191" t="s">
        <v>5275</v>
      </c>
      <c r="F7" s="193" t="str">
        <f>IF(COUNTIF(G7:AT7,"&lt;&gt;")=0,"",SUMPRODUCT(((Recommendations[ImplStatus]="Implemented")+(Recommendations[ImplStatus]="Compensated"))*ISNUMBER(MATCH(Recommendations[Id],G7:AT7,0)))/COUNTIF(G7:AT7,"&lt;&gt;"))</f>
        <v/>
      </c>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205"/>
    </row>
    <row r="8" spans="1:46" ht="60" customHeight="1" x14ac:dyDescent="0.35">
      <c r="A8" s="202" t="s">
        <v>2940</v>
      </c>
      <c r="B8" s="188" t="s">
        <v>5259</v>
      </c>
      <c r="C8" s="189" t="s">
        <v>5276</v>
      </c>
      <c r="D8" s="191" t="s">
        <v>5277</v>
      </c>
      <c r="E8" s="191" t="s">
        <v>5278</v>
      </c>
      <c r="F8" s="193" t="str">
        <f>IF(COUNTIF(G8:AT8,"&lt;&gt;")=0,"",SUMPRODUCT(((Recommendations[ImplStatus]="Implemented")+(Recommendations[ImplStatus]="Compensated"))*ISNUMBER(MATCH(Recommendations[Id],G8:AT8,0)))/COUNTIF(G8:AT8,"&lt;&gt;"))</f>
        <v/>
      </c>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205"/>
    </row>
    <row r="9" spans="1:46" ht="60" customHeight="1" x14ac:dyDescent="0.35">
      <c r="A9" s="202" t="s">
        <v>2940</v>
      </c>
      <c r="B9" s="188" t="s">
        <v>5259</v>
      </c>
      <c r="C9" s="189" t="s">
        <v>5279</v>
      </c>
      <c r="D9" s="191" t="s">
        <v>5280</v>
      </c>
      <c r="E9" s="191" t="s">
        <v>5281</v>
      </c>
      <c r="F9" s="193" t="str">
        <f>IF(COUNTIF(G9:AT9,"&lt;&gt;")=0,"",SUMPRODUCT(((Recommendations[ImplStatus]="Implemented")+(Recommendations[ImplStatus]="Compensated"))*ISNUMBER(MATCH(Recommendations[Id],G9:AT9,0)))/COUNTIF(G9:AT9,"&lt;&gt;"))</f>
        <v/>
      </c>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205"/>
    </row>
    <row r="10" spans="1:46" ht="60" customHeight="1" x14ac:dyDescent="0.35">
      <c r="A10" s="202" t="s">
        <v>2940</v>
      </c>
      <c r="B10" s="188" t="s">
        <v>5259</v>
      </c>
      <c r="C10" s="189" t="s">
        <v>5282</v>
      </c>
      <c r="D10" s="191" t="s">
        <v>5283</v>
      </c>
      <c r="E10" s="191" t="s">
        <v>5284</v>
      </c>
      <c r="F10" s="193" t="str">
        <f>IF(COUNTIF(G10:AT10,"&lt;&gt;")=0,"",SUMPRODUCT(((Recommendations[ImplStatus]="Implemented")+(Recommendations[ImplStatus]="Compensated"))*ISNUMBER(MATCH(Recommendations[Id],G10:AT10,0)))/COUNTIF(G10:AT10,"&lt;&gt;"))</f>
        <v/>
      </c>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205"/>
    </row>
    <row r="11" spans="1:46" ht="60" customHeight="1" x14ac:dyDescent="0.35">
      <c r="A11" s="202" t="s">
        <v>2940</v>
      </c>
      <c r="B11" s="188" t="s">
        <v>5259</v>
      </c>
      <c r="C11" s="189" t="s">
        <v>5285</v>
      </c>
      <c r="D11" s="191" t="s">
        <v>5286</v>
      </c>
      <c r="E11" s="191" t="s">
        <v>5287</v>
      </c>
      <c r="F11" s="193" t="str">
        <f>IF(COUNTIF(G11:AT11,"&lt;&gt;")=0,"",SUMPRODUCT(((Recommendations[ImplStatus]="Implemented")+(Recommendations[ImplStatus]="Compensated"))*ISNUMBER(MATCH(Recommendations[Id],G11:AT11,0)))/COUNTIF(G11:AT11,"&lt;&gt;"))</f>
        <v/>
      </c>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205"/>
    </row>
    <row r="12" spans="1:46" ht="60" customHeight="1" x14ac:dyDescent="0.35">
      <c r="A12" s="202" t="s">
        <v>2940</v>
      </c>
      <c r="B12" s="188" t="s">
        <v>5259</v>
      </c>
      <c r="C12" s="189" t="s">
        <v>5288</v>
      </c>
      <c r="D12" s="191" t="s">
        <v>5289</v>
      </c>
      <c r="E12" s="191" t="s">
        <v>5290</v>
      </c>
      <c r="F12" s="193" t="str">
        <f>IF(COUNTIF(G12:AT12,"&lt;&gt;")=0,"",SUMPRODUCT(((Recommendations[ImplStatus]="Implemented")+(Recommendations[ImplStatus]="Compensated"))*ISNUMBER(MATCH(Recommendations[Id],G12:AT12,0)))/COUNTIF(G12:AT12,"&lt;&gt;"))</f>
        <v/>
      </c>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205"/>
    </row>
    <row r="13" spans="1:46" ht="60" customHeight="1" x14ac:dyDescent="0.35">
      <c r="A13" s="202" t="s">
        <v>2940</v>
      </c>
      <c r="B13" s="188" t="s">
        <v>5259</v>
      </c>
      <c r="C13" s="189" t="s">
        <v>5291</v>
      </c>
      <c r="D13" s="191" t="s">
        <v>5292</v>
      </c>
      <c r="E13" s="191" t="s">
        <v>5293</v>
      </c>
      <c r="F13" s="193" t="str">
        <f>IF(COUNTIF(G13:AT13,"&lt;&gt;")=0,"",SUMPRODUCT(((Recommendations[ImplStatus]="Implemented")+(Recommendations[ImplStatus]="Compensated"))*ISNUMBER(MATCH(Recommendations[Id],G13:AT13,0)))/COUNTIF(G13:AT13,"&lt;&gt;"))</f>
        <v/>
      </c>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205"/>
    </row>
    <row r="14" spans="1:46" ht="60" customHeight="1" x14ac:dyDescent="0.35">
      <c r="A14" s="202" t="s">
        <v>2940</v>
      </c>
      <c r="B14" s="188" t="s">
        <v>5259</v>
      </c>
      <c r="C14" s="189" t="s">
        <v>5294</v>
      </c>
      <c r="D14" s="191" t="s">
        <v>5295</v>
      </c>
      <c r="E14" s="191" t="s">
        <v>5296</v>
      </c>
      <c r="F14" s="193" t="str">
        <f>IF(COUNTIF(G14:AT14,"&lt;&gt;")=0,"",SUMPRODUCT(((Recommendations[ImplStatus]="Implemented")+(Recommendations[ImplStatus]="Compensated"))*ISNUMBER(MATCH(Recommendations[Id],G14:AT14,0)))/COUNTIF(G14:AT14,"&lt;&gt;"))</f>
        <v/>
      </c>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205"/>
    </row>
    <row r="15" spans="1:46" ht="60" customHeight="1" x14ac:dyDescent="0.35">
      <c r="A15" s="202" t="s">
        <v>2940</v>
      </c>
      <c r="B15" s="188" t="s">
        <v>5259</v>
      </c>
      <c r="C15" s="189" t="s">
        <v>5297</v>
      </c>
      <c r="D15" s="191" t="s">
        <v>5298</v>
      </c>
      <c r="E15" s="191" t="s">
        <v>5299</v>
      </c>
      <c r="F15" s="193" t="str">
        <f>IF(COUNTIF(G15:AT15,"&lt;&gt;")=0,"",SUMPRODUCT(((Recommendations[ImplStatus]="Implemented")+(Recommendations[ImplStatus]="Compensated"))*ISNUMBER(MATCH(Recommendations[Id],G15:AT15,0)))/COUNTIF(G15:AT15,"&lt;&gt;"))</f>
        <v/>
      </c>
      <c r="G15" s="195"/>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205"/>
    </row>
    <row r="16" spans="1:46" ht="60" customHeight="1" x14ac:dyDescent="0.35">
      <c r="A16" s="202" t="s">
        <v>2940</v>
      </c>
      <c r="B16" s="188" t="s">
        <v>5259</v>
      </c>
      <c r="C16" s="189" t="s">
        <v>5300</v>
      </c>
      <c r="D16" s="191" t="s">
        <v>5301</v>
      </c>
      <c r="E16" s="191" t="s">
        <v>5302</v>
      </c>
      <c r="F16" s="193" t="str">
        <f>IF(COUNTIF(G16:AT16,"&lt;&gt;")=0,"",SUMPRODUCT(((Recommendations[ImplStatus]="Implemented")+(Recommendations[ImplStatus]="Compensated"))*ISNUMBER(MATCH(Recommendations[Id],G16:AT16,0)))/COUNTIF(G16:AT16,"&lt;&gt;"))</f>
        <v/>
      </c>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205"/>
    </row>
    <row r="17" spans="1:46" ht="60" customHeight="1" x14ac:dyDescent="0.35">
      <c r="A17" s="202" t="s">
        <v>2940</v>
      </c>
      <c r="B17" s="188" t="s">
        <v>5259</v>
      </c>
      <c r="C17" s="189" t="s">
        <v>5303</v>
      </c>
      <c r="D17" s="191" t="s">
        <v>5304</v>
      </c>
      <c r="E17" s="191" t="s">
        <v>5305</v>
      </c>
      <c r="F17" s="193" t="str">
        <f>IF(COUNTIF(G17:AT17,"&lt;&gt;")=0,"",SUMPRODUCT(((Recommendations[ImplStatus]="Implemented")+(Recommendations[ImplStatus]="Compensated"))*ISNUMBER(MATCH(Recommendations[Id],G17:AT17,0)))/COUNTIF(G17:AT17,"&lt;&gt;"))</f>
        <v/>
      </c>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205"/>
    </row>
    <row r="18" spans="1:46" ht="60" customHeight="1" x14ac:dyDescent="0.35">
      <c r="A18" s="202" t="s">
        <v>2940</v>
      </c>
      <c r="B18" s="188" t="s">
        <v>5259</v>
      </c>
      <c r="C18" s="189" t="s">
        <v>5306</v>
      </c>
      <c r="D18" s="191" t="s">
        <v>5307</v>
      </c>
      <c r="E18" s="191" t="s">
        <v>5308</v>
      </c>
      <c r="F18" s="193" t="str">
        <f>IF(COUNTIF(G18:AT18,"&lt;&gt;")=0,"",SUMPRODUCT(((Recommendations[ImplStatus]="Implemented")+(Recommendations[ImplStatus]="Compensated"))*ISNUMBER(MATCH(Recommendations[Id],G18:AT18,0)))/COUNTIF(G18:AT18,"&lt;&gt;"))</f>
        <v/>
      </c>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205"/>
    </row>
    <row r="19" spans="1:46" ht="60" customHeight="1" outlineLevel="1" x14ac:dyDescent="0.35">
      <c r="A19" s="201" t="s">
        <v>2940</v>
      </c>
      <c r="B19" s="187" t="s">
        <v>5309</v>
      </c>
      <c r="C19" s="187"/>
      <c r="D19" s="190" t="s">
        <v>5310</v>
      </c>
      <c r="E19" s="190"/>
      <c r="F19" s="192" t="str">
        <f>IF(COUNTIF(G19:AT19,"&lt;&gt;")=0,"",SUMPRODUCT(((Recommendations[ImplStatus]="Implemented")+(Recommendations[ImplStatus]="Compensated"))*ISNUMBER(MATCH(Recommendations[Id],G19:AT19,0)))/COUNTIF(G19:AT19,"&lt;&gt;"))</f>
        <v/>
      </c>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204"/>
    </row>
    <row r="20" spans="1:46" ht="60" customHeight="1" x14ac:dyDescent="0.35">
      <c r="A20" s="202" t="s">
        <v>2940</v>
      </c>
      <c r="B20" s="188" t="s">
        <v>5309</v>
      </c>
      <c r="C20" s="189" t="s">
        <v>5311</v>
      </c>
      <c r="D20" s="191" t="s">
        <v>5312</v>
      </c>
      <c r="E20" s="191" t="s">
        <v>5313</v>
      </c>
      <c r="F20" s="193" t="str">
        <f>IF(COUNTIF(G20:AT20,"&lt;&gt;")=0,"",SUMPRODUCT(((Recommendations[ImplStatus]="Implemented")+(Recommendations[ImplStatus]="Compensated"))*ISNUMBER(MATCH(Recommendations[Id],G20:AT20,0)))/COUNTIF(G20:AT20,"&lt;&gt;"))</f>
        <v/>
      </c>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5"/>
      <c r="AT20" s="205"/>
    </row>
    <row r="21" spans="1:46" ht="60" customHeight="1" x14ac:dyDescent="0.35">
      <c r="A21" s="202" t="s">
        <v>2940</v>
      </c>
      <c r="B21" s="188" t="s">
        <v>5309</v>
      </c>
      <c r="C21" s="189" t="s">
        <v>5314</v>
      </c>
      <c r="D21" s="191" t="s">
        <v>5315</v>
      </c>
      <c r="E21" s="191" t="s">
        <v>5316</v>
      </c>
      <c r="F21" s="193" t="str">
        <f>IF(COUNTIF(G21:AT21,"&lt;&gt;")=0,"",SUMPRODUCT(((Recommendations[ImplStatus]="Implemented")+(Recommendations[ImplStatus]="Compensated"))*ISNUMBER(MATCH(Recommendations[Id],G21:AT21,0)))/COUNTIF(G21:AT21,"&lt;&gt;"))</f>
        <v/>
      </c>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205"/>
    </row>
    <row r="22" spans="1:46" ht="60" customHeight="1" x14ac:dyDescent="0.35">
      <c r="A22" s="202" t="s">
        <v>2940</v>
      </c>
      <c r="B22" s="188" t="s">
        <v>5309</v>
      </c>
      <c r="C22" s="189" t="s">
        <v>5317</v>
      </c>
      <c r="D22" s="191" t="s">
        <v>5318</v>
      </c>
      <c r="E22" s="191" t="s">
        <v>5319</v>
      </c>
      <c r="F22" s="193" t="str">
        <f>IF(COUNTIF(G22:AT22,"&lt;&gt;")=0,"",SUMPRODUCT(((Recommendations[ImplStatus]="Implemented")+(Recommendations[ImplStatus]="Compensated"))*ISNUMBER(MATCH(Recommendations[Id],G22:AT22,0)))/COUNTIF(G22:AT22,"&lt;&gt;"))</f>
        <v/>
      </c>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205"/>
    </row>
    <row r="23" spans="1:46" ht="60" customHeight="1" x14ac:dyDescent="0.35">
      <c r="A23" s="202" t="s">
        <v>2940</v>
      </c>
      <c r="B23" s="188" t="s">
        <v>5309</v>
      </c>
      <c r="C23" s="189" t="s">
        <v>5320</v>
      </c>
      <c r="D23" s="191" t="s">
        <v>5321</v>
      </c>
      <c r="E23" s="191" t="s">
        <v>5322</v>
      </c>
      <c r="F23" s="193" t="str">
        <f>IF(COUNTIF(G23:AT23,"&lt;&gt;")=0,"",SUMPRODUCT(((Recommendations[ImplStatus]="Implemented")+(Recommendations[ImplStatus]="Compensated"))*ISNUMBER(MATCH(Recommendations[Id],G23:AT23,0)))/COUNTIF(G23:AT23,"&lt;&gt;"))</f>
        <v/>
      </c>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205"/>
    </row>
    <row r="24" spans="1:46" ht="60" customHeight="1" x14ac:dyDescent="0.35">
      <c r="A24" s="202" t="s">
        <v>2940</v>
      </c>
      <c r="B24" s="188" t="s">
        <v>5309</v>
      </c>
      <c r="C24" s="189" t="s">
        <v>5323</v>
      </c>
      <c r="D24" s="191" t="s">
        <v>5324</v>
      </c>
      <c r="E24" s="191" t="s">
        <v>5325</v>
      </c>
      <c r="F24" s="193" t="str">
        <f>IF(COUNTIF(G24:AT24,"&lt;&gt;")=0,"",SUMPRODUCT(((Recommendations[ImplStatus]="Implemented")+(Recommendations[ImplStatus]="Compensated"))*ISNUMBER(MATCH(Recommendations[Id],G24:AT24,0)))/COUNTIF(G24:AT24,"&lt;&gt;"))</f>
        <v/>
      </c>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205"/>
    </row>
    <row r="25" spans="1:46" ht="60" customHeight="1" x14ac:dyDescent="0.35">
      <c r="A25" s="202" t="s">
        <v>2940</v>
      </c>
      <c r="B25" s="188" t="s">
        <v>5309</v>
      </c>
      <c r="C25" s="189" t="s">
        <v>5326</v>
      </c>
      <c r="D25" s="191" t="s">
        <v>5327</v>
      </c>
      <c r="E25" s="191" t="s">
        <v>5328</v>
      </c>
      <c r="F25" s="193" t="str">
        <f>IF(COUNTIF(G25:AT25,"&lt;&gt;")=0,"",SUMPRODUCT(((Recommendations[ImplStatus]="Implemented")+(Recommendations[ImplStatus]="Compensated"))*ISNUMBER(MATCH(Recommendations[Id],G25:AT25,0)))/COUNTIF(G25:AT25,"&lt;&gt;"))</f>
        <v/>
      </c>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205"/>
    </row>
    <row r="26" spans="1:46" ht="60" customHeight="1" x14ac:dyDescent="0.35">
      <c r="A26" s="202" t="s">
        <v>2940</v>
      </c>
      <c r="B26" s="188" t="s">
        <v>5309</v>
      </c>
      <c r="C26" s="189" t="s">
        <v>5329</v>
      </c>
      <c r="D26" s="191" t="s">
        <v>5330</v>
      </c>
      <c r="E26" s="191" t="s">
        <v>5331</v>
      </c>
      <c r="F26" s="193" t="str">
        <f>IF(COUNTIF(G26:AT26,"&lt;&gt;")=0,"",SUMPRODUCT(((Recommendations[ImplStatus]="Implemented")+(Recommendations[ImplStatus]="Compensated"))*ISNUMBER(MATCH(Recommendations[Id],G26:AT26,0)))/COUNTIF(G26:AT26,"&lt;&gt;"))</f>
        <v/>
      </c>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205"/>
    </row>
    <row r="27" spans="1:46" ht="60" customHeight="1" x14ac:dyDescent="0.35">
      <c r="A27" s="202" t="s">
        <v>2940</v>
      </c>
      <c r="B27" s="188" t="s">
        <v>5309</v>
      </c>
      <c r="C27" s="189" t="s">
        <v>5332</v>
      </c>
      <c r="D27" s="191" t="s">
        <v>5333</v>
      </c>
      <c r="E27" s="191" t="s">
        <v>5334</v>
      </c>
      <c r="F27" s="193" t="str">
        <f>IF(COUNTIF(G27:AT27,"&lt;&gt;")=0,"",SUMPRODUCT(((Recommendations[ImplStatus]="Implemented")+(Recommendations[ImplStatus]="Compensated"))*ISNUMBER(MATCH(Recommendations[Id],G27:AT27,0)))/COUNTIF(G27:AT27,"&lt;&gt;"))</f>
        <v/>
      </c>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205"/>
    </row>
    <row r="28" spans="1:46" ht="60" customHeight="1" x14ac:dyDescent="0.35">
      <c r="A28" s="202" t="s">
        <v>2940</v>
      </c>
      <c r="B28" s="188" t="s">
        <v>5309</v>
      </c>
      <c r="C28" s="189" t="s">
        <v>5335</v>
      </c>
      <c r="D28" s="191" t="s">
        <v>5336</v>
      </c>
      <c r="E28" s="191" t="s">
        <v>5337</v>
      </c>
      <c r="F28" s="193" t="str">
        <f>IF(COUNTIF(G28:AT28,"&lt;&gt;")=0,"",SUMPRODUCT(((Recommendations[ImplStatus]="Implemented")+(Recommendations[ImplStatus]="Compensated"))*ISNUMBER(MATCH(Recommendations[Id],G28:AT28,0)))/COUNTIF(G28:AT28,"&lt;&gt;"))</f>
        <v/>
      </c>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205"/>
    </row>
    <row r="29" spans="1:46" ht="60" customHeight="1" x14ac:dyDescent="0.35">
      <c r="A29" s="202" t="s">
        <v>2940</v>
      </c>
      <c r="B29" s="188" t="s">
        <v>5309</v>
      </c>
      <c r="C29" s="189" t="s">
        <v>5338</v>
      </c>
      <c r="D29" s="191" t="s">
        <v>5339</v>
      </c>
      <c r="E29" s="191" t="s">
        <v>5340</v>
      </c>
      <c r="F29" s="193" t="str">
        <f>IF(COUNTIF(G29:AT29,"&lt;&gt;")=0,"",SUMPRODUCT(((Recommendations[ImplStatus]="Implemented")+(Recommendations[ImplStatus]="Compensated"))*ISNUMBER(MATCH(Recommendations[Id],G29:AT29,0)))/COUNTIF(G29:AT29,"&lt;&gt;"))</f>
        <v/>
      </c>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205"/>
    </row>
    <row r="30" spans="1:46" ht="60" customHeight="1" x14ac:dyDescent="0.35">
      <c r="A30" s="202" t="s">
        <v>2940</v>
      </c>
      <c r="B30" s="188" t="s">
        <v>5309</v>
      </c>
      <c r="C30" s="189" t="s">
        <v>5341</v>
      </c>
      <c r="D30" s="191" t="s">
        <v>5342</v>
      </c>
      <c r="E30" s="191" t="s">
        <v>5343</v>
      </c>
      <c r="F30" s="193" t="str">
        <f>IF(COUNTIF(G30:AT30,"&lt;&gt;")=0,"",SUMPRODUCT(((Recommendations[ImplStatus]="Implemented")+(Recommendations[ImplStatus]="Compensated"))*ISNUMBER(MATCH(Recommendations[Id],G30:AT30,0)))/COUNTIF(G30:AT30,"&lt;&gt;"))</f>
        <v/>
      </c>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205"/>
    </row>
    <row r="31" spans="1:46" ht="60" customHeight="1" x14ac:dyDescent="0.35">
      <c r="A31" s="202" t="s">
        <v>2940</v>
      </c>
      <c r="B31" s="188" t="s">
        <v>5309</v>
      </c>
      <c r="C31" s="189" t="s">
        <v>5344</v>
      </c>
      <c r="D31" s="191" t="s">
        <v>5345</v>
      </c>
      <c r="E31" s="191" t="s">
        <v>5346</v>
      </c>
      <c r="F31" s="193" t="str">
        <f>IF(COUNTIF(G31:AT31,"&lt;&gt;")=0,"",SUMPRODUCT(((Recommendations[ImplStatus]="Implemented")+(Recommendations[ImplStatus]="Compensated"))*ISNUMBER(MATCH(Recommendations[Id],G31:AT31,0)))/COUNTIF(G31:AT31,"&lt;&gt;"))</f>
        <v/>
      </c>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205"/>
    </row>
    <row r="32" spans="1:46" ht="60" customHeight="1" outlineLevel="1" x14ac:dyDescent="0.35">
      <c r="A32" s="201" t="s">
        <v>5347</v>
      </c>
      <c r="B32" s="187"/>
      <c r="C32" s="187"/>
      <c r="D32" s="190" t="s">
        <v>5348</v>
      </c>
      <c r="E32" s="190"/>
      <c r="F32" s="192" t="str">
        <f>IF(COUNTIF(G32:AT32,"&lt;&gt;")=0,"",SUMPRODUCT(((Recommendations[ImplStatus]="Implemented")+(Recommendations[ImplStatus]="Compensated"))*ISNUMBER(MATCH(Recommendations[Id],G32:AT32,0)))/COUNTIF(G32:AT32,"&lt;&gt;"))</f>
        <v/>
      </c>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204"/>
    </row>
    <row r="33" spans="1:46" ht="60" customHeight="1" x14ac:dyDescent="0.35">
      <c r="A33" s="202" t="s">
        <v>5347</v>
      </c>
      <c r="B33" s="188"/>
      <c r="C33" s="189" t="s">
        <v>5349</v>
      </c>
      <c r="D33" s="191" t="s">
        <v>5350</v>
      </c>
      <c r="E33" s="191" t="s">
        <v>5351</v>
      </c>
      <c r="F33" s="193" t="str">
        <f>IF(COUNTIF(G33:AT33,"&lt;&gt;")=0,"",SUMPRODUCT(((Recommendations[ImplStatus]="Implemented")+(Recommendations[ImplStatus]="Compensated"))*ISNUMBER(MATCH(Recommendations[Id],G33:AT33,0)))/COUNTIF(G33:AT33,"&lt;&gt;"))</f>
        <v/>
      </c>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205"/>
    </row>
    <row r="34" spans="1:46" ht="60" customHeight="1" x14ac:dyDescent="0.35">
      <c r="A34" s="202" t="s">
        <v>5347</v>
      </c>
      <c r="B34" s="188"/>
      <c r="C34" s="189" t="s">
        <v>5352</v>
      </c>
      <c r="D34" s="191" t="s">
        <v>5353</v>
      </c>
      <c r="E34" s="191" t="s">
        <v>5354</v>
      </c>
      <c r="F34" s="193" t="str">
        <f>IF(COUNTIF(G34:AT34,"&lt;&gt;")=0,"",SUMPRODUCT(((Recommendations[ImplStatus]="Implemented")+(Recommendations[ImplStatus]="Compensated"))*ISNUMBER(MATCH(Recommendations[Id],G34:AT34,0)))/COUNTIF(G34:AT34,"&lt;&gt;"))</f>
        <v/>
      </c>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205"/>
    </row>
    <row r="35" spans="1:46" ht="60" customHeight="1" x14ac:dyDescent="0.35">
      <c r="A35" s="202" t="s">
        <v>5347</v>
      </c>
      <c r="B35" s="188"/>
      <c r="C35" s="189" t="s">
        <v>5355</v>
      </c>
      <c r="D35" s="191" t="s">
        <v>5356</v>
      </c>
      <c r="E35" s="191" t="s">
        <v>5357</v>
      </c>
      <c r="F35" s="193" t="str">
        <f>IF(COUNTIF(G35:AT35,"&lt;&gt;")=0,"",SUMPRODUCT(((Recommendations[ImplStatus]="Implemented")+(Recommendations[ImplStatus]="Compensated"))*ISNUMBER(MATCH(Recommendations[Id],G35:AT35,0)))/COUNTIF(G35:AT35,"&lt;&gt;"))</f>
        <v/>
      </c>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205"/>
    </row>
    <row r="36" spans="1:46" ht="60" customHeight="1" outlineLevel="1" x14ac:dyDescent="0.35">
      <c r="A36" s="201" t="s">
        <v>5347</v>
      </c>
      <c r="B36" s="187" t="s">
        <v>5358</v>
      </c>
      <c r="C36" s="187"/>
      <c r="D36" s="190" t="s">
        <v>5359</v>
      </c>
      <c r="E36" s="190"/>
      <c r="F36" s="192" t="str">
        <f>IF(COUNTIF(G36:AT36,"&lt;&gt;")=0,"",SUMPRODUCT(((Recommendations[ImplStatus]="Implemented")+(Recommendations[ImplStatus]="Compensated"))*ISNUMBER(MATCH(Recommendations[Id],G36:AT36,0)))/COUNTIF(G36:AT36,"&lt;&gt;"))</f>
        <v/>
      </c>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204"/>
    </row>
    <row r="37" spans="1:46" ht="60" customHeight="1" x14ac:dyDescent="0.35">
      <c r="A37" s="202" t="s">
        <v>5347</v>
      </c>
      <c r="B37" s="188" t="s">
        <v>5358</v>
      </c>
      <c r="C37" s="189" t="s">
        <v>5360</v>
      </c>
      <c r="D37" s="191" t="s">
        <v>5361</v>
      </c>
      <c r="E37" s="191" t="s">
        <v>5362</v>
      </c>
      <c r="F37" s="193" t="str">
        <f>IF(COUNTIF(G37:AT37,"&lt;&gt;")=0,"",SUMPRODUCT(((Recommendations[ImplStatus]="Implemented")+(Recommendations[ImplStatus]="Compensated"))*ISNUMBER(MATCH(Recommendations[Id],G37:AT37,0)))/COUNTIF(G37:AT37,"&lt;&gt;"))</f>
        <v/>
      </c>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205"/>
    </row>
    <row r="38" spans="1:46" ht="60" customHeight="1" x14ac:dyDescent="0.35">
      <c r="A38" s="202" t="s">
        <v>5347</v>
      </c>
      <c r="B38" s="188" t="s">
        <v>5358</v>
      </c>
      <c r="C38" s="189" t="s">
        <v>5363</v>
      </c>
      <c r="D38" s="191" t="s">
        <v>5364</v>
      </c>
      <c r="E38" s="191" t="s">
        <v>5365</v>
      </c>
      <c r="F38" s="193" t="str">
        <f>IF(COUNTIF(G38:AT38,"&lt;&gt;")=0,"",SUMPRODUCT(((Recommendations[ImplStatus]="Implemented")+(Recommendations[ImplStatus]="Compensated"))*ISNUMBER(MATCH(Recommendations[Id],G38:AT38,0)))/COUNTIF(G38:AT38,"&lt;&gt;"))</f>
        <v/>
      </c>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205"/>
    </row>
    <row r="39" spans="1:46" ht="60" customHeight="1" x14ac:dyDescent="0.35">
      <c r="A39" s="202" t="s">
        <v>5347</v>
      </c>
      <c r="B39" s="188" t="s">
        <v>5358</v>
      </c>
      <c r="C39" s="189" t="s">
        <v>5366</v>
      </c>
      <c r="D39" s="191" t="s">
        <v>5367</v>
      </c>
      <c r="E39" s="191" t="s">
        <v>5368</v>
      </c>
      <c r="F39" s="193" t="str">
        <f>IF(COUNTIF(G39:AT39,"&lt;&gt;")=0,"",SUMPRODUCT(((Recommendations[ImplStatus]="Implemented")+(Recommendations[ImplStatus]="Compensated"))*ISNUMBER(MATCH(Recommendations[Id],G39:AT39,0)))/COUNTIF(G39:AT39,"&lt;&gt;"))</f>
        <v/>
      </c>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205"/>
    </row>
    <row r="40" spans="1:46" ht="60" customHeight="1" x14ac:dyDescent="0.35">
      <c r="A40" s="202" t="s">
        <v>5347</v>
      </c>
      <c r="B40" s="188" t="s">
        <v>5358</v>
      </c>
      <c r="C40" s="189" t="s">
        <v>5369</v>
      </c>
      <c r="D40" s="191" t="s">
        <v>5370</v>
      </c>
      <c r="E40" s="191" t="s">
        <v>5371</v>
      </c>
      <c r="F40" s="193" t="str">
        <f>IF(COUNTIF(G40:AT40,"&lt;&gt;")=0,"",SUMPRODUCT(((Recommendations[ImplStatus]="Implemented")+(Recommendations[ImplStatus]="Compensated"))*ISNUMBER(MATCH(Recommendations[Id],G40:AT40,0)))/COUNTIF(G40:AT40,"&lt;&gt;"))</f>
        <v/>
      </c>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205"/>
    </row>
    <row r="41" spans="1:46" ht="60" customHeight="1" x14ac:dyDescent="0.35">
      <c r="A41" s="202" t="s">
        <v>5347</v>
      </c>
      <c r="B41" s="188" t="s">
        <v>5358</v>
      </c>
      <c r="C41" s="189" t="s">
        <v>5372</v>
      </c>
      <c r="D41" s="191" t="s">
        <v>5373</v>
      </c>
      <c r="E41" s="191" t="s">
        <v>5374</v>
      </c>
      <c r="F41" s="193" t="str">
        <f>IF(COUNTIF(G41:AT41,"&lt;&gt;")=0,"",SUMPRODUCT(((Recommendations[ImplStatus]="Implemented")+(Recommendations[ImplStatus]="Compensated"))*ISNUMBER(MATCH(Recommendations[Id],G41:AT41,0)))/COUNTIF(G41:AT41,"&lt;&gt;"))</f>
        <v/>
      </c>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205"/>
    </row>
    <row r="42" spans="1:46" ht="60" customHeight="1" x14ac:dyDescent="0.35">
      <c r="A42" s="202" t="s">
        <v>5347</v>
      </c>
      <c r="B42" s="188" t="s">
        <v>5358</v>
      </c>
      <c r="C42" s="189" t="s">
        <v>5375</v>
      </c>
      <c r="D42" s="191" t="s">
        <v>5376</v>
      </c>
      <c r="E42" s="191" t="s">
        <v>5377</v>
      </c>
      <c r="F42" s="193" t="str">
        <f>IF(COUNTIF(G42:AT42,"&lt;&gt;")=0,"",SUMPRODUCT(((Recommendations[ImplStatus]="Implemented")+(Recommendations[ImplStatus]="Compensated"))*ISNUMBER(MATCH(Recommendations[Id],G42:AT42,0)))/COUNTIF(G42:AT42,"&lt;&gt;"))</f>
        <v/>
      </c>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5"/>
      <c r="AP42" s="195"/>
      <c r="AQ42" s="195"/>
      <c r="AR42" s="195"/>
      <c r="AS42" s="195"/>
      <c r="AT42" s="205"/>
    </row>
    <row r="43" spans="1:46" ht="60" customHeight="1" x14ac:dyDescent="0.35">
      <c r="A43" s="202" t="s">
        <v>5347</v>
      </c>
      <c r="B43" s="188" t="s">
        <v>5358</v>
      </c>
      <c r="C43" s="189" t="s">
        <v>5378</v>
      </c>
      <c r="D43" s="191" t="s">
        <v>5379</v>
      </c>
      <c r="E43" s="191" t="s">
        <v>5380</v>
      </c>
      <c r="F43" s="193" t="str">
        <f>IF(COUNTIF(G43:AT43,"&lt;&gt;")=0,"",SUMPRODUCT(((Recommendations[ImplStatus]="Implemented")+(Recommendations[ImplStatus]="Compensated"))*ISNUMBER(MATCH(Recommendations[Id],G43:AT43,0)))/COUNTIF(G43:AT43,"&lt;&gt;"))</f>
        <v/>
      </c>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5"/>
      <c r="AR43" s="195"/>
      <c r="AS43" s="195"/>
      <c r="AT43" s="205"/>
    </row>
    <row r="44" spans="1:46" ht="60" customHeight="1" x14ac:dyDescent="0.35">
      <c r="A44" s="202" t="s">
        <v>5347</v>
      </c>
      <c r="B44" s="188" t="s">
        <v>5358</v>
      </c>
      <c r="C44" s="189" t="s">
        <v>5381</v>
      </c>
      <c r="D44" s="191" t="s">
        <v>5382</v>
      </c>
      <c r="E44" s="191" t="s">
        <v>5383</v>
      </c>
      <c r="F44" s="193" t="str">
        <f>IF(COUNTIF(G44:AT44,"&lt;&gt;")=0,"",SUMPRODUCT(((Recommendations[ImplStatus]="Implemented")+(Recommendations[ImplStatus]="Compensated"))*ISNUMBER(MATCH(Recommendations[Id],G44:AT44,0)))/COUNTIF(G44:AT44,"&lt;&gt;"))</f>
        <v/>
      </c>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205"/>
    </row>
    <row r="45" spans="1:46" ht="60" customHeight="1" x14ac:dyDescent="0.35">
      <c r="A45" s="202" t="s">
        <v>5347</v>
      </c>
      <c r="B45" s="188" t="s">
        <v>5358</v>
      </c>
      <c r="C45" s="189" t="s">
        <v>5384</v>
      </c>
      <c r="D45" s="191" t="s">
        <v>5385</v>
      </c>
      <c r="E45" s="191" t="s">
        <v>5386</v>
      </c>
      <c r="F45" s="193" t="str">
        <f>IF(COUNTIF(G45:AT45,"&lt;&gt;")=0,"",SUMPRODUCT(((Recommendations[ImplStatus]="Implemented")+(Recommendations[ImplStatus]="Compensated"))*ISNUMBER(MATCH(Recommendations[Id],G45:AT45,0)))/COUNTIF(G45:AT45,"&lt;&gt;"))</f>
        <v/>
      </c>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205"/>
    </row>
    <row r="46" spans="1:46" ht="60" customHeight="1" x14ac:dyDescent="0.35">
      <c r="A46" s="202" t="s">
        <v>5347</v>
      </c>
      <c r="B46" s="188" t="s">
        <v>5358</v>
      </c>
      <c r="C46" s="189" t="s">
        <v>5387</v>
      </c>
      <c r="D46" s="191" t="s">
        <v>5388</v>
      </c>
      <c r="E46" s="191" t="s">
        <v>5389</v>
      </c>
      <c r="F46" s="193" t="str">
        <f>IF(COUNTIF(G46:AT46,"&lt;&gt;")=0,"",SUMPRODUCT(((Recommendations[ImplStatus]="Implemented")+(Recommendations[ImplStatus]="Compensated"))*ISNUMBER(MATCH(Recommendations[Id],G46:AT46,0)))/COUNTIF(G46:AT46,"&lt;&gt;"))</f>
        <v/>
      </c>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5"/>
      <c r="AO46" s="195"/>
      <c r="AP46" s="195"/>
      <c r="AQ46" s="195"/>
      <c r="AR46" s="195"/>
      <c r="AS46" s="195"/>
      <c r="AT46" s="205"/>
    </row>
    <row r="47" spans="1:46" ht="60" customHeight="1" x14ac:dyDescent="0.35">
      <c r="A47" s="202" t="s">
        <v>5347</v>
      </c>
      <c r="B47" s="188" t="s">
        <v>5358</v>
      </c>
      <c r="C47" s="189" t="s">
        <v>5390</v>
      </c>
      <c r="D47" s="191" t="s">
        <v>5391</v>
      </c>
      <c r="E47" s="191" t="s">
        <v>5392</v>
      </c>
      <c r="F47" s="193" t="str">
        <f>IF(COUNTIF(G47:AT47,"&lt;&gt;")=0,"",SUMPRODUCT(((Recommendations[ImplStatus]="Implemented")+(Recommendations[ImplStatus]="Compensated"))*ISNUMBER(MATCH(Recommendations[Id],G47:AT47,0)))/COUNTIF(G47:AT47,"&lt;&gt;"))</f>
        <v/>
      </c>
      <c r="G47" s="195"/>
      <c r="H47" s="195"/>
      <c r="I47" s="195"/>
      <c r="J47" s="195"/>
      <c r="K47" s="195"/>
      <c r="L47" s="195"/>
      <c r="M47" s="195"/>
      <c r="N47" s="195"/>
      <c r="O47" s="195"/>
      <c r="P47" s="195"/>
      <c r="Q47" s="195"/>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c r="AR47" s="195"/>
      <c r="AS47" s="195"/>
      <c r="AT47" s="205"/>
    </row>
    <row r="48" spans="1:46" ht="60" customHeight="1" x14ac:dyDescent="0.35">
      <c r="A48" s="202" t="s">
        <v>5347</v>
      </c>
      <c r="B48" s="188" t="s">
        <v>5358</v>
      </c>
      <c r="C48" s="189" t="s">
        <v>5393</v>
      </c>
      <c r="D48" s="191" t="s">
        <v>5394</v>
      </c>
      <c r="E48" s="191" t="s">
        <v>5395</v>
      </c>
      <c r="F48" s="193" t="str">
        <f>IF(COUNTIF(G48:AT48,"&lt;&gt;")=0,"",SUMPRODUCT(((Recommendations[ImplStatus]="Implemented")+(Recommendations[ImplStatus]="Compensated"))*ISNUMBER(MATCH(Recommendations[Id],G48:AT48,0)))/COUNTIF(G48:AT48,"&lt;&gt;"))</f>
        <v/>
      </c>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205"/>
    </row>
    <row r="49" spans="1:46" ht="60" customHeight="1" x14ac:dyDescent="0.35">
      <c r="A49" s="202" t="s">
        <v>5347</v>
      </c>
      <c r="B49" s="188" t="s">
        <v>5358</v>
      </c>
      <c r="C49" s="189" t="s">
        <v>5396</v>
      </c>
      <c r="D49" s="191" t="s">
        <v>5397</v>
      </c>
      <c r="E49" s="191" t="s">
        <v>5398</v>
      </c>
      <c r="F49" s="193" t="str">
        <f>IF(COUNTIF(G49:AT49,"&lt;&gt;")=0,"",SUMPRODUCT(((Recommendations[ImplStatus]="Implemented")+(Recommendations[ImplStatus]="Compensated"))*ISNUMBER(MATCH(Recommendations[Id],G49:AT49,0)))/COUNTIF(G49:AT49,"&lt;&gt;"))</f>
        <v/>
      </c>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205"/>
    </row>
    <row r="50" spans="1:46" ht="60" customHeight="1" x14ac:dyDescent="0.35">
      <c r="A50" s="202" t="s">
        <v>5347</v>
      </c>
      <c r="B50" s="188" t="s">
        <v>5358</v>
      </c>
      <c r="C50" s="189" t="s">
        <v>5399</v>
      </c>
      <c r="D50" s="191" t="s">
        <v>5400</v>
      </c>
      <c r="E50" s="191" t="s">
        <v>5401</v>
      </c>
      <c r="F50" s="193" t="str">
        <f>IF(COUNTIF(G50:AT50,"&lt;&gt;")=0,"",SUMPRODUCT(((Recommendations[ImplStatus]="Implemented")+(Recommendations[ImplStatus]="Compensated"))*ISNUMBER(MATCH(Recommendations[Id],G50:AT50,0)))/COUNTIF(G50:AT50,"&lt;&gt;"))</f>
        <v/>
      </c>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205"/>
    </row>
    <row r="51" spans="1:46" ht="60" customHeight="1" outlineLevel="1" x14ac:dyDescent="0.35">
      <c r="A51" s="201" t="s">
        <v>5347</v>
      </c>
      <c r="B51" s="187" t="s">
        <v>5402</v>
      </c>
      <c r="C51" s="187"/>
      <c r="D51" s="190" t="s">
        <v>5403</v>
      </c>
      <c r="E51" s="190"/>
      <c r="F51" s="192" t="str">
        <f>IF(COUNTIF(G51:AT51,"&lt;&gt;")=0,"",SUMPRODUCT(((Recommendations[ImplStatus]="Implemented")+(Recommendations[ImplStatus]="Compensated"))*ISNUMBER(MATCH(Recommendations[Id],G51:AT51,0)))/COUNTIF(G51:AT51,"&lt;&gt;"))</f>
        <v/>
      </c>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194"/>
      <c r="AT51" s="204"/>
    </row>
    <row r="52" spans="1:46" ht="60" customHeight="1" x14ac:dyDescent="0.35">
      <c r="A52" s="202" t="s">
        <v>5347</v>
      </c>
      <c r="B52" s="188" t="s">
        <v>5402</v>
      </c>
      <c r="C52" s="189" t="s">
        <v>5404</v>
      </c>
      <c r="D52" s="191" t="s">
        <v>5405</v>
      </c>
      <c r="E52" s="191" t="s">
        <v>5406</v>
      </c>
      <c r="F52" s="193">
        <f>IF(COUNTIF(G52:AT52,"&lt;&gt;")=0,"",SUMPRODUCT(((Recommendations[ImplStatus]="Implemented")+(Recommendations[ImplStatus]="Compensated"))*ISNUMBER(MATCH(Recommendations[Id],G52:AT52,0)))/COUNTIF(G52:AT52,"&lt;&gt;"))</f>
        <v>0</v>
      </c>
      <c r="G52" s="195" t="s">
        <v>2160</v>
      </c>
      <c r="H52" s="195" t="s">
        <v>2168</v>
      </c>
      <c r="I52" s="195" t="s">
        <v>2204</v>
      </c>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c r="AO52" s="195"/>
      <c r="AP52" s="195"/>
      <c r="AQ52" s="195"/>
      <c r="AR52" s="195"/>
      <c r="AS52" s="195"/>
      <c r="AT52" s="205"/>
    </row>
    <row r="53" spans="1:46" ht="60" customHeight="1" x14ac:dyDescent="0.35">
      <c r="A53" s="202" t="s">
        <v>5347</v>
      </c>
      <c r="B53" s="188" t="s">
        <v>5402</v>
      </c>
      <c r="C53" s="189" t="s">
        <v>5407</v>
      </c>
      <c r="D53" s="191" t="s">
        <v>5408</v>
      </c>
      <c r="E53" s="191" t="s">
        <v>5409</v>
      </c>
      <c r="F53" s="193">
        <f>IF(COUNTIF(G53:AT53,"&lt;&gt;")=0,"",SUMPRODUCT(((Recommendations[ImplStatus]="Implemented")+(Recommendations[ImplStatus]="Compensated"))*ISNUMBER(MATCH(Recommendations[Id],G53:AT53,0)))/COUNTIF(G53:AT53,"&lt;&gt;"))</f>
        <v>0</v>
      </c>
      <c r="G53" s="195" t="s">
        <v>2160</v>
      </c>
      <c r="H53" s="195" t="s">
        <v>2168</v>
      </c>
      <c r="I53" s="195" t="s">
        <v>2204</v>
      </c>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205"/>
    </row>
    <row r="54" spans="1:46" ht="60" customHeight="1" x14ac:dyDescent="0.35">
      <c r="A54" s="202" t="s">
        <v>5347</v>
      </c>
      <c r="B54" s="188" t="s">
        <v>5402</v>
      </c>
      <c r="C54" s="189" t="s">
        <v>5410</v>
      </c>
      <c r="D54" s="191" t="s">
        <v>5411</v>
      </c>
      <c r="E54" s="191" t="s">
        <v>5412</v>
      </c>
      <c r="F54" s="193">
        <f>IF(COUNTIF(G54:AT54,"&lt;&gt;")=0,"",SUMPRODUCT(((Recommendations[ImplStatus]="Implemented")+(Recommendations[ImplStatus]="Compensated"))*ISNUMBER(MATCH(Recommendations[Id],G54:AT54,0)))/COUNTIF(G54:AT54,"&lt;&gt;"))</f>
        <v>0</v>
      </c>
      <c r="G54" s="195" t="s">
        <v>59</v>
      </c>
      <c r="H54" s="195" t="s">
        <v>65</v>
      </c>
      <c r="I54" s="195" t="s">
        <v>610</v>
      </c>
      <c r="J54" s="195" t="s">
        <v>1286</v>
      </c>
      <c r="K54" s="195" t="s">
        <v>2277</v>
      </c>
      <c r="L54" s="195" t="s">
        <v>2336</v>
      </c>
      <c r="M54" s="195" t="s">
        <v>2341</v>
      </c>
      <c r="N54" s="195"/>
      <c r="O54" s="195"/>
      <c r="P54" s="195"/>
      <c r="Q54" s="195"/>
      <c r="R54" s="195"/>
      <c r="S54" s="195"/>
      <c r="T54" s="195"/>
      <c r="U54" s="195"/>
      <c r="V54" s="195"/>
      <c r="W54" s="195"/>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205"/>
    </row>
    <row r="55" spans="1:46" ht="60" customHeight="1" x14ac:dyDescent="0.35">
      <c r="A55" s="202" t="s">
        <v>5347</v>
      </c>
      <c r="B55" s="188" t="s">
        <v>5402</v>
      </c>
      <c r="C55" s="189" t="s">
        <v>5413</v>
      </c>
      <c r="D55" s="191" t="s">
        <v>5414</v>
      </c>
      <c r="E55" s="191" t="s">
        <v>5415</v>
      </c>
      <c r="F55" s="193" t="str">
        <f>IF(COUNTIF(G55:AT55,"&lt;&gt;")=0,"",SUMPRODUCT(((Recommendations[ImplStatus]="Implemented")+(Recommendations[ImplStatus]="Compensated"))*ISNUMBER(MATCH(Recommendations[Id],G55:AT55,0)))/COUNTIF(G55:AT55,"&lt;&gt;"))</f>
        <v/>
      </c>
      <c r="G55" s="195"/>
      <c r="H55" s="195"/>
      <c r="I55" s="195"/>
      <c r="J55" s="195"/>
      <c r="K55" s="195"/>
      <c r="L55" s="195"/>
      <c r="M55" s="195"/>
      <c r="N55" s="195"/>
      <c r="O55" s="195"/>
      <c r="P55" s="195"/>
      <c r="Q55" s="195"/>
      <c r="R55" s="195"/>
      <c r="S55" s="195"/>
      <c r="T55" s="195"/>
      <c r="U55" s="195"/>
      <c r="V55" s="195"/>
      <c r="W55" s="195"/>
      <c r="X55" s="195"/>
      <c r="Y55" s="195"/>
      <c r="Z55" s="195"/>
      <c r="AA55" s="195"/>
      <c r="AB55" s="195"/>
      <c r="AC55" s="195"/>
      <c r="AD55" s="195"/>
      <c r="AE55" s="195"/>
      <c r="AF55" s="195"/>
      <c r="AG55" s="195"/>
      <c r="AH55" s="195"/>
      <c r="AI55" s="195"/>
      <c r="AJ55" s="195"/>
      <c r="AK55" s="195"/>
      <c r="AL55" s="195"/>
      <c r="AM55" s="195"/>
      <c r="AN55" s="195"/>
      <c r="AO55" s="195"/>
      <c r="AP55" s="195"/>
      <c r="AQ55" s="195"/>
      <c r="AR55" s="195"/>
      <c r="AS55" s="195"/>
      <c r="AT55" s="205"/>
    </row>
    <row r="56" spans="1:46" ht="60" customHeight="1" x14ac:dyDescent="0.35">
      <c r="A56" s="202" t="s">
        <v>5347</v>
      </c>
      <c r="B56" s="188" t="s">
        <v>5402</v>
      </c>
      <c r="C56" s="189" t="s">
        <v>5416</v>
      </c>
      <c r="D56" s="191" t="s">
        <v>5417</v>
      </c>
      <c r="E56" s="191" t="s">
        <v>5418</v>
      </c>
      <c r="F56" s="193" t="str">
        <f>IF(COUNTIF(G56:AT56,"&lt;&gt;")=0,"",SUMPRODUCT(((Recommendations[ImplStatus]="Implemented")+(Recommendations[ImplStatus]="Compensated"))*ISNUMBER(MATCH(Recommendations[Id],G56:AT56,0)))/COUNTIF(G56:AT56,"&lt;&gt;"))</f>
        <v/>
      </c>
      <c r="G56" s="195"/>
      <c r="H56" s="195"/>
      <c r="I56" s="195"/>
      <c r="J56" s="195"/>
      <c r="K56" s="195"/>
      <c r="L56" s="195"/>
      <c r="M56" s="195"/>
      <c r="N56" s="195"/>
      <c r="O56" s="195"/>
      <c r="P56" s="195"/>
      <c r="Q56" s="195"/>
      <c r="R56" s="195"/>
      <c r="S56" s="195"/>
      <c r="T56" s="195"/>
      <c r="U56" s="195"/>
      <c r="V56" s="195"/>
      <c r="W56" s="195"/>
      <c r="X56" s="195"/>
      <c r="Y56" s="195"/>
      <c r="Z56" s="195"/>
      <c r="AA56" s="195"/>
      <c r="AB56" s="195"/>
      <c r="AC56" s="195"/>
      <c r="AD56" s="195"/>
      <c r="AE56" s="195"/>
      <c r="AF56" s="195"/>
      <c r="AG56" s="195"/>
      <c r="AH56" s="195"/>
      <c r="AI56" s="195"/>
      <c r="AJ56" s="195"/>
      <c r="AK56" s="195"/>
      <c r="AL56" s="195"/>
      <c r="AM56" s="195"/>
      <c r="AN56" s="195"/>
      <c r="AO56" s="195"/>
      <c r="AP56" s="195"/>
      <c r="AQ56" s="195"/>
      <c r="AR56" s="195"/>
      <c r="AS56" s="195"/>
      <c r="AT56" s="205"/>
    </row>
    <row r="57" spans="1:46" ht="60" customHeight="1" x14ac:dyDescent="0.35">
      <c r="A57" s="202" t="s">
        <v>5347</v>
      </c>
      <c r="B57" s="188" t="s">
        <v>5402</v>
      </c>
      <c r="C57" s="189" t="s">
        <v>5419</v>
      </c>
      <c r="D57" s="191" t="s">
        <v>5420</v>
      </c>
      <c r="E57" s="191" t="s">
        <v>5421</v>
      </c>
      <c r="F57" s="193" t="str">
        <f>IF(COUNTIF(G57:AT57,"&lt;&gt;")=0,"",SUMPRODUCT(((Recommendations[ImplStatus]="Implemented")+(Recommendations[ImplStatus]="Compensated"))*ISNUMBER(MATCH(Recommendations[Id],G57:AT57,0)))/COUNTIF(G57:AT57,"&lt;&gt;"))</f>
        <v/>
      </c>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5"/>
      <c r="AK57" s="195"/>
      <c r="AL57" s="195"/>
      <c r="AM57" s="195"/>
      <c r="AN57" s="195"/>
      <c r="AO57" s="195"/>
      <c r="AP57" s="195"/>
      <c r="AQ57" s="195"/>
      <c r="AR57" s="195"/>
      <c r="AS57" s="195"/>
      <c r="AT57" s="205"/>
    </row>
    <row r="58" spans="1:46" ht="60" customHeight="1" x14ac:dyDescent="0.35">
      <c r="A58" s="202" t="s">
        <v>5347</v>
      </c>
      <c r="B58" s="188" t="s">
        <v>5402</v>
      </c>
      <c r="C58" s="189" t="s">
        <v>5422</v>
      </c>
      <c r="D58" s="191" t="s">
        <v>5423</v>
      </c>
      <c r="E58" s="191" t="s">
        <v>5424</v>
      </c>
      <c r="F58" s="193" t="str">
        <f>IF(COUNTIF(G58:AT58,"&lt;&gt;")=0,"",SUMPRODUCT(((Recommendations[ImplStatus]="Implemented")+(Recommendations[ImplStatus]="Compensated"))*ISNUMBER(MATCH(Recommendations[Id],G58:AT58,0)))/COUNTIF(G58:AT58,"&lt;&gt;"))</f>
        <v/>
      </c>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95"/>
      <c r="AQ58" s="195"/>
      <c r="AR58" s="195"/>
      <c r="AS58" s="195"/>
      <c r="AT58" s="205"/>
    </row>
    <row r="59" spans="1:46" ht="60" customHeight="1" x14ac:dyDescent="0.35">
      <c r="A59" s="202" t="s">
        <v>5347</v>
      </c>
      <c r="B59" s="188" t="s">
        <v>5402</v>
      </c>
      <c r="C59" s="189" t="s">
        <v>5425</v>
      </c>
      <c r="D59" s="191" t="s">
        <v>5426</v>
      </c>
      <c r="E59" s="191" t="s">
        <v>5427</v>
      </c>
      <c r="F59" s="193" t="str">
        <f>IF(COUNTIF(G59:AT59,"&lt;&gt;")=0,"",SUMPRODUCT(((Recommendations[ImplStatus]="Implemented")+(Recommendations[ImplStatus]="Compensated"))*ISNUMBER(MATCH(Recommendations[Id],G59:AT59,0)))/COUNTIF(G59:AT59,"&lt;&gt;"))</f>
        <v/>
      </c>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205"/>
    </row>
    <row r="60" spans="1:46" ht="60" customHeight="1" x14ac:dyDescent="0.35">
      <c r="A60" s="202" t="s">
        <v>5347</v>
      </c>
      <c r="B60" s="188" t="s">
        <v>5428</v>
      </c>
      <c r="C60" s="189" t="s">
        <v>5429</v>
      </c>
      <c r="D60" s="191" t="s">
        <v>5430</v>
      </c>
      <c r="E60" s="191" t="s">
        <v>5431</v>
      </c>
      <c r="F60" s="193" t="str">
        <f>IF(COUNTIF(G60:AT60,"&lt;&gt;")=0,"",SUMPRODUCT(((Recommendations[ImplStatus]="Implemented")+(Recommendations[ImplStatus]="Compensated"))*ISNUMBER(MATCH(Recommendations[Id],G60:AT60,0)))/COUNTIF(G60:AT60,"&lt;&gt;"))</f>
        <v/>
      </c>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205"/>
    </row>
    <row r="61" spans="1:46" ht="60" customHeight="1" x14ac:dyDescent="0.35">
      <c r="A61" s="202" t="s">
        <v>5347</v>
      </c>
      <c r="B61" s="188" t="s">
        <v>5428</v>
      </c>
      <c r="C61" s="189" t="s">
        <v>5432</v>
      </c>
      <c r="D61" s="191" t="s">
        <v>5433</v>
      </c>
      <c r="E61" s="191" t="s">
        <v>5434</v>
      </c>
      <c r="F61" s="193" t="str">
        <f>IF(COUNTIF(G61:AT61,"&lt;&gt;")=0,"",SUMPRODUCT(((Recommendations[ImplStatus]="Implemented")+(Recommendations[ImplStatus]="Compensated"))*ISNUMBER(MATCH(Recommendations[Id],G61:AT61,0)))/COUNTIF(G61:AT61,"&lt;&gt;"))</f>
        <v/>
      </c>
      <c r="G61" s="195"/>
      <c r="H61" s="195"/>
      <c r="I61" s="195"/>
      <c r="J61" s="195"/>
      <c r="K61" s="195"/>
      <c r="L61" s="195"/>
      <c r="M61" s="195"/>
      <c r="N61" s="195"/>
      <c r="O61" s="195"/>
      <c r="P61" s="195"/>
      <c r="Q61" s="195"/>
      <c r="R61" s="195"/>
      <c r="S61" s="195"/>
      <c r="T61" s="195"/>
      <c r="U61" s="195"/>
      <c r="V61" s="195"/>
      <c r="W61" s="195"/>
      <c r="X61" s="195"/>
      <c r="Y61" s="195"/>
      <c r="Z61" s="195"/>
      <c r="AA61" s="195"/>
      <c r="AB61" s="195"/>
      <c r="AC61" s="195"/>
      <c r="AD61" s="195"/>
      <c r="AE61" s="195"/>
      <c r="AF61" s="195"/>
      <c r="AG61" s="195"/>
      <c r="AH61" s="195"/>
      <c r="AI61" s="195"/>
      <c r="AJ61" s="195"/>
      <c r="AK61" s="195"/>
      <c r="AL61" s="195"/>
      <c r="AM61" s="195"/>
      <c r="AN61" s="195"/>
      <c r="AO61" s="195"/>
      <c r="AP61" s="195"/>
      <c r="AQ61" s="195"/>
      <c r="AR61" s="195"/>
      <c r="AS61" s="195"/>
      <c r="AT61" s="205"/>
    </row>
    <row r="62" spans="1:46" ht="60" customHeight="1" outlineLevel="1" x14ac:dyDescent="0.35">
      <c r="A62" s="201" t="s">
        <v>5347</v>
      </c>
      <c r="B62" s="187" t="s">
        <v>5435</v>
      </c>
      <c r="C62" s="187"/>
      <c r="D62" s="190" t="s">
        <v>5436</v>
      </c>
      <c r="E62" s="190"/>
      <c r="F62" s="192" t="str">
        <f>IF(COUNTIF(G62:AT62,"&lt;&gt;")=0,"",SUMPRODUCT(((Recommendations[ImplStatus]="Implemented")+(Recommendations[ImplStatus]="Compensated"))*ISNUMBER(MATCH(Recommendations[Id],G62:AT62,0)))/COUNTIF(G62:AT62,"&lt;&gt;"))</f>
        <v/>
      </c>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204"/>
    </row>
    <row r="63" spans="1:46" ht="60" customHeight="1" x14ac:dyDescent="0.35">
      <c r="A63" s="202" t="s">
        <v>5347</v>
      </c>
      <c r="B63" s="188" t="s">
        <v>5435</v>
      </c>
      <c r="C63" s="189" t="s">
        <v>5437</v>
      </c>
      <c r="D63" s="191" t="s">
        <v>5438</v>
      </c>
      <c r="E63" s="191" t="s">
        <v>5439</v>
      </c>
      <c r="F63" s="193">
        <f>IF(COUNTIF(G63:AT63,"&lt;&gt;")=0,"",SUMPRODUCT(((Recommendations[ImplStatus]="Implemented")+(Recommendations[ImplStatus]="Compensated"))*ISNUMBER(MATCH(Recommendations[Id],G63:AT63,0)))/COUNTIF(G63:AT63,"&lt;&gt;"))</f>
        <v>0</v>
      </c>
      <c r="G63" s="195" t="s">
        <v>2093</v>
      </c>
      <c r="H63" s="195" t="s">
        <v>2100</v>
      </c>
      <c r="I63" s="195"/>
      <c r="J63" s="195"/>
      <c r="K63" s="195"/>
      <c r="L63" s="195"/>
      <c r="M63" s="195"/>
      <c r="N63" s="195"/>
      <c r="O63" s="195"/>
      <c r="P63" s="195"/>
      <c r="Q63" s="195"/>
      <c r="R63" s="195"/>
      <c r="S63" s="195"/>
      <c r="T63" s="195"/>
      <c r="U63" s="195"/>
      <c r="V63" s="195"/>
      <c r="W63" s="195"/>
      <c r="X63" s="195"/>
      <c r="Y63" s="195"/>
      <c r="Z63" s="195"/>
      <c r="AA63" s="195"/>
      <c r="AB63" s="195"/>
      <c r="AC63" s="195"/>
      <c r="AD63" s="195"/>
      <c r="AE63" s="195"/>
      <c r="AF63" s="195"/>
      <c r="AG63" s="195"/>
      <c r="AH63" s="195"/>
      <c r="AI63" s="195"/>
      <c r="AJ63" s="195"/>
      <c r="AK63" s="195"/>
      <c r="AL63" s="195"/>
      <c r="AM63" s="195"/>
      <c r="AN63" s="195"/>
      <c r="AO63" s="195"/>
      <c r="AP63" s="195"/>
      <c r="AQ63" s="195"/>
      <c r="AR63" s="195"/>
      <c r="AS63" s="195"/>
      <c r="AT63" s="205"/>
    </row>
    <row r="64" spans="1:46" ht="60" customHeight="1" x14ac:dyDescent="0.35">
      <c r="A64" s="202" t="s">
        <v>5347</v>
      </c>
      <c r="B64" s="188" t="s">
        <v>5435</v>
      </c>
      <c r="C64" s="189" t="s">
        <v>5440</v>
      </c>
      <c r="D64" s="191" t="s">
        <v>5441</v>
      </c>
      <c r="E64" s="191" t="s">
        <v>5442</v>
      </c>
      <c r="F64" s="193">
        <f>IF(COUNTIF(G64:AT64,"&lt;&gt;")=0,"",SUMPRODUCT(((Recommendations[ImplStatus]="Implemented")+(Recommendations[ImplStatus]="Compensated"))*ISNUMBER(MATCH(Recommendations[Id],G64:AT64,0)))/COUNTIF(G64:AT64,"&lt;&gt;"))</f>
        <v>0</v>
      </c>
      <c r="G64" s="195" t="s">
        <v>354</v>
      </c>
      <c r="H64" s="195" t="s">
        <v>363</v>
      </c>
      <c r="I64" s="195" t="s">
        <v>2366</v>
      </c>
      <c r="J64" s="195" t="s">
        <v>2373</v>
      </c>
      <c r="K64" s="195" t="s">
        <v>2454</v>
      </c>
      <c r="L64" s="195" t="s">
        <v>2461</v>
      </c>
      <c r="M64" s="195" t="s">
        <v>2468</v>
      </c>
      <c r="N64" s="195" t="s">
        <v>2472</v>
      </c>
      <c r="O64" s="195" t="s">
        <v>2476</v>
      </c>
      <c r="P64" s="195" t="s">
        <v>2483</v>
      </c>
      <c r="Q64" s="195" t="s">
        <v>2490</v>
      </c>
      <c r="R64" s="195"/>
      <c r="S64" s="195"/>
      <c r="T64" s="195"/>
      <c r="U64" s="195"/>
      <c r="V64" s="195"/>
      <c r="W64" s="195"/>
      <c r="X64" s="195"/>
      <c r="Y64" s="195"/>
      <c r="Z64" s="195"/>
      <c r="AA64" s="195"/>
      <c r="AB64" s="195"/>
      <c r="AC64" s="195"/>
      <c r="AD64" s="195"/>
      <c r="AE64" s="195"/>
      <c r="AF64" s="195"/>
      <c r="AG64" s="195"/>
      <c r="AH64" s="195"/>
      <c r="AI64" s="195"/>
      <c r="AJ64" s="195"/>
      <c r="AK64" s="195"/>
      <c r="AL64" s="195"/>
      <c r="AM64" s="195"/>
      <c r="AN64" s="195"/>
      <c r="AO64" s="195"/>
      <c r="AP64" s="195"/>
      <c r="AQ64" s="195"/>
      <c r="AR64" s="195"/>
      <c r="AS64" s="195"/>
      <c r="AT64" s="205"/>
    </row>
    <row r="65" spans="1:46" ht="60" customHeight="1" x14ac:dyDescent="0.35">
      <c r="A65" s="202" t="s">
        <v>5347</v>
      </c>
      <c r="B65" s="188" t="s">
        <v>5435</v>
      </c>
      <c r="C65" s="189" t="s">
        <v>5443</v>
      </c>
      <c r="D65" s="191" t="s">
        <v>5444</v>
      </c>
      <c r="E65" s="191" t="s">
        <v>5445</v>
      </c>
      <c r="F65" s="193" t="str">
        <f>IF(COUNTIF(G65:AT65,"&lt;&gt;")=0,"",SUMPRODUCT(((Recommendations[ImplStatus]="Implemented")+(Recommendations[ImplStatus]="Compensated"))*ISNUMBER(MATCH(Recommendations[Id],G65:AT65,0)))/COUNTIF(G65:AT65,"&lt;&gt;"))</f>
        <v/>
      </c>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205"/>
    </row>
    <row r="66" spans="1:46" ht="60" customHeight="1" x14ac:dyDescent="0.35">
      <c r="A66" s="202" t="s">
        <v>5347</v>
      </c>
      <c r="B66" s="188" t="s">
        <v>5435</v>
      </c>
      <c r="C66" s="189" t="s">
        <v>5446</v>
      </c>
      <c r="D66" s="191" t="s">
        <v>5447</v>
      </c>
      <c r="E66" s="191" t="s">
        <v>5448</v>
      </c>
      <c r="F66" s="193" t="str">
        <f>IF(COUNTIF(G66:AT66,"&lt;&gt;")=0,"",SUMPRODUCT(((Recommendations[ImplStatus]="Implemented")+(Recommendations[ImplStatus]="Compensated"))*ISNUMBER(MATCH(Recommendations[Id],G66:AT66,0)))/COUNTIF(G66:AT66,"&lt;&gt;"))</f>
        <v/>
      </c>
      <c r="G66" s="195"/>
      <c r="H66" s="195"/>
      <c r="I66" s="195"/>
      <c r="J66" s="195"/>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5"/>
      <c r="AI66" s="195"/>
      <c r="AJ66" s="195"/>
      <c r="AK66" s="195"/>
      <c r="AL66" s="195"/>
      <c r="AM66" s="195"/>
      <c r="AN66" s="195"/>
      <c r="AO66" s="195"/>
      <c r="AP66" s="195"/>
      <c r="AQ66" s="195"/>
      <c r="AR66" s="195"/>
      <c r="AS66" s="195"/>
      <c r="AT66" s="205"/>
    </row>
    <row r="67" spans="1:46" ht="60" customHeight="1" x14ac:dyDescent="0.35">
      <c r="A67" s="202" t="s">
        <v>5347</v>
      </c>
      <c r="B67" s="188" t="s">
        <v>5435</v>
      </c>
      <c r="C67" s="189" t="s">
        <v>5449</v>
      </c>
      <c r="D67" s="191" t="s">
        <v>5450</v>
      </c>
      <c r="E67" s="191" t="s">
        <v>5451</v>
      </c>
      <c r="F67" s="193" t="str">
        <f>IF(COUNTIF(G67:AT67,"&lt;&gt;")=0,"",SUMPRODUCT(((Recommendations[ImplStatus]="Implemented")+(Recommendations[ImplStatus]="Compensated"))*ISNUMBER(MATCH(Recommendations[Id],G67:AT67,0)))/COUNTIF(G67:AT67,"&lt;&gt;"))</f>
        <v/>
      </c>
      <c r="G67" s="195"/>
      <c r="H67" s="195"/>
      <c r="I67" s="195"/>
      <c r="J67" s="195"/>
      <c r="K67" s="195"/>
      <c r="L67" s="195"/>
      <c r="M67" s="195"/>
      <c r="N67" s="195"/>
      <c r="O67" s="195"/>
      <c r="P67" s="195"/>
      <c r="Q67" s="195"/>
      <c r="R67" s="195"/>
      <c r="S67" s="195"/>
      <c r="T67" s="195"/>
      <c r="U67" s="195"/>
      <c r="V67" s="195"/>
      <c r="W67" s="195"/>
      <c r="X67" s="195"/>
      <c r="Y67" s="195"/>
      <c r="Z67" s="195"/>
      <c r="AA67" s="195"/>
      <c r="AB67" s="195"/>
      <c r="AC67" s="195"/>
      <c r="AD67" s="195"/>
      <c r="AE67" s="195"/>
      <c r="AF67" s="195"/>
      <c r="AG67" s="195"/>
      <c r="AH67" s="195"/>
      <c r="AI67" s="195"/>
      <c r="AJ67" s="195"/>
      <c r="AK67" s="195"/>
      <c r="AL67" s="195"/>
      <c r="AM67" s="195"/>
      <c r="AN67" s="195"/>
      <c r="AO67" s="195"/>
      <c r="AP67" s="195"/>
      <c r="AQ67" s="195"/>
      <c r="AR67" s="195"/>
      <c r="AS67" s="195"/>
      <c r="AT67" s="205"/>
    </row>
    <row r="68" spans="1:46" ht="60" customHeight="1" x14ac:dyDescent="0.35">
      <c r="A68" s="202" t="s">
        <v>5347</v>
      </c>
      <c r="B68" s="188" t="s">
        <v>5435</v>
      </c>
      <c r="C68" s="189" t="s">
        <v>5452</v>
      </c>
      <c r="D68" s="191" t="s">
        <v>5453</v>
      </c>
      <c r="E68" s="191" t="s">
        <v>5454</v>
      </c>
      <c r="F68" s="193" t="str">
        <f>IF(COUNTIF(G68:AT68,"&lt;&gt;")=0,"",SUMPRODUCT(((Recommendations[ImplStatus]="Implemented")+(Recommendations[ImplStatus]="Compensated"))*ISNUMBER(MATCH(Recommendations[Id],G68:AT68,0)))/COUNTIF(G68:AT68,"&lt;&gt;"))</f>
        <v/>
      </c>
      <c r="G68" s="195"/>
      <c r="H68" s="195"/>
      <c r="I68" s="195"/>
      <c r="J68" s="195"/>
      <c r="K68" s="195"/>
      <c r="L68" s="195"/>
      <c r="M68" s="195"/>
      <c r="N68" s="195"/>
      <c r="O68" s="195"/>
      <c r="P68" s="195"/>
      <c r="Q68" s="195"/>
      <c r="R68" s="195"/>
      <c r="S68" s="195"/>
      <c r="T68" s="195"/>
      <c r="U68" s="195"/>
      <c r="V68" s="195"/>
      <c r="W68" s="195"/>
      <c r="X68" s="195"/>
      <c r="Y68" s="195"/>
      <c r="Z68" s="195"/>
      <c r="AA68" s="195"/>
      <c r="AB68" s="195"/>
      <c r="AC68" s="195"/>
      <c r="AD68" s="195"/>
      <c r="AE68" s="195"/>
      <c r="AF68" s="195"/>
      <c r="AG68" s="195"/>
      <c r="AH68" s="195"/>
      <c r="AI68" s="195"/>
      <c r="AJ68" s="195"/>
      <c r="AK68" s="195"/>
      <c r="AL68" s="195"/>
      <c r="AM68" s="195"/>
      <c r="AN68" s="195"/>
      <c r="AO68" s="195"/>
      <c r="AP68" s="195"/>
      <c r="AQ68" s="195"/>
      <c r="AR68" s="195"/>
      <c r="AS68" s="195"/>
      <c r="AT68" s="205"/>
    </row>
    <row r="69" spans="1:46" ht="60" customHeight="1" x14ac:dyDescent="0.35">
      <c r="A69" s="202" t="s">
        <v>5347</v>
      </c>
      <c r="B69" s="188" t="s">
        <v>5435</v>
      </c>
      <c r="C69" s="189" t="s">
        <v>5455</v>
      </c>
      <c r="D69" s="191" t="s">
        <v>5456</v>
      </c>
      <c r="E69" s="191" t="s">
        <v>5457</v>
      </c>
      <c r="F69" s="193" t="str">
        <f>IF(COUNTIF(G69:AT69,"&lt;&gt;")=0,"",SUMPRODUCT(((Recommendations[ImplStatus]="Implemented")+(Recommendations[ImplStatus]="Compensated"))*ISNUMBER(MATCH(Recommendations[Id],G69:AT69,0)))/COUNTIF(G69:AT69,"&lt;&gt;"))</f>
        <v/>
      </c>
      <c r="G69" s="195"/>
      <c r="H69" s="195"/>
      <c r="I69" s="195"/>
      <c r="J69" s="195"/>
      <c r="K69" s="195"/>
      <c r="L69" s="195"/>
      <c r="M69" s="195"/>
      <c r="N69" s="195"/>
      <c r="O69" s="195"/>
      <c r="P69" s="195"/>
      <c r="Q69" s="195"/>
      <c r="R69" s="195"/>
      <c r="S69" s="195"/>
      <c r="T69" s="195"/>
      <c r="U69" s="195"/>
      <c r="V69" s="195"/>
      <c r="W69" s="195"/>
      <c r="X69" s="195"/>
      <c r="Y69" s="195"/>
      <c r="Z69" s="195"/>
      <c r="AA69" s="195"/>
      <c r="AB69" s="195"/>
      <c r="AC69" s="195"/>
      <c r="AD69" s="195"/>
      <c r="AE69" s="195"/>
      <c r="AF69" s="195"/>
      <c r="AG69" s="195"/>
      <c r="AH69" s="195"/>
      <c r="AI69" s="195"/>
      <c r="AJ69" s="195"/>
      <c r="AK69" s="195"/>
      <c r="AL69" s="195"/>
      <c r="AM69" s="195"/>
      <c r="AN69" s="195"/>
      <c r="AO69" s="195"/>
      <c r="AP69" s="195"/>
      <c r="AQ69" s="195"/>
      <c r="AR69" s="195"/>
      <c r="AS69" s="195"/>
      <c r="AT69" s="205"/>
    </row>
    <row r="70" spans="1:46" ht="60" customHeight="1" x14ac:dyDescent="0.35">
      <c r="A70" s="202" t="s">
        <v>5347</v>
      </c>
      <c r="B70" s="188" t="s">
        <v>5435</v>
      </c>
      <c r="C70" s="189" t="s">
        <v>5458</v>
      </c>
      <c r="D70" s="191" t="s">
        <v>5459</v>
      </c>
      <c r="E70" s="191"/>
      <c r="F70" s="193" t="str">
        <f>IF(COUNTIF(G70:AT70,"&lt;&gt;")=0,"",SUMPRODUCT(((Recommendations[ImplStatus]="Implemented")+(Recommendations[ImplStatus]="Compensated"))*ISNUMBER(MATCH(Recommendations[Id],G70:AT70,0)))/COUNTIF(G70:AT70,"&lt;&gt;"))</f>
        <v/>
      </c>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205"/>
    </row>
    <row r="71" spans="1:46" ht="60" customHeight="1" x14ac:dyDescent="0.35">
      <c r="A71" s="202" t="s">
        <v>5347</v>
      </c>
      <c r="B71" s="188" t="s">
        <v>5435</v>
      </c>
      <c r="C71" s="189" t="s">
        <v>5460</v>
      </c>
      <c r="D71" s="191" t="s">
        <v>5461</v>
      </c>
      <c r="E71" s="191" t="s">
        <v>5462</v>
      </c>
      <c r="F71" s="193" t="str">
        <f>IF(COUNTIF(G71:AT71,"&lt;&gt;")=0,"",SUMPRODUCT(((Recommendations[ImplStatus]="Implemented")+(Recommendations[ImplStatus]="Compensated"))*ISNUMBER(MATCH(Recommendations[Id],G71:AT71,0)))/COUNTIF(G71:AT71,"&lt;&gt;"))</f>
        <v/>
      </c>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205"/>
    </row>
    <row r="72" spans="1:46" ht="60" customHeight="1" x14ac:dyDescent="0.35">
      <c r="A72" s="202" t="s">
        <v>5347</v>
      </c>
      <c r="B72" s="188" t="s">
        <v>5435</v>
      </c>
      <c r="C72" s="189" t="s">
        <v>5463</v>
      </c>
      <c r="D72" s="191" t="s">
        <v>5464</v>
      </c>
      <c r="E72" s="191" t="s">
        <v>5465</v>
      </c>
      <c r="F72" s="193" t="str">
        <f>IF(COUNTIF(G72:AT72,"&lt;&gt;")=0,"",SUMPRODUCT(((Recommendations[ImplStatus]="Implemented")+(Recommendations[ImplStatus]="Compensated"))*ISNUMBER(MATCH(Recommendations[Id],G72:AT72,0)))/COUNTIF(G72:AT72,"&lt;&gt;"))</f>
        <v/>
      </c>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205"/>
    </row>
    <row r="73" spans="1:46" ht="60" customHeight="1" x14ac:dyDescent="0.35">
      <c r="A73" s="202" t="s">
        <v>5347</v>
      </c>
      <c r="B73" s="188" t="s">
        <v>5435</v>
      </c>
      <c r="C73" s="189" t="s">
        <v>5466</v>
      </c>
      <c r="D73" s="191" t="s">
        <v>5467</v>
      </c>
      <c r="E73" s="191" t="s">
        <v>5468</v>
      </c>
      <c r="F73" s="193" t="str">
        <f>IF(COUNTIF(G73:AT73,"&lt;&gt;")=0,"",SUMPRODUCT(((Recommendations[ImplStatus]="Implemented")+(Recommendations[ImplStatus]="Compensated"))*ISNUMBER(MATCH(Recommendations[Id],G73:AT73,0)))/COUNTIF(G73:AT73,"&lt;&gt;"))</f>
        <v/>
      </c>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205"/>
    </row>
    <row r="74" spans="1:46" ht="60" customHeight="1" x14ac:dyDescent="0.35">
      <c r="A74" s="202" t="s">
        <v>5347</v>
      </c>
      <c r="B74" s="188" t="s">
        <v>5435</v>
      </c>
      <c r="C74" s="189" t="s">
        <v>5469</v>
      </c>
      <c r="D74" s="191" t="s">
        <v>5470</v>
      </c>
      <c r="E74" s="191" t="s">
        <v>5471</v>
      </c>
      <c r="F74" s="193" t="str">
        <f>IF(COUNTIF(G74:AT74,"&lt;&gt;")=0,"",SUMPRODUCT(((Recommendations[ImplStatus]="Implemented")+(Recommendations[ImplStatus]="Compensated"))*ISNUMBER(MATCH(Recommendations[Id],G74:AT74,0)))/COUNTIF(G74:AT74,"&lt;&gt;"))</f>
        <v/>
      </c>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205"/>
    </row>
    <row r="75" spans="1:46" ht="60" customHeight="1" x14ac:dyDescent="0.35">
      <c r="A75" s="202" t="s">
        <v>5347</v>
      </c>
      <c r="B75" s="188" t="s">
        <v>5435</v>
      </c>
      <c r="C75" s="189" t="s">
        <v>5472</v>
      </c>
      <c r="D75" s="191" t="s">
        <v>5473</v>
      </c>
      <c r="E75" s="191" t="s">
        <v>5474</v>
      </c>
      <c r="F75" s="193" t="str">
        <f>IF(COUNTIF(G75:AT75,"&lt;&gt;")=0,"",SUMPRODUCT(((Recommendations[ImplStatus]="Implemented")+(Recommendations[ImplStatus]="Compensated"))*ISNUMBER(MATCH(Recommendations[Id],G75:AT75,0)))/COUNTIF(G75:AT75,"&lt;&gt;"))</f>
        <v/>
      </c>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205"/>
    </row>
    <row r="76" spans="1:46" ht="60" customHeight="1" x14ac:dyDescent="0.35">
      <c r="A76" s="202" t="s">
        <v>5347</v>
      </c>
      <c r="B76" s="188" t="s">
        <v>5435</v>
      </c>
      <c r="C76" s="189" t="s">
        <v>5475</v>
      </c>
      <c r="D76" s="191" t="s">
        <v>5476</v>
      </c>
      <c r="E76" s="191" t="s">
        <v>5477</v>
      </c>
      <c r="F76" s="193" t="str">
        <f>IF(COUNTIF(G76:AT76,"&lt;&gt;")=0,"",SUMPRODUCT(((Recommendations[ImplStatus]="Implemented")+(Recommendations[ImplStatus]="Compensated"))*ISNUMBER(MATCH(Recommendations[Id],G76:AT76,0)))/COUNTIF(G76:AT76,"&lt;&gt;"))</f>
        <v/>
      </c>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205"/>
    </row>
    <row r="77" spans="1:46" ht="60" customHeight="1" x14ac:dyDescent="0.35">
      <c r="A77" s="202" t="s">
        <v>5347</v>
      </c>
      <c r="B77" s="188" t="s">
        <v>5435</v>
      </c>
      <c r="C77" s="189" t="s">
        <v>5478</v>
      </c>
      <c r="D77" s="191" t="s">
        <v>5479</v>
      </c>
      <c r="E77" s="191" t="s">
        <v>5480</v>
      </c>
      <c r="F77" s="193" t="str">
        <f>IF(COUNTIF(G77:AT77,"&lt;&gt;")=0,"",SUMPRODUCT(((Recommendations[ImplStatus]="Implemented")+(Recommendations[ImplStatus]="Compensated"))*ISNUMBER(MATCH(Recommendations[Id],G77:AT77,0)))/COUNTIF(G77:AT77,"&lt;&gt;"))</f>
        <v/>
      </c>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205"/>
    </row>
    <row r="78" spans="1:46" ht="60" customHeight="1" x14ac:dyDescent="0.35">
      <c r="A78" s="202" t="s">
        <v>5347</v>
      </c>
      <c r="B78" s="188" t="s">
        <v>5435</v>
      </c>
      <c r="C78" s="189" t="s">
        <v>5481</v>
      </c>
      <c r="D78" s="191" t="s">
        <v>5482</v>
      </c>
      <c r="E78" s="191" t="s">
        <v>5483</v>
      </c>
      <c r="F78" s="193" t="str">
        <f>IF(COUNTIF(G78:AT78,"&lt;&gt;")=0,"",SUMPRODUCT(((Recommendations[ImplStatus]="Implemented")+(Recommendations[ImplStatus]="Compensated"))*ISNUMBER(MATCH(Recommendations[Id],G78:AT78,0)))/COUNTIF(G78:AT78,"&lt;&gt;"))</f>
        <v/>
      </c>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205"/>
    </row>
    <row r="79" spans="1:46" ht="60" customHeight="1" outlineLevel="1" x14ac:dyDescent="0.35">
      <c r="A79" s="201" t="s">
        <v>5347</v>
      </c>
      <c r="B79" s="187" t="s">
        <v>5435</v>
      </c>
      <c r="C79" s="187"/>
      <c r="D79" s="190" t="s">
        <v>5484</v>
      </c>
      <c r="E79" s="190"/>
      <c r="F79" s="192" t="str">
        <f>IF(COUNTIF(G79:AT79,"&lt;&gt;")=0,"",SUMPRODUCT(((Recommendations[ImplStatus]="Implemented")+(Recommendations[ImplStatus]="Compensated"))*ISNUMBER(MATCH(Recommendations[Id],G79:AT79,0)))/COUNTIF(G79:AT79,"&lt;&gt;"))</f>
        <v/>
      </c>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194"/>
      <c r="AT79" s="204"/>
    </row>
    <row r="80" spans="1:46" ht="60" customHeight="1" x14ac:dyDescent="0.35">
      <c r="A80" s="202" t="s">
        <v>5485</v>
      </c>
      <c r="B80" s="188"/>
      <c r="C80" s="189" t="s">
        <v>5486</v>
      </c>
      <c r="D80" s="191" t="s">
        <v>5487</v>
      </c>
      <c r="E80" s="191" t="s">
        <v>5488</v>
      </c>
      <c r="F80" s="193">
        <f>IF(COUNTIF(G80:AT80,"&lt;&gt;")=0,"",SUMPRODUCT(((Recommendations[ImplStatus]="Implemented")+(Recommendations[ImplStatus]="Compensated"))*ISNUMBER(MATCH(Recommendations[Id],G80:AT80,0)))/COUNTIF(G80:AT80,"&lt;&gt;"))</f>
        <v>0</v>
      </c>
      <c r="G80" s="195" t="s">
        <v>1457</v>
      </c>
      <c r="H80" s="195" t="s">
        <v>1482</v>
      </c>
      <c r="I80" s="195" t="s">
        <v>1488</v>
      </c>
      <c r="J80" s="195" t="s">
        <v>1861</v>
      </c>
      <c r="K80" s="195" t="s">
        <v>1873</v>
      </c>
      <c r="L80" s="195" t="s">
        <v>1901</v>
      </c>
      <c r="M80" s="195" t="s">
        <v>1910</v>
      </c>
      <c r="N80" s="195" t="s">
        <v>1918</v>
      </c>
      <c r="O80" s="195" t="s">
        <v>2010</v>
      </c>
      <c r="P80" s="195" t="s">
        <v>2018</v>
      </c>
      <c r="Q80" s="195" t="s">
        <v>2048</v>
      </c>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205"/>
    </row>
    <row r="81" spans="1:46" ht="60" customHeight="1" x14ac:dyDescent="0.35">
      <c r="A81" s="202" t="s">
        <v>5485</v>
      </c>
      <c r="B81" s="188"/>
      <c r="C81" s="189" t="s">
        <v>5489</v>
      </c>
      <c r="D81" s="191" t="s">
        <v>5490</v>
      </c>
      <c r="E81" s="191" t="s">
        <v>5491</v>
      </c>
      <c r="F81" s="193" t="str">
        <f>IF(COUNTIF(G81:AT81,"&lt;&gt;")=0,"",SUMPRODUCT(((Recommendations[ImplStatus]="Implemented")+(Recommendations[ImplStatus]="Compensated"))*ISNUMBER(MATCH(Recommendations[Id],G81:AT81,0)))/COUNTIF(G81:AT81,"&lt;&gt;"))</f>
        <v/>
      </c>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205"/>
    </row>
    <row r="82" spans="1:46" ht="60" customHeight="1" x14ac:dyDescent="0.35">
      <c r="A82" s="202" t="s">
        <v>5485</v>
      </c>
      <c r="B82" s="188"/>
      <c r="C82" s="189" t="s">
        <v>5492</v>
      </c>
      <c r="D82" s="191" t="s">
        <v>5493</v>
      </c>
      <c r="E82" s="191" t="s">
        <v>5494</v>
      </c>
      <c r="F82" s="193" t="str">
        <f>IF(COUNTIF(G82:AT82,"&lt;&gt;")=0,"",SUMPRODUCT(((Recommendations[ImplStatus]="Implemented")+(Recommendations[ImplStatus]="Compensated"))*ISNUMBER(MATCH(Recommendations[Id],G82:AT82,0)))/COUNTIF(G82:AT82,"&lt;&gt;"))</f>
        <v/>
      </c>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205"/>
    </row>
    <row r="83" spans="1:46" ht="60" customHeight="1" x14ac:dyDescent="0.35">
      <c r="A83" s="202" t="s">
        <v>5485</v>
      </c>
      <c r="B83" s="188"/>
      <c r="C83" s="189" t="s">
        <v>5495</v>
      </c>
      <c r="D83" s="191" t="s">
        <v>5496</v>
      </c>
      <c r="E83" s="191" t="s">
        <v>5497</v>
      </c>
      <c r="F83" s="193" t="str">
        <f>IF(COUNTIF(G83:AT83,"&lt;&gt;")=0,"",SUMPRODUCT(((Recommendations[ImplStatus]="Implemented")+(Recommendations[ImplStatus]="Compensated"))*ISNUMBER(MATCH(Recommendations[Id],G83:AT83,0)))/COUNTIF(G83:AT83,"&lt;&gt;"))</f>
        <v/>
      </c>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205"/>
    </row>
    <row r="84" spans="1:46" ht="60" customHeight="1" outlineLevel="1" x14ac:dyDescent="0.35">
      <c r="A84" s="201" t="s">
        <v>5485</v>
      </c>
      <c r="B84" s="187"/>
      <c r="C84" s="187"/>
      <c r="D84" s="190" t="s">
        <v>5498</v>
      </c>
      <c r="E84" s="190"/>
      <c r="F84" s="192" t="str">
        <f>IF(COUNTIF(G84:AT84,"&lt;&gt;")=0,"",SUMPRODUCT(((Recommendations[ImplStatus]="Implemented")+(Recommendations[ImplStatus]="Compensated"))*ISNUMBER(MATCH(Recommendations[Id],G84:AT84,0)))/COUNTIF(G84:AT84,"&lt;&gt;"))</f>
        <v/>
      </c>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194"/>
      <c r="AT84" s="204"/>
    </row>
    <row r="85" spans="1:46" ht="60" customHeight="1" x14ac:dyDescent="0.35">
      <c r="A85" s="202" t="s">
        <v>5499</v>
      </c>
      <c r="B85" s="188"/>
      <c r="C85" s="189" t="s">
        <v>5500</v>
      </c>
      <c r="D85" s="191" t="s">
        <v>5501</v>
      </c>
      <c r="E85" s="191" t="s">
        <v>5502</v>
      </c>
      <c r="F85" s="193" t="str">
        <f>IF(COUNTIF(G85:AT85,"&lt;&gt;")=0,"",SUMPRODUCT(((Recommendations[ImplStatus]="Implemented")+(Recommendations[ImplStatus]="Compensated"))*ISNUMBER(MATCH(Recommendations[Id],G85:AT85,0)))/COUNTIF(G85:AT85,"&lt;&gt;"))</f>
        <v/>
      </c>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205"/>
    </row>
    <row r="86" spans="1:46" ht="60" customHeight="1" x14ac:dyDescent="0.35">
      <c r="A86" s="202" t="s">
        <v>5499</v>
      </c>
      <c r="B86" s="188"/>
      <c r="C86" s="189" t="s">
        <v>5503</v>
      </c>
      <c r="D86" s="191" t="s">
        <v>5504</v>
      </c>
      <c r="E86" s="191" t="s">
        <v>5505</v>
      </c>
      <c r="F86" s="193" t="str">
        <f>IF(COUNTIF(G86:AT86,"&lt;&gt;")=0,"",SUMPRODUCT(((Recommendations[ImplStatus]="Implemented")+(Recommendations[ImplStatus]="Compensated"))*ISNUMBER(MATCH(Recommendations[Id],G86:AT86,0)))/COUNTIF(G86:AT86,"&lt;&gt;"))</f>
        <v/>
      </c>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205"/>
    </row>
    <row r="87" spans="1:46" ht="60" customHeight="1" x14ac:dyDescent="0.35">
      <c r="A87" s="202" t="s">
        <v>5499</v>
      </c>
      <c r="B87" s="188"/>
      <c r="C87" s="189" t="s">
        <v>5506</v>
      </c>
      <c r="D87" s="191" t="s">
        <v>5507</v>
      </c>
      <c r="E87" s="191" t="s">
        <v>5508</v>
      </c>
      <c r="F87" s="193" t="str">
        <f>IF(COUNTIF(G87:AT87,"&lt;&gt;")=0,"",SUMPRODUCT(((Recommendations[ImplStatus]="Implemented")+(Recommendations[ImplStatus]="Compensated"))*ISNUMBER(MATCH(Recommendations[Id],G87:AT87,0)))/COUNTIF(G87:AT87,"&lt;&gt;"))</f>
        <v/>
      </c>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205"/>
    </row>
    <row r="88" spans="1:46" ht="60" customHeight="1" x14ac:dyDescent="0.35">
      <c r="A88" s="202" t="s">
        <v>5499</v>
      </c>
      <c r="B88" s="188"/>
      <c r="C88" s="189" t="s">
        <v>5509</v>
      </c>
      <c r="D88" s="191" t="s">
        <v>5510</v>
      </c>
      <c r="E88" s="191" t="s">
        <v>5511</v>
      </c>
      <c r="F88" s="193" t="str">
        <f>IF(COUNTIF(G88:AT88,"&lt;&gt;")=0,"",SUMPRODUCT(((Recommendations[ImplStatus]="Implemented")+(Recommendations[ImplStatus]="Compensated"))*ISNUMBER(MATCH(Recommendations[Id],G88:AT88,0)))/COUNTIF(G88:AT88,"&lt;&gt;"))</f>
        <v/>
      </c>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205"/>
    </row>
    <row r="89" spans="1:46" ht="60" customHeight="1" x14ac:dyDescent="0.35">
      <c r="A89" s="202" t="s">
        <v>5499</v>
      </c>
      <c r="B89" s="188"/>
      <c r="C89" s="189" t="s">
        <v>5512</v>
      </c>
      <c r="D89" s="191" t="s">
        <v>5513</v>
      </c>
      <c r="E89" s="191" t="s">
        <v>5514</v>
      </c>
      <c r="F89" s="193" t="str">
        <f>IF(COUNTIF(G89:AT89,"&lt;&gt;")=0,"",SUMPRODUCT(((Recommendations[ImplStatus]="Implemented")+(Recommendations[ImplStatus]="Compensated"))*ISNUMBER(MATCH(Recommendations[Id],G89:AT89,0)))/COUNTIF(G89:AT89,"&lt;&gt;"))</f>
        <v/>
      </c>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205"/>
    </row>
    <row r="90" spans="1:46" ht="60" customHeight="1" outlineLevel="1" x14ac:dyDescent="0.35">
      <c r="A90" s="201" t="s">
        <v>5499</v>
      </c>
      <c r="B90" s="187" t="s">
        <v>5515</v>
      </c>
      <c r="C90" s="187"/>
      <c r="D90" s="190" t="s">
        <v>5516</v>
      </c>
      <c r="E90" s="190"/>
      <c r="F90" s="192" t="str">
        <f>IF(COUNTIF(G90:AT90,"&lt;&gt;")=0,"",SUMPRODUCT(((Recommendations[ImplStatus]="Implemented")+(Recommendations[ImplStatus]="Compensated"))*ISNUMBER(MATCH(Recommendations[Id],G90:AT90,0)))/COUNTIF(G90:AT90,"&lt;&gt;"))</f>
        <v/>
      </c>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204"/>
    </row>
    <row r="91" spans="1:46" ht="60" customHeight="1" x14ac:dyDescent="0.35">
      <c r="A91" s="202" t="s">
        <v>5499</v>
      </c>
      <c r="B91" s="188" t="s">
        <v>5515</v>
      </c>
      <c r="C91" s="189" t="s">
        <v>5517</v>
      </c>
      <c r="D91" s="191" t="s">
        <v>5518</v>
      </c>
      <c r="E91" s="191" t="s">
        <v>5519</v>
      </c>
      <c r="F91" s="193" t="str">
        <f>IF(COUNTIF(G91:AT91,"&lt;&gt;")=0,"",SUMPRODUCT(((Recommendations[ImplStatus]="Implemented")+(Recommendations[ImplStatus]="Compensated"))*ISNUMBER(MATCH(Recommendations[Id],G91:AT91,0)))/COUNTIF(G91:AT91,"&lt;&gt;"))</f>
        <v/>
      </c>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205"/>
    </row>
    <row r="92" spans="1:46" ht="60" customHeight="1" x14ac:dyDescent="0.35">
      <c r="A92" s="202" t="s">
        <v>5499</v>
      </c>
      <c r="B92" s="188" t="s">
        <v>5515</v>
      </c>
      <c r="C92" s="189" t="s">
        <v>5520</v>
      </c>
      <c r="D92" s="191" t="s">
        <v>5521</v>
      </c>
      <c r="E92" s="191" t="s">
        <v>5522</v>
      </c>
      <c r="F92" s="193" t="str">
        <f>IF(COUNTIF(G92:AT92,"&lt;&gt;")=0,"",SUMPRODUCT(((Recommendations[ImplStatus]="Implemented")+(Recommendations[ImplStatus]="Compensated"))*ISNUMBER(MATCH(Recommendations[Id],G92:AT92,0)))/COUNTIF(G92:AT92,"&lt;&gt;"))</f>
        <v/>
      </c>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205"/>
    </row>
    <row r="93" spans="1:46" ht="60" customHeight="1" x14ac:dyDescent="0.35">
      <c r="A93" s="202"/>
      <c r="B93" s="188" t="s">
        <v>5515</v>
      </c>
      <c r="C93" s="189" t="s">
        <v>5523</v>
      </c>
      <c r="D93" s="191" t="s">
        <v>5524</v>
      </c>
      <c r="E93" s="191" t="s">
        <v>5525</v>
      </c>
      <c r="F93" s="193" t="str">
        <f>IF(COUNTIF(G93:AT93,"&lt;&gt;")=0,"",SUMPRODUCT(((Recommendations[ImplStatus]="Implemented")+(Recommendations[ImplStatus]="Compensated"))*ISNUMBER(MATCH(Recommendations[Id],G93:AT93,0)))/COUNTIF(G93:AT93,"&lt;&gt;"))</f>
        <v/>
      </c>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95"/>
      <c r="AL93" s="195"/>
      <c r="AM93" s="195"/>
      <c r="AN93" s="195"/>
      <c r="AO93" s="195"/>
      <c r="AP93" s="195"/>
      <c r="AQ93" s="195"/>
      <c r="AR93" s="195"/>
      <c r="AS93" s="195"/>
      <c r="AT93" s="205"/>
    </row>
    <row r="94" spans="1:46" ht="60" customHeight="1" x14ac:dyDescent="0.35">
      <c r="A94" s="202"/>
      <c r="B94" s="188" t="s">
        <v>5515</v>
      </c>
      <c r="C94" s="189" t="s">
        <v>5526</v>
      </c>
      <c r="D94" s="191" t="s">
        <v>5527</v>
      </c>
      <c r="E94" s="191" t="s">
        <v>5528</v>
      </c>
      <c r="F94" s="193" t="str">
        <f>IF(COUNTIF(G94:AT94,"&lt;&gt;")=0,"",SUMPRODUCT(((Recommendations[ImplStatus]="Implemented")+(Recommendations[ImplStatus]="Compensated"))*ISNUMBER(MATCH(Recommendations[Id],G94:AT94,0)))/COUNTIF(G94:AT94,"&lt;&gt;"))</f>
        <v/>
      </c>
      <c r="G94" s="195"/>
      <c r="H94" s="195"/>
      <c r="I94" s="195"/>
      <c r="J94" s="195"/>
      <c r="K94" s="195"/>
      <c r="L94" s="195"/>
      <c r="M94" s="195"/>
      <c r="N94" s="195"/>
      <c r="O94" s="195"/>
      <c r="P94" s="195"/>
      <c r="Q94" s="195"/>
      <c r="R94" s="195"/>
      <c r="S94" s="195"/>
      <c r="T94" s="195"/>
      <c r="U94" s="195"/>
      <c r="V94" s="195"/>
      <c r="W94" s="195"/>
      <c r="X94" s="195"/>
      <c r="Y94" s="195"/>
      <c r="Z94" s="195"/>
      <c r="AA94" s="195"/>
      <c r="AB94" s="195"/>
      <c r="AC94" s="195"/>
      <c r="AD94" s="195"/>
      <c r="AE94" s="195"/>
      <c r="AF94" s="195"/>
      <c r="AG94" s="195"/>
      <c r="AH94" s="195"/>
      <c r="AI94" s="195"/>
      <c r="AJ94" s="195"/>
      <c r="AK94" s="195"/>
      <c r="AL94" s="195"/>
      <c r="AM94" s="195"/>
      <c r="AN94" s="195"/>
      <c r="AO94" s="195"/>
      <c r="AP94" s="195"/>
      <c r="AQ94" s="195"/>
      <c r="AR94" s="195"/>
      <c r="AS94" s="195"/>
      <c r="AT94" s="205"/>
    </row>
    <row r="95" spans="1:46" ht="60" customHeight="1" x14ac:dyDescent="0.35">
      <c r="A95" s="202"/>
      <c r="B95" s="188" t="s">
        <v>5515</v>
      </c>
      <c r="C95" s="189" t="s">
        <v>5529</v>
      </c>
      <c r="D95" s="191" t="s">
        <v>5530</v>
      </c>
      <c r="E95" s="191" t="s">
        <v>5531</v>
      </c>
      <c r="F95" s="193" t="str">
        <f>IF(COUNTIF(G95:AT95,"&lt;&gt;")=0,"",SUMPRODUCT(((Recommendations[ImplStatus]="Implemented")+(Recommendations[ImplStatus]="Compensated"))*ISNUMBER(MATCH(Recommendations[Id],G95:AT95,0)))/COUNTIF(G95:AT95,"&lt;&gt;"))</f>
        <v/>
      </c>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205"/>
    </row>
    <row r="96" spans="1:46" ht="60" customHeight="1" x14ac:dyDescent="0.35">
      <c r="A96" s="202"/>
      <c r="B96" s="188" t="s">
        <v>5515</v>
      </c>
      <c r="C96" s="189" t="s">
        <v>5532</v>
      </c>
      <c r="D96" s="191" t="s">
        <v>5533</v>
      </c>
      <c r="E96" s="191" t="s">
        <v>5534</v>
      </c>
      <c r="F96" s="193" t="str">
        <f>IF(COUNTIF(G96:AT96,"&lt;&gt;")=0,"",SUMPRODUCT(((Recommendations[ImplStatus]="Implemented")+(Recommendations[ImplStatus]="Compensated"))*ISNUMBER(MATCH(Recommendations[Id],G96:AT96,0)))/COUNTIF(G96:AT96,"&lt;&gt;"))</f>
        <v/>
      </c>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205"/>
    </row>
    <row r="97" spans="1:46" ht="60" customHeight="1" x14ac:dyDescent="0.35">
      <c r="A97" s="202"/>
      <c r="B97" s="188" t="s">
        <v>5515</v>
      </c>
      <c r="C97" s="189" t="s">
        <v>5535</v>
      </c>
      <c r="D97" s="191" t="s">
        <v>5536</v>
      </c>
      <c r="E97" s="191" t="s">
        <v>5537</v>
      </c>
      <c r="F97" s="193" t="str">
        <f>IF(COUNTIF(G97:AT97,"&lt;&gt;")=0,"",SUMPRODUCT(((Recommendations[ImplStatus]="Implemented")+(Recommendations[ImplStatus]="Compensated"))*ISNUMBER(MATCH(Recommendations[Id],G97:AT97,0)))/COUNTIF(G97:AT97,"&lt;&gt;"))</f>
        <v/>
      </c>
      <c r="G97" s="195"/>
      <c r="H97" s="195"/>
      <c r="I97" s="195"/>
      <c r="J97" s="195"/>
      <c r="K97" s="195"/>
      <c r="L97" s="195"/>
      <c r="M97" s="195"/>
      <c r="N97" s="195"/>
      <c r="O97" s="195"/>
      <c r="P97" s="195"/>
      <c r="Q97" s="195"/>
      <c r="R97" s="195"/>
      <c r="S97" s="195"/>
      <c r="T97" s="195"/>
      <c r="U97" s="195"/>
      <c r="V97" s="195"/>
      <c r="W97" s="195"/>
      <c r="X97" s="195"/>
      <c r="Y97" s="195"/>
      <c r="Z97" s="195"/>
      <c r="AA97" s="195"/>
      <c r="AB97" s="195"/>
      <c r="AC97" s="195"/>
      <c r="AD97" s="195"/>
      <c r="AE97" s="195"/>
      <c r="AF97" s="195"/>
      <c r="AG97" s="195"/>
      <c r="AH97" s="195"/>
      <c r="AI97" s="195"/>
      <c r="AJ97" s="195"/>
      <c r="AK97" s="195"/>
      <c r="AL97" s="195"/>
      <c r="AM97" s="195"/>
      <c r="AN97" s="195"/>
      <c r="AO97" s="195"/>
      <c r="AP97" s="195"/>
      <c r="AQ97" s="195"/>
      <c r="AR97" s="195"/>
      <c r="AS97" s="195"/>
      <c r="AT97" s="205"/>
    </row>
    <row r="98" spans="1:46" ht="60" customHeight="1" x14ac:dyDescent="0.35">
      <c r="A98" s="202"/>
      <c r="B98" s="188" t="s">
        <v>5515</v>
      </c>
      <c r="C98" s="189" t="s">
        <v>5538</v>
      </c>
      <c r="D98" s="191" t="s">
        <v>5539</v>
      </c>
      <c r="E98" s="191" t="s">
        <v>5540</v>
      </c>
      <c r="F98" s="193" t="str">
        <f>IF(COUNTIF(G98:AT98,"&lt;&gt;")=0,"",SUMPRODUCT(((Recommendations[ImplStatus]="Implemented")+(Recommendations[ImplStatus]="Compensated"))*ISNUMBER(MATCH(Recommendations[Id],G98:AT98,0)))/COUNTIF(G98:AT98,"&lt;&gt;"))</f>
        <v/>
      </c>
      <c r="G98" s="195"/>
      <c r="H98" s="195"/>
      <c r="I98" s="195"/>
      <c r="J98" s="195"/>
      <c r="K98" s="195"/>
      <c r="L98" s="195"/>
      <c r="M98" s="195"/>
      <c r="N98" s="195"/>
      <c r="O98" s="195"/>
      <c r="P98" s="195"/>
      <c r="Q98" s="195"/>
      <c r="R98" s="195"/>
      <c r="S98" s="195"/>
      <c r="T98" s="195"/>
      <c r="U98" s="195"/>
      <c r="V98" s="195"/>
      <c r="W98" s="195"/>
      <c r="X98" s="195"/>
      <c r="Y98" s="195"/>
      <c r="Z98" s="195"/>
      <c r="AA98" s="195"/>
      <c r="AB98" s="195"/>
      <c r="AC98" s="195"/>
      <c r="AD98" s="195"/>
      <c r="AE98" s="195"/>
      <c r="AF98" s="195"/>
      <c r="AG98" s="195"/>
      <c r="AH98" s="195"/>
      <c r="AI98" s="195"/>
      <c r="AJ98" s="195"/>
      <c r="AK98" s="195"/>
      <c r="AL98" s="195"/>
      <c r="AM98" s="195"/>
      <c r="AN98" s="195"/>
      <c r="AO98" s="195"/>
      <c r="AP98" s="195"/>
      <c r="AQ98" s="195"/>
      <c r="AR98" s="195"/>
      <c r="AS98" s="195"/>
      <c r="AT98" s="205"/>
    </row>
    <row r="99" spans="1:46" ht="60" customHeight="1" outlineLevel="1" x14ac:dyDescent="0.35">
      <c r="A99" s="201"/>
      <c r="B99" s="187" t="s">
        <v>5541</v>
      </c>
      <c r="C99" s="187"/>
      <c r="D99" s="190" t="s">
        <v>5542</v>
      </c>
      <c r="E99" s="190"/>
      <c r="F99" s="192" t="str">
        <f>IF(COUNTIF(G99:AT99,"&lt;&gt;")=0,"",SUMPRODUCT(((Recommendations[ImplStatus]="Implemented")+(Recommendations[ImplStatus]="Compensated"))*ISNUMBER(MATCH(Recommendations[Id],G99:AT99,0)))/COUNTIF(G99:AT99,"&lt;&gt;"))</f>
        <v/>
      </c>
      <c r="G99" s="194"/>
      <c r="H99" s="194"/>
      <c r="I99" s="194"/>
      <c r="J99" s="194"/>
      <c r="K99" s="194"/>
      <c r="L99" s="194"/>
      <c r="M99" s="194"/>
      <c r="N99" s="194"/>
      <c r="O99" s="194"/>
      <c r="P99" s="194"/>
      <c r="Q99" s="194"/>
      <c r="R99" s="194"/>
      <c r="S99" s="194"/>
      <c r="T99" s="194"/>
      <c r="U99" s="194"/>
      <c r="V99" s="194"/>
      <c r="W99" s="194"/>
      <c r="X99" s="194"/>
      <c r="Y99" s="194"/>
      <c r="Z99" s="194"/>
      <c r="AA99" s="194"/>
      <c r="AB99" s="194"/>
      <c r="AC99" s="194"/>
      <c r="AD99" s="194"/>
      <c r="AE99" s="194"/>
      <c r="AF99" s="194"/>
      <c r="AG99" s="194"/>
      <c r="AH99" s="194"/>
      <c r="AI99" s="194"/>
      <c r="AJ99" s="194"/>
      <c r="AK99" s="194"/>
      <c r="AL99" s="194"/>
      <c r="AM99" s="194"/>
      <c r="AN99" s="194"/>
      <c r="AO99" s="194"/>
      <c r="AP99" s="194"/>
      <c r="AQ99" s="194"/>
      <c r="AR99" s="194"/>
      <c r="AS99" s="194"/>
      <c r="AT99" s="204"/>
    </row>
    <row r="100" spans="1:46" ht="60" customHeight="1" x14ac:dyDescent="0.35">
      <c r="A100" s="202"/>
      <c r="B100" s="188" t="s">
        <v>5541</v>
      </c>
      <c r="C100" s="189" t="s">
        <v>5543</v>
      </c>
      <c r="D100" s="191" t="s">
        <v>5544</v>
      </c>
      <c r="E100" s="191" t="s">
        <v>5545</v>
      </c>
      <c r="F100" s="193">
        <f>IF(COUNTIF(G100:AT100,"&lt;&gt;")=0,"",SUMPRODUCT(((Recommendations[ImplStatus]="Implemented")+(Recommendations[ImplStatus]="Compensated"))*ISNUMBER(MATCH(Recommendations[Id],G100:AT100,0)))/COUNTIF(G100:AT100,"&lt;&gt;"))</f>
        <v>0</v>
      </c>
      <c r="G100" s="195" t="s">
        <v>456</v>
      </c>
      <c r="H100" s="195"/>
      <c r="I100" s="195"/>
      <c r="J100" s="195"/>
      <c r="K100" s="195"/>
      <c r="L100" s="195"/>
      <c r="M100" s="195"/>
      <c r="N100" s="195"/>
      <c r="O100" s="195"/>
      <c r="P100" s="195"/>
      <c r="Q100" s="195"/>
      <c r="R100" s="195"/>
      <c r="S100" s="195"/>
      <c r="T100" s="195"/>
      <c r="U100" s="195"/>
      <c r="V100" s="195"/>
      <c r="W100" s="195"/>
      <c r="X100" s="195"/>
      <c r="Y100" s="195"/>
      <c r="Z100" s="195"/>
      <c r="AA100" s="195"/>
      <c r="AB100" s="195"/>
      <c r="AC100" s="195"/>
      <c r="AD100" s="195"/>
      <c r="AE100" s="195"/>
      <c r="AF100" s="195"/>
      <c r="AG100" s="195"/>
      <c r="AH100" s="195"/>
      <c r="AI100" s="195"/>
      <c r="AJ100" s="195"/>
      <c r="AK100" s="195"/>
      <c r="AL100" s="195"/>
      <c r="AM100" s="195"/>
      <c r="AN100" s="195"/>
      <c r="AO100" s="195"/>
      <c r="AP100" s="195"/>
      <c r="AQ100" s="195"/>
      <c r="AR100" s="195"/>
      <c r="AS100" s="195"/>
      <c r="AT100" s="205"/>
    </row>
    <row r="101" spans="1:46" ht="60" customHeight="1" x14ac:dyDescent="0.35">
      <c r="A101" s="202"/>
      <c r="B101" s="188" t="s">
        <v>5541</v>
      </c>
      <c r="C101" s="189" t="s">
        <v>5546</v>
      </c>
      <c r="D101" s="191" t="s">
        <v>5547</v>
      </c>
      <c r="E101" s="191" t="s">
        <v>5548</v>
      </c>
      <c r="F101" s="193" t="str">
        <f>IF(COUNTIF(G101:AT101,"&lt;&gt;")=0,"",SUMPRODUCT(((Recommendations[ImplStatus]="Implemented")+(Recommendations[ImplStatus]="Compensated"))*ISNUMBER(MATCH(Recommendations[Id],G101:AT101,0)))/COUNTIF(G101:AT101,"&lt;&gt;"))</f>
        <v/>
      </c>
      <c r="G101" s="195"/>
      <c r="H101" s="195"/>
      <c r="I101" s="195"/>
      <c r="J101" s="195"/>
      <c r="K101" s="195"/>
      <c r="L101" s="195"/>
      <c r="M101" s="195"/>
      <c r="N101" s="195"/>
      <c r="O101" s="195"/>
      <c r="P101" s="195"/>
      <c r="Q101" s="195"/>
      <c r="R101" s="195"/>
      <c r="S101" s="195"/>
      <c r="T101" s="195"/>
      <c r="U101" s="195"/>
      <c r="V101" s="195"/>
      <c r="W101" s="195"/>
      <c r="X101" s="195"/>
      <c r="Y101" s="195"/>
      <c r="Z101" s="195"/>
      <c r="AA101" s="195"/>
      <c r="AB101" s="195"/>
      <c r="AC101" s="195"/>
      <c r="AD101" s="195"/>
      <c r="AE101" s="195"/>
      <c r="AF101" s="195"/>
      <c r="AG101" s="195"/>
      <c r="AH101" s="195"/>
      <c r="AI101" s="195"/>
      <c r="AJ101" s="195"/>
      <c r="AK101" s="195"/>
      <c r="AL101" s="195"/>
      <c r="AM101" s="195"/>
      <c r="AN101" s="195"/>
      <c r="AO101" s="195"/>
      <c r="AP101" s="195"/>
      <c r="AQ101" s="195"/>
      <c r="AR101" s="195"/>
      <c r="AS101" s="195"/>
      <c r="AT101" s="205"/>
    </row>
    <row r="102" spans="1:46" ht="60" customHeight="1" x14ac:dyDescent="0.35">
      <c r="A102" s="202"/>
      <c r="B102" s="188" t="s">
        <v>5541</v>
      </c>
      <c r="C102" s="189" t="s">
        <v>5549</v>
      </c>
      <c r="D102" s="191" t="s">
        <v>5550</v>
      </c>
      <c r="E102" s="191" t="s">
        <v>5551</v>
      </c>
      <c r="F102" s="193" t="str">
        <f>IF(COUNTIF(G102:AT102,"&lt;&gt;")=0,"",SUMPRODUCT(((Recommendations[ImplStatus]="Implemented")+(Recommendations[ImplStatus]="Compensated"))*ISNUMBER(MATCH(Recommendations[Id],G102:AT102,0)))/COUNTIF(G102:AT102,"&lt;&gt;"))</f>
        <v/>
      </c>
      <c r="G102" s="195"/>
      <c r="H102" s="195"/>
      <c r="I102" s="195"/>
      <c r="J102" s="195"/>
      <c r="K102" s="195"/>
      <c r="L102" s="195"/>
      <c r="M102" s="195"/>
      <c r="N102" s="195"/>
      <c r="O102" s="195"/>
      <c r="P102" s="195"/>
      <c r="Q102" s="195"/>
      <c r="R102" s="195"/>
      <c r="S102" s="195"/>
      <c r="T102" s="195"/>
      <c r="U102" s="195"/>
      <c r="V102" s="195"/>
      <c r="W102" s="195"/>
      <c r="X102" s="195"/>
      <c r="Y102" s="195"/>
      <c r="Z102" s="195"/>
      <c r="AA102" s="195"/>
      <c r="AB102" s="195"/>
      <c r="AC102" s="195"/>
      <c r="AD102" s="195"/>
      <c r="AE102" s="195"/>
      <c r="AF102" s="195"/>
      <c r="AG102" s="195"/>
      <c r="AH102" s="195"/>
      <c r="AI102" s="195"/>
      <c r="AJ102" s="195"/>
      <c r="AK102" s="195"/>
      <c r="AL102" s="195"/>
      <c r="AM102" s="195"/>
      <c r="AN102" s="195"/>
      <c r="AO102" s="195"/>
      <c r="AP102" s="195"/>
      <c r="AQ102" s="195"/>
      <c r="AR102" s="195"/>
      <c r="AS102" s="195"/>
      <c r="AT102" s="205"/>
    </row>
    <row r="103" spans="1:46" ht="60" customHeight="1" x14ac:dyDescent="0.35">
      <c r="A103" s="202"/>
      <c r="B103" s="188" t="s">
        <v>5541</v>
      </c>
      <c r="C103" s="189" t="s">
        <v>5552</v>
      </c>
      <c r="D103" s="191" t="s">
        <v>5553</v>
      </c>
      <c r="E103" s="191" t="s">
        <v>5554</v>
      </c>
      <c r="F103" s="193" t="str">
        <f>IF(COUNTIF(G103:AT103,"&lt;&gt;")=0,"",SUMPRODUCT(((Recommendations[ImplStatus]="Implemented")+(Recommendations[ImplStatus]="Compensated"))*ISNUMBER(MATCH(Recommendations[Id],G103:AT103,0)))/COUNTIF(G103:AT103,"&lt;&gt;"))</f>
        <v/>
      </c>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195"/>
      <c r="AO103" s="195"/>
      <c r="AP103" s="195"/>
      <c r="AQ103" s="195"/>
      <c r="AR103" s="195"/>
      <c r="AS103" s="195"/>
      <c r="AT103" s="205"/>
    </row>
    <row r="104" spans="1:46" ht="60" customHeight="1" x14ac:dyDescent="0.35">
      <c r="A104" s="203"/>
      <c r="B104" s="196" t="s">
        <v>5541</v>
      </c>
      <c r="C104" s="197" t="s">
        <v>5555</v>
      </c>
      <c r="D104" s="198" t="s">
        <v>5556</v>
      </c>
      <c r="E104" s="198" t="s">
        <v>5557</v>
      </c>
      <c r="F104" s="199" t="str">
        <f>IF(COUNTIF(G104:AT104,"&lt;&gt;")=0,"",SUMPRODUCT(((Recommendations[ImplStatus]="Implemented")+(Recommendations[ImplStatus]="Compensated"))*ISNUMBER(MATCH(Recommendations[Id],G104:AT104,0)))/COUNTIF(G104:AT104,"&lt;&gt;"))</f>
        <v/>
      </c>
      <c r="G104" s="200"/>
      <c r="H104" s="200"/>
      <c r="I104" s="200"/>
      <c r="J104" s="200"/>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0"/>
      <c r="AI104" s="200"/>
      <c r="AJ104" s="200"/>
      <c r="AK104" s="200"/>
      <c r="AL104" s="200"/>
      <c r="AM104" s="200"/>
      <c r="AN104" s="200"/>
      <c r="AO104" s="200"/>
      <c r="AP104" s="200"/>
      <c r="AQ104" s="200"/>
      <c r="AR104" s="200"/>
      <c r="AS104" s="200"/>
      <c r="AT104" s="206"/>
    </row>
    <row r="108" spans="1:46" ht="32" customHeight="1" x14ac:dyDescent="0.35">
      <c r="A108" s="266" t="s">
        <v>2861</v>
      </c>
      <c r="B108" s="266"/>
      <c r="C108" s="266"/>
      <c r="D108" s="266"/>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IFERROR(INDEX('Recommendations'!$G$2:$G$365, MATCH(G2,'Recommendations'!$B$2:$B$365,0))="Implemented", FALSE))</xm:f>
            <x14:dxf>
              <font>
                <color rgb="FF000000"/>
              </font>
              <fill>
                <patternFill>
                  <bgColor rgb="FF3C7D22"/>
                </patternFill>
              </fill>
            </x14:dxf>
          </x14:cfRule>
          <x14:cfRule type="expression" priority="2" id="{00000000-000E-0000-0800-000002000000}">
            <xm:f>AND(G2&lt;&gt;"", IFERROR(INDEX('Recommendations'!$G$2:$G$365, MATCH(G2,'Recommendations'!$B$2:$B$365,0))="Compensated", FALSE))</xm:f>
            <x14:dxf>
              <font>
                <color rgb="FF000000"/>
              </font>
              <fill>
                <patternFill>
                  <bgColor rgb="FFC6E0B4"/>
                </patternFill>
              </fill>
            </x14:dxf>
          </x14:cfRule>
          <x14:cfRule type="expression" priority="3" id="{00000000-000E-0000-0800-000003000000}">
            <xm:f>AND(G2&lt;&gt;"", IFERROR(INDEX('Recommendations'!$G$2:$G$365, MATCH(G2,'Recommendations'!$B$2:$B$365,0))="Testing", FALSE))</xm:f>
            <x14:dxf>
              <font>
                <color rgb="FF000000"/>
              </font>
              <fill>
                <patternFill>
                  <bgColor rgb="FFFFC000"/>
                </patternFill>
              </fill>
            </x14:dxf>
          </x14:cfRule>
          <x14:cfRule type="expression" priority="4" id="{00000000-000E-0000-0800-000004000000}">
            <xm:f>AND(G2&lt;&gt;"", IFERROR(INDEX('Recommendations'!$G$2:$G$365, MATCH(G2,'Recommendations'!$B$2:$B$365,0))="Failed", FALSE))</xm:f>
            <x14:dxf>
              <font>
                <color rgb="FF000000"/>
              </font>
              <fill>
                <patternFill>
                  <bgColor rgb="FFD82891"/>
                </patternFill>
              </fill>
            </x14:dxf>
          </x14:cfRule>
          <x14:cfRule type="expression" priority="5" id="{00000000-000E-0000-0800-000005000000}">
            <xm:f>AND(G2&lt;&gt;"", IFERROR(INDEX('Recommendations'!$G$2:$G$365, MATCH(G2,'Recommendations'!$B$2:$B$365,0))="Risk Accepted", FALSE))</xm:f>
            <x14:dxf>
              <font>
                <color rgb="FF000000"/>
              </font>
              <fill>
                <patternFill>
                  <bgColor rgb="FFD9D9D9"/>
                </patternFill>
              </fill>
            </x14:dxf>
          </x14:cfRule>
          <x14:cfRule type="expression" priority="6" id="{00000000-000E-0000-0800-000006000000}">
            <xm:f>AND(G2&lt;&gt;"", IFERROR(INDEX('Recommendations'!$G$2:$G$365, MATCH(G2,'Recommendations'!$B$2:$B$365,0))="N/A",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Intune Security Baseline for Windows 11 - SHGIR</dc:title>
  <dc:subject>Generated on: 2026-06-08 23:58:20</dc:subject>
  <dc:creator>Anicet Fopa Tchoffo</dc:creator>
  <cp:keywords>Baseline;Hardening;Microsoft;Intune;MDM;GPO;CSP</cp:keywords>
  <dc:description>Baseline Developed By: Microsoft</dc:description>
  <cp:lastModifiedBy>Anicet Fopa Tchoffo</cp:lastModifiedBy>
  <dcterms:modified xsi:type="dcterms:W3CDTF">2026-06-08T22:58:35Z</dcterms:modified>
  <cp:category>MS-MDM-FULL</cp:category>
  <cp:contentStatus>Draft</cp:contentStatus>
</cp:coreProperties>
</file>