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A343F4A1C08AE10519623341CF6BA907B9305326" xr6:coauthVersionLast="47" xr6:coauthVersionMax="47" xr10:uidLastSave="{DD707313-0FD7-4D5A-85F9-7D98AD268C8F}"/>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K326" i="11" l="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L13" i="1"/>
  <c r="L12" i="1"/>
  <c r="L11" i="1"/>
  <c r="L10" i="1"/>
  <c r="L9" i="1"/>
  <c r="L8" i="1"/>
  <c r="L7" i="1"/>
  <c r="L6" i="1"/>
  <c r="L5" i="1"/>
  <c r="L4" i="1"/>
  <c r="L3" i="1"/>
  <c r="L2" i="1"/>
  <c r="F112" i="3" s="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E112" i="3"/>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E93" i="3"/>
  <c r="D93" i="3"/>
  <c r="C93" i="3"/>
  <c r="F93" i="3" s="1"/>
  <c r="E92" i="3"/>
  <c r="D92" i="3"/>
  <c r="C92" i="3"/>
  <c r="F92" i="3" s="1"/>
  <c r="E91" i="3"/>
  <c r="D91" i="3"/>
  <c r="C91" i="3"/>
  <c r="F91" i="3" s="1"/>
  <c r="E90" i="3"/>
  <c r="D90" i="3"/>
  <c r="C90" i="3"/>
  <c r="F90" i="3" s="1"/>
  <c r="C78" i="3"/>
  <c r="F73" i="3"/>
  <c r="E81" i="3" s="1"/>
  <c r="E73" i="3"/>
  <c r="D73" i="3"/>
  <c r="C73" i="3"/>
  <c r="F72" i="3"/>
  <c r="C80" i="3" s="1"/>
  <c r="E72" i="3"/>
  <c r="D72" i="3"/>
  <c r="C72" i="3"/>
  <c r="E71" i="3"/>
  <c r="D71" i="3"/>
  <c r="C71" i="3"/>
  <c r="W123" i="3" s="1"/>
  <c r="F70" i="3"/>
  <c r="V153" i="3" s="1"/>
  <c r="E70" i="3"/>
  <c r="D70" i="3"/>
  <c r="C70" i="3"/>
  <c r="U123" i="3" s="1"/>
  <c r="F69" i="3"/>
  <c r="T153" i="3" s="1"/>
  <c r="E69" i="3"/>
  <c r="D69" i="3"/>
  <c r="C69" i="3"/>
  <c r="S123" i="3" s="1"/>
  <c r="E54" i="3"/>
  <c r="D54" i="3"/>
  <c r="C54" i="3"/>
  <c r="F54" i="3" s="1"/>
  <c r="E53" i="3"/>
  <c r="D53" i="3"/>
  <c r="C53" i="3"/>
  <c r="F53" i="3" s="1"/>
  <c r="E52" i="3"/>
  <c r="D52" i="3"/>
  <c r="C52" i="3"/>
  <c r="F52" i="3" s="1"/>
  <c r="E34" i="3"/>
  <c r="D34" i="3"/>
  <c r="F34" i="3" s="1"/>
  <c r="C34" i="3"/>
  <c r="E33" i="3"/>
  <c r="F33" i="3" s="1"/>
  <c r="D33" i="3"/>
  <c r="C33" i="3"/>
  <c r="E32" i="3"/>
  <c r="D32" i="3"/>
  <c r="C32" i="3"/>
  <c r="F32" i="3" s="1"/>
  <c r="E31" i="3"/>
  <c r="D31" i="3"/>
  <c r="C31" i="3"/>
  <c r="F31" i="3" s="1"/>
  <c r="E30" i="3"/>
  <c r="D30" i="3"/>
  <c r="C30" i="3"/>
  <c r="F30" i="3" s="1"/>
  <c r="E29" i="3"/>
  <c r="D29" i="3"/>
  <c r="C29" i="3"/>
  <c r="F29" i="3" s="1"/>
  <c r="E16" i="3"/>
  <c r="D16" i="3"/>
  <c r="C16" i="3"/>
  <c r="F16" i="3" s="1"/>
  <c r="C9" i="3"/>
  <c r="D9" i="3" s="1"/>
  <c r="C8" i="3"/>
  <c r="D8" i="3" s="1"/>
  <c r="C7" i="3"/>
  <c r="D7" i="3" s="1"/>
  <c r="E99" i="3" l="1"/>
  <c r="D99" i="3"/>
  <c r="C99" i="3"/>
  <c r="E43" i="3"/>
  <c r="D43" i="3"/>
  <c r="C43" i="3"/>
  <c r="R153" i="3"/>
  <c r="R148" i="3"/>
  <c r="R143" i="3"/>
  <c r="R138" i="3"/>
  <c r="R133" i="3"/>
  <c r="R128" i="3"/>
  <c r="R152" i="3"/>
  <c r="R147" i="3"/>
  <c r="R142" i="3"/>
  <c r="R137" i="3"/>
  <c r="R132" i="3"/>
  <c r="R127" i="3"/>
  <c r="D20" i="3"/>
  <c r="R151" i="3"/>
  <c r="R146" i="3"/>
  <c r="R141" i="3"/>
  <c r="R136" i="3"/>
  <c r="R131" i="3"/>
  <c r="R126" i="3"/>
  <c r="E20" i="3"/>
  <c r="R155" i="3"/>
  <c r="R150" i="3"/>
  <c r="R145" i="3"/>
  <c r="R140" i="3"/>
  <c r="R135" i="3"/>
  <c r="R130" i="3"/>
  <c r="R125" i="3"/>
  <c r="C20" i="3"/>
  <c r="R154" i="3"/>
  <c r="R149" i="3"/>
  <c r="R144" i="3"/>
  <c r="R139" i="3"/>
  <c r="R134" i="3"/>
  <c r="R129" i="3"/>
  <c r="G112" i="3"/>
  <c r="E100" i="3"/>
  <c r="D100" i="3"/>
  <c r="C100" i="3"/>
  <c r="E58" i="3"/>
  <c r="D58" i="3"/>
  <c r="C58" i="3"/>
  <c r="E59" i="3"/>
  <c r="D59" i="3"/>
  <c r="C59" i="3"/>
  <c r="E60" i="3"/>
  <c r="D60" i="3"/>
  <c r="C60" i="3"/>
  <c r="E97" i="3"/>
  <c r="D97" i="3"/>
  <c r="C97" i="3"/>
  <c r="C40" i="3"/>
  <c r="D40" i="3"/>
  <c r="E40" i="3"/>
  <c r="C41" i="3"/>
  <c r="E41" i="3"/>
  <c r="D41" i="3"/>
  <c r="E42" i="3"/>
  <c r="D42" i="3"/>
  <c r="C42" i="3"/>
  <c r="C39" i="3"/>
  <c r="E39" i="3"/>
  <c r="D39" i="3"/>
  <c r="E98" i="3"/>
  <c r="D98" i="3"/>
  <c r="C98" i="3"/>
  <c r="C38" i="3"/>
  <c r="D38" i="3"/>
  <c r="E38" i="3"/>
  <c r="Q123" i="3"/>
  <c r="F71" i="3"/>
  <c r="E80" i="3"/>
  <c r="T129" i="3"/>
  <c r="T134" i="3"/>
  <c r="T139" i="3"/>
  <c r="T144" i="3"/>
  <c r="T149" i="3"/>
  <c r="T154" i="3"/>
  <c r="D80" i="3"/>
  <c r="C81" i="3"/>
  <c r="D81" i="3"/>
  <c r="V129" i="3"/>
  <c r="V134" i="3"/>
  <c r="V139" i="3"/>
  <c r="V144" i="3"/>
  <c r="V149" i="3"/>
  <c r="V154" i="3"/>
  <c r="T125" i="3"/>
  <c r="T130" i="3"/>
  <c r="T135" i="3"/>
  <c r="T140" i="3"/>
  <c r="T145" i="3"/>
  <c r="T150" i="3"/>
  <c r="T155" i="3"/>
  <c r="V125" i="3"/>
  <c r="V130" i="3"/>
  <c r="V135" i="3"/>
  <c r="V140" i="3"/>
  <c r="V145" i="3"/>
  <c r="V150" i="3"/>
  <c r="V155" i="3"/>
  <c r="C77" i="3"/>
  <c r="T126" i="3"/>
  <c r="T131" i="3"/>
  <c r="T136" i="3"/>
  <c r="T141" i="3"/>
  <c r="T146" i="3"/>
  <c r="T151" i="3"/>
  <c r="D77" i="3"/>
  <c r="V126" i="3"/>
  <c r="V131" i="3"/>
  <c r="V136" i="3"/>
  <c r="V141" i="3"/>
  <c r="V146" i="3"/>
  <c r="V151" i="3"/>
  <c r="E77" i="3"/>
  <c r="D78" i="3"/>
  <c r="T127" i="3"/>
  <c r="T132" i="3"/>
  <c r="T137" i="3"/>
  <c r="T142" i="3"/>
  <c r="T147" i="3"/>
  <c r="T152" i="3"/>
  <c r="E78" i="3"/>
  <c r="V127" i="3"/>
  <c r="V132" i="3"/>
  <c r="V137" i="3"/>
  <c r="V142" i="3"/>
  <c r="V147" i="3"/>
  <c r="V152" i="3"/>
  <c r="T128" i="3"/>
  <c r="T133" i="3"/>
  <c r="T138" i="3"/>
  <c r="T143" i="3"/>
  <c r="T148" i="3"/>
  <c r="V128" i="3"/>
  <c r="V133" i="3"/>
  <c r="V138" i="3"/>
  <c r="V143" i="3"/>
  <c r="V148" i="3"/>
  <c r="X153" i="3" l="1"/>
  <c r="X148" i="3"/>
  <c r="X143" i="3"/>
  <c r="X138" i="3"/>
  <c r="X133" i="3"/>
  <c r="X128" i="3"/>
  <c r="E79" i="3"/>
  <c r="D79" i="3"/>
  <c r="X152" i="3"/>
  <c r="X147" i="3"/>
  <c r="X142" i="3"/>
  <c r="X137" i="3"/>
  <c r="X132" i="3"/>
  <c r="X127" i="3"/>
  <c r="C79" i="3"/>
  <c r="X151" i="3"/>
  <c r="X146" i="3"/>
  <c r="X141" i="3"/>
  <c r="X136" i="3"/>
  <c r="X131" i="3"/>
  <c r="X126" i="3"/>
  <c r="X155" i="3"/>
  <c r="X150" i="3"/>
  <c r="X145" i="3"/>
  <c r="X140" i="3"/>
  <c r="X135" i="3"/>
  <c r="X130" i="3"/>
  <c r="X125" i="3"/>
  <c r="X154" i="3"/>
  <c r="X149" i="3"/>
  <c r="X144" i="3"/>
  <c r="X139" i="3"/>
  <c r="X134" i="3"/>
  <c r="X129"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2" authorId="0" shapeId="0" xr:uid="{00000000-0006-0000-0400-000001000000}">
      <text>
        <r>
          <rPr>
            <sz val="11"/>
            <rFont val="Calibri"/>
          </rPr>
          <t>The system must use templates to deploy VMs whenever possible.</t>
        </r>
      </text>
    </comment>
    <comment ref="J39" authorId="0" shapeId="0" xr:uid="{00000000-0006-0000-0400-000002000000}">
      <text>
        <r>
          <rPr>
            <sz val="11"/>
            <rFont val="Calibri"/>
          </rPr>
          <t>The system must disconnect unauthorized floppy devices.</t>
        </r>
      </text>
    </comment>
    <comment ref="K39" authorId="0" shapeId="0" xr:uid="{00000000-0006-0000-0400-000007000000}">
      <text>
        <r>
          <rPr>
            <sz val="11"/>
            <rFont val="Calibri"/>
          </rPr>
          <t>The system must disconnect unauthorized CD/DVD devices.</t>
        </r>
      </text>
    </comment>
    <comment ref="L39" authorId="0" shapeId="0" xr:uid="{00000000-0006-0000-0400-000003000000}">
      <text>
        <r>
          <rPr>
            <sz val="11"/>
            <rFont val="Calibri"/>
          </rPr>
          <t>The system must disconnect unauthorized parallel devices.</t>
        </r>
      </text>
    </comment>
    <comment ref="M39" authorId="0" shapeId="0" xr:uid="{00000000-0006-0000-0400-000004000000}">
      <text>
        <r>
          <rPr>
            <sz val="11"/>
            <rFont val="Calibri"/>
          </rPr>
          <t>The system must disconnect unauthorized serial devices.</t>
        </r>
      </text>
    </comment>
    <comment ref="N39" authorId="0" shapeId="0" xr:uid="{00000000-0006-0000-0400-000005000000}">
      <text>
        <r>
          <rPr>
            <sz val="11"/>
            <rFont val="Calibri"/>
          </rPr>
          <t>The system must disconnect unauthorized USB devices.</t>
        </r>
      </text>
    </comment>
    <comment ref="O39" authorId="0" shapeId="0" xr:uid="{00000000-0006-0000-0400-000006000000}">
      <text>
        <r>
          <rPr>
            <sz val="11"/>
            <rFont val="Calibri"/>
          </rPr>
          <t>The system must disable console access through the VNC protocol.</t>
        </r>
      </text>
    </comment>
    <comment ref="J48" authorId="0" shapeId="0" xr:uid="{00000000-0006-0000-0400-000008000000}">
      <text>
        <r>
          <rPr>
            <sz val="11"/>
            <rFont val="Calibri"/>
          </rPr>
          <t>The system must minimize use of the VM console.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6" authorId="0" shapeId="0" xr:uid="{00000000-0006-0000-0500-000001000000}">
      <text>
        <r>
          <rPr>
            <sz val="11"/>
            <rFont val="Calibri"/>
          </rPr>
          <t>The system must not send host information to guests.</t>
        </r>
      </text>
    </comment>
    <comment ref="I6" authorId="0" shapeId="0" xr:uid="{00000000-0006-0000-0500-000002000000}">
      <text>
        <r>
          <rPr>
            <sz val="11"/>
            <rFont val="Calibri"/>
          </rPr>
          <t>The system must disable shared salt values.</t>
        </r>
      </text>
    </comment>
    <comment ref="H13" authorId="0" shapeId="0" xr:uid="{00000000-0006-0000-0500-000003000000}">
      <text>
        <r>
          <rPr>
            <sz val="11"/>
            <rFont val="Calibri"/>
          </rPr>
          <t>The system must explicitly disable copy operations.</t>
        </r>
      </text>
    </comment>
    <comment ref="I13" authorId="0" shapeId="0" xr:uid="{00000000-0006-0000-0500-000007000000}">
      <text>
        <r>
          <rPr>
            <sz val="11"/>
            <rFont val="Calibri"/>
          </rPr>
          <t>The system must explicitly disable drag and drop operations.</t>
        </r>
      </text>
    </comment>
    <comment ref="J13" authorId="0" shapeId="0" xr:uid="{00000000-0006-0000-0500-000004000000}">
      <text>
        <r>
          <rPr>
            <sz val="11"/>
            <rFont val="Calibri"/>
          </rPr>
          <t>The system must explicitly disable any GUI functionality for copy/paste operations.</t>
        </r>
      </text>
    </comment>
    <comment ref="K13" authorId="0" shapeId="0" xr:uid="{00000000-0006-0000-0500-000005000000}">
      <text>
        <r>
          <rPr>
            <sz val="11"/>
            <rFont val="Calibri"/>
          </rPr>
          <t>The system must explicitly disable paste operations.</t>
        </r>
      </text>
    </comment>
    <comment ref="L13" authorId="0" shapeId="0" xr:uid="{00000000-0006-0000-0500-000006000000}">
      <text>
        <r>
          <rPr>
            <sz val="11"/>
            <rFont val="Calibri"/>
          </rPr>
          <t>The system must disable HGFS file transfers.</t>
        </r>
      </text>
    </comment>
    <comment ref="H14" authorId="0" shapeId="0" xr:uid="{00000000-0006-0000-0500-000008000000}">
      <text>
        <r>
          <rPr>
            <sz val="11"/>
            <rFont val="Calibri"/>
          </rPr>
          <t>The system must disable HGFS file transfers.</t>
        </r>
      </text>
    </comment>
    <comment ref="I14" authorId="0" shapeId="0" xr:uid="{00000000-0006-0000-0500-000009000000}">
      <text>
        <r>
          <rPr>
            <sz val="11"/>
            <rFont val="Calibri"/>
          </rPr>
          <t>The system must disable console access through the VNC protocol.</t>
        </r>
      </text>
    </comment>
    <comment ref="J14" authorId="0" shapeId="0" xr:uid="{00000000-0006-0000-0500-00000A000000}">
      <text>
        <r>
          <rPr>
            <sz val="11"/>
            <rFont val="Calibri"/>
          </rPr>
          <t>The system must control access to VMs through the dvfilter network APIs.</t>
        </r>
      </text>
    </comment>
    <comment ref="H21" authorId="0" shapeId="0" xr:uid="{00000000-0006-0000-0500-00000B000000}">
      <text>
        <r>
          <rPr>
            <sz val="11"/>
            <rFont val="Calibri"/>
          </rPr>
          <t>The system must minimize use of the VM console.</t>
        </r>
      </text>
    </comment>
    <comment ref="H22" authorId="0" shapeId="0" xr:uid="{00000000-0006-0000-0500-00000C000000}">
      <text>
        <r>
          <rPr>
            <sz val="11"/>
            <rFont val="Calibri"/>
          </rPr>
          <t>The system must disconnect unauthorized floppy devices.</t>
        </r>
      </text>
    </comment>
    <comment ref="I22" authorId="0" shapeId="0" xr:uid="{00000000-0006-0000-0500-00000D000000}">
      <text>
        <r>
          <rPr>
            <sz val="11"/>
            <rFont val="Calibri"/>
          </rPr>
          <t>The system must disconnect unauthorized CD/DVD devices.</t>
        </r>
      </text>
    </comment>
    <comment ref="J22" authorId="0" shapeId="0" xr:uid="{00000000-0006-0000-0500-00000E000000}">
      <text>
        <r>
          <rPr>
            <sz val="11"/>
            <rFont val="Calibri"/>
          </rPr>
          <t>The system must disconnect unauthorized parallel devices.</t>
        </r>
      </text>
    </comment>
    <comment ref="K22" authorId="0" shapeId="0" xr:uid="{00000000-0006-0000-0500-00000F000000}">
      <text>
        <r>
          <rPr>
            <sz val="11"/>
            <rFont val="Calibri"/>
          </rPr>
          <t>The system must disconnect unauthorized serial devices.</t>
        </r>
      </text>
    </comment>
    <comment ref="L22" authorId="0" shapeId="0" xr:uid="{00000000-0006-0000-0500-000010000000}">
      <text>
        <r>
          <rPr>
            <sz val="11"/>
            <rFont val="Calibri"/>
          </rPr>
          <t>The system must disconnect unauthorized USB devices.</t>
        </r>
      </text>
    </comment>
    <comment ref="H27" authorId="0" shapeId="0" xr:uid="{00000000-0006-0000-0500-000011000000}">
      <text>
        <r>
          <rPr>
            <sz val="11"/>
            <rFont val="Calibri"/>
          </rPr>
          <t>The system must disable virtual disk shrinking.</t>
        </r>
      </text>
    </comment>
    <comment ref="I27" authorId="0" shapeId="0" xr:uid="{00000000-0006-0000-0500-000025000000}">
      <text>
        <r>
          <rPr>
            <sz val="11"/>
            <rFont val="Calibri"/>
          </rPr>
          <t>The system must disable virtual disk erasure.</t>
        </r>
      </text>
    </comment>
    <comment ref="J27" authorId="0" shapeId="0" xr:uid="{00000000-0006-0000-0500-000026000000}">
      <text>
        <r>
          <rPr>
            <sz val="11"/>
            <rFont val="Calibri"/>
          </rPr>
          <t>The unexposed feature keyword isolation.tools.ghi.autologon.disable must be set.</t>
        </r>
      </text>
    </comment>
    <comment ref="K27" authorId="0" shapeId="0" xr:uid="{00000000-0006-0000-0500-000027000000}">
      <text>
        <r>
          <rPr>
            <sz val="11"/>
            <rFont val="Calibri"/>
          </rPr>
          <t>The unexposed feature keyword isolation.bios.bbs.disable must be set.</t>
        </r>
      </text>
    </comment>
    <comment ref="L27" authorId="0" shapeId="0" xr:uid="{00000000-0006-0000-0500-000028000000}">
      <text>
        <r>
          <rPr>
            <sz val="11"/>
            <rFont val="Calibri"/>
          </rPr>
          <t>The unexposed feature keyword isolation.tools.getCreds.disable must be set.</t>
        </r>
      </text>
    </comment>
    <comment ref="M27" authorId="0" shapeId="0" xr:uid="{00000000-0006-0000-0500-000012000000}">
      <text>
        <r>
          <rPr>
            <sz val="11"/>
            <rFont val="Calibri"/>
          </rPr>
          <t>The unexposed feature keyword isolation.tools.ghi.launchmenu.change must be set.</t>
        </r>
      </text>
    </comment>
    <comment ref="N27" authorId="0" shapeId="0" xr:uid="{00000000-0006-0000-0500-000013000000}">
      <text>
        <r>
          <rPr>
            <sz val="11"/>
            <rFont val="Calibri"/>
          </rPr>
          <t>The unexposed feature keyword isolation.tools.memSchedFakeSampleStats.disable must be set.</t>
        </r>
      </text>
    </comment>
    <comment ref="O27" authorId="0" shapeId="0" xr:uid="{00000000-0006-0000-0500-000014000000}">
      <text>
        <r>
          <rPr>
            <sz val="11"/>
            <rFont val="Calibri"/>
          </rPr>
          <t>The unexposed feature keyword isolation.tools.ghi.protocolhandler.info.disable must be set.</t>
        </r>
      </text>
    </comment>
    <comment ref="P27" authorId="0" shapeId="0" xr:uid="{00000000-0006-0000-0500-000015000000}">
      <text>
        <r>
          <rPr>
            <sz val="11"/>
            <rFont val="Calibri"/>
          </rPr>
          <t>The unexposed feature keyword isolation.ghi.host.shellAction.disable must be set.</t>
        </r>
      </text>
    </comment>
    <comment ref="Q27" authorId="0" shapeId="0" xr:uid="{00000000-0006-0000-0500-000016000000}">
      <text>
        <r>
          <rPr>
            <sz val="11"/>
            <rFont val="Calibri"/>
          </rPr>
          <t>The unexposed feature keyword isolation.tools.dispTopoRequest.disable must be set.</t>
        </r>
      </text>
    </comment>
    <comment ref="R27" authorId="0" shapeId="0" xr:uid="{00000000-0006-0000-0500-000017000000}">
      <text>
        <r>
          <rPr>
            <sz val="11"/>
            <rFont val="Calibri"/>
          </rPr>
          <t>The unexposed feature keyword isolation.tools.trashFolderState.disable must be set.</t>
        </r>
      </text>
    </comment>
    <comment ref="S27" authorId="0" shapeId="0" xr:uid="{00000000-0006-0000-0500-000018000000}">
      <text>
        <r>
          <rPr>
            <sz val="11"/>
            <rFont val="Calibri"/>
          </rPr>
          <t>The unexposed feature keyword isolation.tools.ghi.trayicon.disable must be set.</t>
        </r>
      </text>
    </comment>
    <comment ref="T27" authorId="0" shapeId="0" xr:uid="{00000000-0006-0000-0500-000019000000}">
      <text>
        <r>
          <rPr>
            <sz val="11"/>
            <rFont val="Calibri"/>
          </rPr>
          <t>The unexposed feature keyword isolation.tools.unity.disable must be set.</t>
        </r>
      </text>
    </comment>
    <comment ref="U27" authorId="0" shapeId="0" xr:uid="{00000000-0006-0000-0500-00001A000000}">
      <text>
        <r>
          <rPr>
            <sz val="11"/>
            <rFont val="Calibri"/>
          </rPr>
          <t>The unexposed feature keyword isolation.tools.unityInterlockOperation.disable must be set.</t>
        </r>
      </text>
    </comment>
    <comment ref="V27" authorId="0" shapeId="0" xr:uid="{00000000-0006-0000-0500-00001B000000}">
      <text>
        <r>
          <rPr>
            <sz val="11"/>
            <rFont val="Calibri"/>
          </rPr>
          <t>The unexposed feature keyword isolation.tools.unity.push.update.disable must be set.</t>
        </r>
      </text>
    </comment>
    <comment ref="W27" authorId="0" shapeId="0" xr:uid="{00000000-0006-0000-0500-00001C000000}">
      <text>
        <r>
          <rPr>
            <sz val="11"/>
            <rFont val="Calibri"/>
          </rPr>
          <t>The unexposed feature keyword isolation.tools.unity.taskbar.disable must be set.</t>
        </r>
      </text>
    </comment>
    <comment ref="X27" authorId="0" shapeId="0" xr:uid="{00000000-0006-0000-0500-00001D000000}">
      <text>
        <r>
          <rPr>
            <sz val="11"/>
            <rFont val="Calibri"/>
          </rPr>
          <t>The unexposed feature keyword isolation.tools.unityActive.disable must be set.</t>
        </r>
      </text>
    </comment>
    <comment ref="Y27" authorId="0" shapeId="0" xr:uid="{00000000-0006-0000-0500-00001E000000}">
      <text>
        <r>
          <rPr>
            <sz val="11"/>
            <rFont val="Calibri"/>
          </rPr>
          <t>The unexposed feature keyword isolation.tools.unity.windowContents.disable must be set.</t>
        </r>
      </text>
    </comment>
    <comment ref="Z27" authorId="0" shapeId="0" xr:uid="{00000000-0006-0000-0500-00001F000000}">
      <text>
        <r>
          <rPr>
            <sz val="11"/>
            <rFont val="Calibri"/>
          </rPr>
          <t>The unexposed feature keyword isolation.tools.vmxDnDVersionGet.disable must be set.</t>
        </r>
      </text>
    </comment>
    <comment ref="AA27" authorId="0" shapeId="0" xr:uid="{00000000-0006-0000-0500-000020000000}">
      <text>
        <r>
          <rPr>
            <sz val="11"/>
            <rFont val="Calibri"/>
          </rPr>
          <t>The unexposed feature keyword isolation.tools.guestDnDVersionSet.disable must be set.</t>
        </r>
      </text>
    </comment>
    <comment ref="AB27" authorId="0" shapeId="0" xr:uid="{00000000-0006-0000-0500-000021000000}">
      <text>
        <r>
          <rPr>
            <sz val="11"/>
            <rFont val="Calibri"/>
          </rPr>
          <t>The system must disable VIX messages from the VM.</t>
        </r>
      </text>
    </comment>
    <comment ref="AC27" authorId="0" shapeId="0" xr:uid="{00000000-0006-0000-0500-000022000000}">
      <text>
        <r>
          <rPr>
            <sz val="11"/>
            <rFont val="Calibri"/>
          </rPr>
          <t>The system must disable tools auto install.</t>
        </r>
      </text>
    </comment>
    <comment ref="AD27" authorId="0" shapeId="0" xr:uid="{00000000-0006-0000-0500-000023000000}">
      <text>
        <r>
          <rPr>
            <sz val="11"/>
            <rFont val="Calibri"/>
          </rPr>
          <t>The system must limit informational messages from the VM to the VMX file.</t>
        </r>
      </text>
    </comment>
    <comment ref="AE27" authorId="0" shapeId="0" xr:uid="{00000000-0006-0000-0500-000024000000}">
      <text>
        <r>
          <rPr>
            <sz val="11"/>
            <rFont val="Calibri"/>
          </rPr>
          <t>The system must use templates to deploy VMs whenever possible.</t>
        </r>
      </text>
    </comment>
    <comment ref="H31" authorId="0" shapeId="0" xr:uid="{00000000-0006-0000-0500-000029000000}">
      <text>
        <r>
          <rPr>
            <sz val="11"/>
            <rFont val="Calibri"/>
          </rPr>
          <t>The system must prevent unauthorized removal, connection and modification of devices.</t>
        </r>
      </text>
    </comment>
    <comment ref="I31" authorId="0" shapeId="0" xr:uid="{00000000-0006-0000-0500-00002A000000}">
      <text>
        <r>
          <rPr>
            <sz val="11"/>
            <rFont val="Calibri"/>
          </rPr>
          <t>The system must prevent unauthorized removal, connection and modification of devices.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7" authorId="0" shapeId="0" xr:uid="{00000000-0006-0000-0600-000001000000}">
      <text>
        <r>
          <rPr>
            <sz val="11"/>
            <rFont val="Calibri"/>
          </rPr>
          <t>The system must minimize use of the VM console.</t>
        </r>
      </text>
    </comment>
    <comment ref="J9" authorId="0" shapeId="0" xr:uid="{00000000-0006-0000-0600-000002000000}">
      <text>
        <r>
          <rPr>
            <sz val="11"/>
            <rFont val="Calibri"/>
          </rPr>
          <t>The system must prevent unauthorized removal, connection and modification of devices.</t>
        </r>
      </text>
    </comment>
    <comment ref="K9" authorId="0" shapeId="0" xr:uid="{00000000-0006-0000-0600-000003000000}">
      <text>
        <r>
          <rPr>
            <sz val="11"/>
            <rFont val="Calibri"/>
          </rPr>
          <t>The system must prevent unauthorized removal, connection and modification of devices.</t>
        </r>
      </text>
    </comment>
    <comment ref="J13" authorId="0" shapeId="0" xr:uid="{00000000-0006-0000-0600-000004000000}">
      <text>
        <r>
          <rPr>
            <sz val="11"/>
            <rFont val="Calibri"/>
          </rPr>
          <t>The system must limit sharing of console connections.</t>
        </r>
      </text>
    </comment>
    <comment ref="J30" authorId="0" shapeId="0" xr:uid="{00000000-0006-0000-0600-000005000000}">
      <text>
        <r>
          <rPr>
            <sz val="11"/>
            <rFont val="Calibri"/>
          </rPr>
          <t>The system must not use independent, non-persistent disks.</t>
        </r>
      </text>
    </comment>
    <comment ref="J32" authorId="0" shapeId="0" xr:uid="{00000000-0006-0000-0600-000006000000}">
      <text>
        <r>
          <rPr>
            <sz val="11"/>
            <rFont val="Calibri"/>
          </rPr>
          <t>The system must use templates to deploy VMs whenever possible.</t>
        </r>
      </text>
    </comment>
    <comment ref="J33" authorId="0" shapeId="0" xr:uid="{00000000-0006-0000-0600-000007000000}">
      <text>
        <r>
          <rPr>
            <sz val="11"/>
            <rFont val="Calibri"/>
          </rPr>
          <t>The system must disable VIX messages from the VM.</t>
        </r>
      </text>
    </comment>
    <comment ref="K33" authorId="0" shapeId="0" xr:uid="{00000000-0006-0000-0600-000008000000}">
      <text>
        <r>
          <rPr>
            <sz val="11"/>
            <rFont val="Calibri"/>
          </rPr>
          <t>The system must limit informational messages from the VM to the VMX file.</t>
        </r>
      </text>
    </comment>
    <comment ref="J37" authorId="0" shapeId="0" xr:uid="{00000000-0006-0000-0600-000009000000}">
      <text>
        <r>
          <rPr>
            <sz val="11"/>
            <rFont val="Calibri"/>
          </rPr>
          <t>The system must disable virtual disk shrinking.</t>
        </r>
      </text>
    </comment>
    <comment ref="K37" authorId="0" shapeId="0" xr:uid="{00000000-0006-0000-0600-000025000000}">
      <text>
        <r>
          <rPr>
            <sz val="11"/>
            <rFont val="Calibri"/>
          </rPr>
          <t>The system must disable virtual disk erasure.</t>
        </r>
      </text>
    </comment>
    <comment ref="L37" authorId="0" shapeId="0" xr:uid="{00000000-0006-0000-0600-00000A000000}">
      <text>
        <r>
          <rPr>
            <sz val="11"/>
            <rFont val="Calibri"/>
          </rPr>
          <t>The system must disable HGFS file transfers.</t>
        </r>
      </text>
    </comment>
    <comment ref="M37" authorId="0" shapeId="0" xr:uid="{00000000-0006-0000-0600-00000B000000}">
      <text>
        <r>
          <rPr>
            <sz val="11"/>
            <rFont val="Calibri"/>
          </rPr>
          <t>The unexposed feature keyword isolation.tools.ghi.autologon.disable must be set.</t>
        </r>
      </text>
    </comment>
    <comment ref="N37" authorId="0" shapeId="0" xr:uid="{00000000-0006-0000-0600-00000C000000}">
      <text>
        <r>
          <rPr>
            <sz val="11"/>
            <rFont val="Calibri"/>
          </rPr>
          <t>The unexposed feature keyword isolation.bios.bbs.disable must be set.</t>
        </r>
      </text>
    </comment>
    <comment ref="O37" authorId="0" shapeId="0" xr:uid="{00000000-0006-0000-0600-00000D000000}">
      <text>
        <r>
          <rPr>
            <sz val="11"/>
            <rFont val="Calibri"/>
          </rPr>
          <t>The unexposed feature keyword isolation.tools.getCreds.disable must be set.</t>
        </r>
      </text>
    </comment>
    <comment ref="P37" authorId="0" shapeId="0" xr:uid="{00000000-0006-0000-0600-00000E000000}">
      <text>
        <r>
          <rPr>
            <sz val="11"/>
            <rFont val="Calibri"/>
          </rPr>
          <t>The unexposed feature keyword isolation.tools.ghi.launchmenu.change must be set.</t>
        </r>
      </text>
    </comment>
    <comment ref="Q37" authorId="0" shapeId="0" xr:uid="{00000000-0006-0000-0600-00000F000000}">
      <text>
        <r>
          <rPr>
            <sz val="11"/>
            <rFont val="Calibri"/>
          </rPr>
          <t>The unexposed feature keyword isolation.tools.memSchedFakeSampleStats.disable must be set.</t>
        </r>
      </text>
    </comment>
    <comment ref="R37" authorId="0" shapeId="0" xr:uid="{00000000-0006-0000-0600-000010000000}">
      <text>
        <r>
          <rPr>
            <sz val="11"/>
            <rFont val="Calibri"/>
          </rPr>
          <t>The unexposed feature keyword isolation.tools.ghi.protocolhandler.info.disable must be set.</t>
        </r>
      </text>
    </comment>
    <comment ref="S37" authorId="0" shapeId="0" xr:uid="{00000000-0006-0000-0600-000011000000}">
      <text>
        <r>
          <rPr>
            <sz val="11"/>
            <rFont val="Calibri"/>
          </rPr>
          <t>The unexposed feature keyword isolation.ghi.host.shellAction.disable must be set.</t>
        </r>
      </text>
    </comment>
    <comment ref="T37" authorId="0" shapeId="0" xr:uid="{00000000-0006-0000-0600-000012000000}">
      <text>
        <r>
          <rPr>
            <sz val="11"/>
            <rFont val="Calibri"/>
          </rPr>
          <t>The unexposed feature keyword isolation.tools.dispTopoRequest.disable must be set.</t>
        </r>
      </text>
    </comment>
    <comment ref="U37" authorId="0" shapeId="0" xr:uid="{00000000-0006-0000-0600-000013000000}">
      <text>
        <r>
          <rPr>
            <sz val="11"/>
            <rFont val="Calibri"/>
          </rPr>
          <t>The unexposed feature keyword isolation.tools.trashFolderState.disable must be set.</t>
        </r>
      </text>
    </comment>
    <comment ref="V37" authorId="0" shapeId="0" xr:uid="{00000000-0006-0000-0600-000014000000}">
      <text>
        <r>
          <rPr>
            <sz val="11"/>
            <rFont val="Calibri"/>
          </rPr>
          <t>The unexposed feature keyword isolation.tools.ghi.trayicon.disable must be set.</t>
        </r>
      </text>
    </comment>
    <comment ref="W37" authorId="0" shapeId="0" xr:uid="{00000000-0006-0000-0600-000015000000}">
      <text>
        <r>
          <rPr>
            <sz val="11"/>
            <rFont val="Calibri"/>
          </rPr>
          <t>The unexposed feature keyword isolation.tools.unity.disable must be set.</t>
        </r>
      </text>
    </comment>
    <comment ref="X37" authorId="0" shapeId="0" xr:uid="{00000000-0006-0000-0600-000016000000}">
      <text>
        <r>
          <rPr>
            <sz val="11"/>
            <rFont val="Calibri"/>
          </rPr>
          <t>The unexposed feature keyword isolation.tools.unityInterlockOperation.disable must be set.</t>
        </r>
      </text>
    </comment>
    <comment ref="Y37" authorId="0" shapeId="0" xr:uid="{00000000-0006-0000-0600-000017000000}">
      <text>
        <r>
          <rPr>
            <sz val="11"/>
            <rFont val="Calibri"/>
          </rPr>
          <t>The unexposed feature keyword isolation.tools.unity.push.update.disable must be set.</t>
        </r>
      </text>
    </comment>
    <comment ref="Z37" authorId="0" shapeId="0" xr:uid="{00000000-0006-0000-0600-000018000000}">
      <text>
        <r>
          <rPr>
            <sz val="11"/>
            <rFont val="Calibri"/>
          </rPr>
          <t>The unexposed feature keyword isolation.tools.unity.taskbar.disable must be set.</t>
        </r>
      </text>
    </comment>
    <comment ref="AA37" authorId="0" shapeId="0" xr:uid="{00000000-0006-0000-0600-000019000000}">
      <text>
        <r>
          <rPr>
            <sz val="11"/>
            <rFont val="Calibri"/>
          </rPr>
          <t>The unexposed feature keyword isolation.tools.unityActive.disable must be set.</t>
        </r>
      </text>
    </comment>
    <comment ref="AB37" authorId="0" shapeId="0" xr:uid="{00000000-0006-0000-0600-00001A000000}">
      <text>
        <r>
          <rPr>
            <sz val="11"/>
            <rFont val="Calibri"/>
          </rPr>
          <t>The unexposed feature keyword isolation.tools.unity.windowContents.disable must be set.</t>
        </r>
      </text>
    </comment>
    <comment ref="AC37" authorId="0" shapeId="0" xr:uid="{00000000-0006-0000-0600-00001B000000}">
      <text>
        <r>
          <rPr>
            <sz val="11"/>
            <rFont val="Calibri"/>
          </rPr>
          <t>The unexposed feature keyword isolation.tools.vmxDnDVersionGet.disable must be set.</t>
        </r>
      </text>
    </comment>
    <comment ref="AD37" authorId="0" shapeId="0" xr:uid="{00000000-0006-0000-0600-00001C000000}">
      <text>
        <r>
          <rPr>
            <sz val="11"/>
            <rFont val="Calibri"/>
          </rPr>
          <t>The unexposed feature keyword isolation.tools.guestDnDVersionSet.disable must be set.</t>
        </r>
      </text>
    </comment>
    <comment ref="AE37" authorId="0" shapeId="0" xr:uid="{00000000-0006-0000-0600-00001D000000}">
      <text>
        <r>
          <rPr>
            <sz val="11"/>
            <rFont val="Calibri"/>
          </rPr>
          <t>The system must disconnect unauthorized floppy devices.</t>
        </r>
      </text>
    </comment>
    <comment ref="AF37" authorId="0" shapeId="0" xr:uid="{00000000-0006-0000-0600-00001E000000}">
      <text>
        <r>
          <rPr>
            <sz val="11"/>
            <rFont val="Calibri"/>
          </rPr>
          <t>The system must disconnect unauthorized CD/DVD devices.</t>
        </r>
      </text>
    </comment>
    <comment ref="AG37" authorId="0" shapeId="0" xr:uid="{00000000-0006-0000-0600-00001F000000}">
      <text>
        <r>
          <rPr>
            <sz val="11"/>
            <rFont val="Calibri"/>
          </rPr>
          <t>The system must disconnect unauthorized parallel devices.</t>
        </r>
      </text>
    </comment>
    <comment ref="AH37" authorId="0" shapeId="0" xr:uid="{00000000-0006-0000-0600-000020000000}">
      <text>
        <r>
          <rPr>
            <sz val="11"/>
            <rFont val="Calibri"/>
          </rPr>
          <t>The system must disconnect unauthorized serial devices.</t>
        </r>
      </text>
    </comment>
    <comment ref="AI37" authorId="0" shapeId="0" xr:uid="{00000000-0006-0000-0600-000021000000}">
      <text>
        <r>
          <rPr>
            <sz val="11"/>
            <rFont val="Calibri"/>
          </rPr>
          <t>The system must disconnect unauthorized USB devices.</t>
        </r>
      </text>
    </comment>
    <comment ref="AJ37" authorId="0" shapeId="0" xr:uid="{00000000-0006-0000-0600-000022000000}">
      <text>
        <r>
          <rPr>
            <sz val="11"/>
            <rFont val="Calibri"/>
          </rPr>
          <t>The system must disable console access through the VNC protocol.</t>
        </r>
      </text>
    </comment>
    <comment ref="AK37" authorId="0" shapeId="0" xr:uid="{00000000-0006-0000-0600-000023000000}">
      <text>
        <r>
          <rPr>
            <sz val="11"/>
            <rFont val="Calibri"/>
          </rPr>
          <t>The system must disable tools auto install.</t>
        </r>
      </text>
    </comment>
    <comment ref="AL37" authorId="0" shapeId="0" xr:uid="{00000000-0006-0000-0600-000024000000}">
      <text>
        <r>
          <rPr>
            <sz val="11"/>
            <rFont val="Calibri"/>
          </rPr>
          <t>The system must control access to VMs through the dvfilter network APIs.</t>
        </r>
      </text>
    </comment>
    <comment ref="J67" authorId="0" shapeId="0" xr:uid="{00000000-0006-0000-0600-000026000000}">
      <text>
        <r>
          <rPr>
            <sz val="11"/>
            <rFont val="Calibri"/>
          </rPr>
          <t>The system must disconnect unauthorized CD/DVD devices.</t>
        </r>
      </text>
    </comment>
    <comment ref="K67" authorId="0" shapeId="0" xr:uid="{00000000-0006-0000-0600-000027000000}">
      <text>
        <r>
          <rPr>
            <sz val="11"/>
            <rFont val="Calibri"/>
          </rPr>
          <t>The system must disconnect unauthorized USB devices.</t>
        </r>
      </text>
    </comment>
    <comment ref="J89" authorId="0" shapeId="0" xr:uid="{00000000-0006-0000-0600-000028000000}">
      <text>
        <r>
          <rPr>
            <sz val="11"/>
            <rFont val="Calibri"/>
          </rPr>
          <t>The system must explicitly disable copy operations.</t>
        </r>
      </text>
    </comment>
    <comment ref="K89" authorId="0" shapeId="0" xr:uid="{00000000-0006-0000-0600-000029000000}">
      <text>
        <r>
          <rPr>
            <sz val="11"/>
            <rFont val="Calibri"/>
          </rPr>
          <t>The system must explicitly disable drag and drop operations.</t>
        </r>
      </text>
    </comment>
    <comment ref="L89" authorId="0" shapeId="0" xr:uid="{00000000-0006-0000-0600-00002A000000}">
      <text>
        <r>
          <rPr>
            <sz val="11"/>
            <rFont val="Calibri"/>
          </rPr>
          <t>The system must explicitly disable any GUI functionality for copy/paste operations.</t>
        </r>
      </text>
    </comment>
    <comment ref="M89" authorId="0" shapeId="0" xr:uid="{00000000-0006-0000-0600-00002B000000}">
      <text>
        <r>
          <rPr>
            <sz val="11"/>
            <rFont val="Calibri"/>
          </rPr>
          <t>The system must explicitly disable paste operations.</t>
        </r>
      </text>
    </comment>
    <comment ref="N89" authorId="0" shapeId="0" xr:uid="{00000000-0006-0000-0600-00002C000000}">
      <text>
        <r>
          <rPr>
            <sz val="11"/>
            <rFont val="Calibri"/>
          </rPr>
          <t>The system must disable HGFS file transfers.</t>
        </r>
      </text>
    </comment>
    <comment ref="O89" authorId="0" shapeId="0" xr:uid="{00000000-0006-0000-0600-00002D000000}">
      <text>
        <r>
          <rPr>
            <sz val="11"/>
            <rFont val="Calibri"/>
          </rPr>
          <t>The system must not send host information to guests.</t>
        </r>
      </text>
    </comment>
    <comment ref="P89" authorId="0" shapeId="0" xr:uid="{00000000-0006-0000-0600-00002E000000}">
      <text>
        <r>
          <rPr>
            <sz val="11"/>
            <rFont val="Calibri"/>
          </rPr>
          <t>The system must disable shared salt values.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93" authorId="0" shapeId="0" xr:uid="{00000000-0006-0000-0700-000001000000}">
      <text>
        <r>
          <rPr>
            <sz val="11"/>
            <rFont val="Calibri"/>
          </rPr>
          <t>The system must limit sharing of console connections.</t>
        </r>
      </text>
    </comment>
    <comment ref="I93" authorId="0" shapeId="0" xr:uid="{00000000-0006-0000-0700-000004000000}">
      <text>
        <r>
          <rPr>
            <sz val="11"/>
            <rFont val="Calibri"/>
          </rPr>
          <t>The system must prevent unauthorized removal, connection and modification of devices.</t>
        </r>
      </text>
    </comment>
    <comment ref="J93" authorId="0" shapeId="0" xr:uid="{00000000-0006-0000-0700-000002000000}">
      <text>
        <r>
          <rPr>
            <sz val="11"/>
            <rFont val="Calibri"/>
          </rPr>
          <t>The system must prevent unauthorized removal, connection and modification of devices.</t>
        </r>
      </text>
    </comment>
    <comment ref="K93" authorId="0" shapeId="0" xr:uid="{00000000-0006-0000-0700-000003000000}">
      <text>
        <r>
          <rPr>
            <sz val="11"/>
            <rFont val="Calibri"/>
          </rPr>
          <t>The system must minimize use of the VM console.</t>
        </r>
      </text>
    </comment>
    <comment ref="H113" authorId="0" shapeId="0" xr:uid="{00000000-0006-0000-0700-000005000000}">
      <text>
        <r>
          <rPr>
            <sz val="11"/>
            <rFont val="Calibri"/>
          </rPr>
          <t>The system must disable VIX messages from the VM.</t>
        </r>
      </text>
    </comment>
    <comment ref="I113" authorId="0" shapeId="0" xr:uid="{00000000-0006-0000-0700-000006000000}">
      <text>
        <r>
          <rPr>
            <sz val="11"/>
            <rFont val="Calibri"/>
          </rPr>
          <t>The system must limit informational messages from the VM to the VMX file.</t>
        </r>
      </text>
    </comment>
    <comment ref="H114" authorId="0" shapeId="0" xr:uid="{00000000-0006-0000-0700-000007000000}">
      <text>
        <r>
          <rPr>
            <sz val="11"/>
            <rFont val="Calibri"/>
          </rPr>
          <t>The system must explicitly disable copy operations.</t>
        </r>
      </text>
    </comment>
    <comment ref="I114" authorId="0" shapeId="0" xr:uid="{00000000-0006-0000-0700-00000A000000}">
      <text>
        <r>
          <rPr>
            <sz val="11"/>
            <rFont val="Calibri"/>
          </rPr>
          <t>The system must explicitly disable drag and drop operations.</t>
        </r>
      </text>
    </comment>
    <comment ref="J114" authorId="0" shapeId="0" xr:uid="{00000000-0006-0000-0700-00000B000000}">
      <text>
        <r>
          <rPr>
            <sz val="11"/>
            <rFont val="Calibri"/>
          </rPr>
          <t>The system must explicitly disable any GUI functionality for copy/paste operations.</t>
        </r>
      </text>
    </comment>
    <comment ref="K114" authorId="0" shapeId="0" xr:uid="{00000000-0006-0000-0700-00000C000000}">
      <text>
        <r>
          <rPr>
            <sz val="11"/>
            <rFont val="Calibri"/>
          </rPr>
          <t>The system must explicitly disable paste operations.</t>
        </r>
      </text>
    </comment>
    <comment ref="L114" authorId="0" shapeId="0" xr:uid="{00000000-0006-0000-0700-000008000000}">
      <text>
        <r>
          <rPr>
            <sz val="11"/>
            <rFont val="Calibri"/>
          </rPr>
          <t>The system must disable HGFS file transfers.</t>
        </r>
      </text>
    </comment>
    <comment ref="M114" authorId="0" shapeId="0" xr:uid="{00000000-0006-0000-0700-000009000000}">
      <text>
        <r>
          <rPr>
            <sz val="11"/>
            <rFont val="Calibri"/>
          </rPr>
          <t>The system must not send host information to guests.</t>
        </r>
      </text>
    </comment>
    <comment ref="H118" authorId="0" shapeId="0" xr:uid="{00000000-0006-0000-0700-00000D000000}">
      <text>
        <r>
          <rPr>
            <sz val="11"/>
            <rFont val="Calibri"/>
          </rPr>
          <t>The system must disable shared salt values.</t>
        </r>
      </text>
    </comment>
    <comment ref="H142" authorId="0" shapeId="0" xr:uid="{00000000-0006-0000-0700-00000E000000}">
      <text>
        <r>
          <rPr>
            <sz val="11"/>
            <rFont val="Calibri"/>
          </rPr>
          <t>The system must disable virtual disk shrinking.</t>
        </r>
      </text>
    </comment>
    <comment ref="I142" authorId="0" shapeId="0" xr:uid="{00000000-0006-0000-0700-000028000000}">
      <text>
        <r>
          <rPr>
            <sz val="11"/>
            <rFont val="Calibri"/>
          </rPr>
          <t>The system must disable virtual disk erasure.</t>
        </r>
      </text>
    </comment>
    <comment ref="J142" authorId="0" shapeId="0" xr:uid="{00000000-0006-0000-0700-000029000000}">
      <text>
        <r>
          <rPr>
            <sz val="11"/>
            <rFont val="Calibri"/>
          </rPr>
          <t>The unexposed feature keyword isolation.tools.ghi.autologon.disable must be set.</t>
        </r>
      </text>
    </comment>
    <comment ref="K142" authorId="0" shapeId="0" xr:uid="{00000000-0006-0000-0700-00002A000000}">
      <text>
        <r>
          <rPr>
            <sz val="11"/>
            <rFont val="Calibri"/>
          </rPr>
          <t>The unexposed feature keyword isolation.bios.bbs.disable must be set.</t>
        </r>
      </text>
    </comment>
    <comment ref="L142" authorId="0" shapeId="0" xr:uid="{00000000-0006-0000-0700-00002B000000}">
      <text>
        <r>
          <rPr>
            <sz val="11"/>
            <rFont val="Calibri"/>
          </rPr>
          <t>The unexposed feature keyword isolation.tools.getCreds.disable must be set.</t>
        </r>
      </text>
    </comment>
    <comment ref="M142" authorId="0" shapeId="0" xr:uid="{00000000-0006-0000-0700-00002C000000}">
      <text>
        <r>
          <rPr>
            <sz val="11"/>
            <rFont val="Calibri"/>
          </rPr>
          <t>The unexposed feature keyword isolation.tools.ghi.launchmenu.change must be set.</t>
        </r>
      </text>
    </comment>
    <comment ref="N142" authorId="0" shapeId="0" xr:uid="{00000000-0006-0000-0700-00000F000000}">
      <text>
        <r>
          <rPr>
            <sz val="11"/>
            <rFont val="Calibri"/>
          </rPr>
          <t>The unexposed feature keyword isolation.tools.memSchedFakeSampleStats.disable must be set.</t>
        </r>
      </text>
    </comment>
    <comment ref="O142" authorId="0" shapeId="0" xr:uid="{00000000-0006-0000-0700-000010000000}">
      <text>
        <r>
          <rPr>
            <sz val="11"/>
            <rFont val="Calibri"/>
          </rPr>
          <t>The unexposed feature keyword isolation.tools.ghi.protocolhandler.info.disable must be set.</t>
        </r>
      </text>
    </comment>
    <comment ref="P142" authorId="0" shapeId="0" xr:uid="{00000000-0006-0000-0700-000011000000}">
      <text>
        <r>
          <rPr>
            <sz val="11"/>
            <rFont val="Calibri"/>
          </rPr>
          <t>The unexposed feature keyword isolation.ghi.host.shellAction.disable must be set.</t>
        </r>
      </text>
    </comment>
    <comment ref="Q142" authorId="0" shapeId="0" xr:uid="{00000000-0006-0000-0700-000012000000}">
      <text>
        <r>
          <rPr>
            <sz val="11"/>
            <rFont val="Calibri"/>
          </rPr>
          <t>The unexposed feature keyword isolation.tools.dispTopoRequest.disable must be set.</t>
        </r>
      </text>
    </comment>
    <comment ref="R142" authorId="0" shapeId="0" xr:uid="{00000000-0006-0000-0700-000013000000}">
      <text>
        <r>
          <rPr>
            <sz val="11"/>
            <rFont val="Calibri"/>
          </rPr>
          <t>The unexposed feature keyword isolation.tools.trashFolderState.disable must be set.</t>
        </r>
      </text>
    </comment>
    <comment ref="S142" authorId="0" shapeId="0" xr:uid="{00000000-0006-0000-0700-000014000000}">
      <text>
        <r>
          <rPr>
            <sz val="11"/>
            <rFont val="Calibri"/>
          </rPr>
          <t>The unexposed feature keyword isolation.tools.ghi.trayicon.disable must be set.</t>
        </r>
      </text>
    </comment>
    <comment ref="T142" authorId="0" shapeId="0" xr:uid="{00000000-0006-0000-0700-000015000000}">
      <text>
        <r>
          <rPr>
            <sz val="11"/>
            <rFont val="Calibri"/>
          </rPr>
          <t>The unexposed feature keyword isolation.tools.unity.disable must be set.</t>
        </r>
      </text>
    </comment>
    <comment ref="U142" authorId="0" shapeId="0" xr:uid="{00000000-0006-0000-0700-000016000000}">
      <text>
        <r>
          <rPr>
            <sz val="11"/>
            <rFont val="Calibri"/>
          </rPr>
          <t>The unexposed feature keyword isolation.tools.unityInterlockOperation.disable must be set.</t>
        </r>
      </text>
    </comment>
    <comment ref="V142" authorId="0" shapeId="0" xr:uid="{00000000-0006-0000-0700-000017000000}">
      <text>
        <r>
          <rPr>
            <sz val="11"/>
            <rFont val="Calibri"/>
          </rPr>
          <t>The unexposed feature keyword isolation.tools.unity.push.update.disable must be set.</t>
        </r>
      </text>
    </comment>
    <comment ref="W142" authorId="0" shapeId="0" xr:uid="{00000000-0006-0000-0700-000018000000}">
      <text>
        <r>
          <rPr>
            <sz val="11"/>
            <rFont val="Calibri"/>
          </rPr>
          <t>The unexposed feature keyword isolation.tools.unity.taskbar.disable must be set.</t>
        </r>
      </text>
    </comment>
    <comment ref="X142" authorId="0" shapeId="0" xr:uid="{00000000-0006-0000-0700-000019000000}">
      <text>
        <r>
          <rPr>
            <sz val="11"/>
            <rFont val="Calibri"/>
          </rPr>
          <t>The unexposed feature keyword isolation.tools.unityActive.disable must be set.</t>
        </r>
      </text>
    </comment>
    <comment ref="Y142" authorId="0" shapeId="0" xr:uid="{00000000-0006-0000-0700-00001A000000}">
      <text>
        <r>
          <rPr>
            <sz val="11"/>
            <rFont val="Calibri"/>
          </rPr>
          <t>The unexposed feature keyword isolation.tools.unity.windowContents.disable must be set.</t>
        </r>
      </text>
    </comment>
    <comment ref="Z142" authorId="0" shapeId="0" xr:uid="{00000000-0006-0000-0700-00001B000000}">
      <text>
        <r>
          <rPr>
            <sz val="11"/>
            <rFont val="Calibri"/>
          </rPr>
          <t>The unexposed feature keyword isolation.tools.vmxDnDVersionGet.disable must be set.</t>
        </r>
      </text>
    </comment>
    <comment ref="AA142" authorId="0" shapeId="0" xr:uid="{00000000-0006-0000-0700-00001C000000}">
      <text>
        <r>
          <rPr>
            <sz val="11"/>
            <rFont val="Calibri"/>
          </rPr>
          <t>The unexposed feature keyword isolation.tools.guestDnDVersionSet.disable must be set.</t>
        </r>
      </text>
    </comment>
    <comment ref="AB142" authorId="0" shapeId="0" xr:uid="{00000000-0006-0000-0700-00001D000000}">
      <text>
        <r>
          <rPr>
            <sz val="11"/>
            <rFont val="Calibri"/>
          </rPr>
          <t>The system must disable VIX messages from the VM.</t>
        </r>
      </text>
    </comment>
    <comment ref="AC142" authorId="0" shapeId="0" xr:uid="{00000000-0006-0000-0700-00001E000000}">
      <text>
        <r>
          <rPr>
            <sz val="11"/>
            <rFont val="Calibri"/>
          </rPr>
          <t>The system must disconnect unauthorized floppy devices.</t>
        </r>
      </text>
    </comment>
    <comment ref="AD142" authorId="0" shapeId="0" xr:uid="{00000000-0006-0000-0700-00001F000000}">
      <text>
        <r>
          <rPr>
            <sz val="11"/>
            <rFont val="Calibri"/>
          </rPr>
          <t>The system must disconnect unauthorized CD/DVD devices.</t>
        </r>
      </text>
    </comment>
    <comment ref="AE142" authorId="0" shapeId="0" xr:uid="{00000000-0006-0000-0700-000020000000}">
      <text>
        <r>
          <rPr>
            <sz val="11"/>
            <rFont val="Calibri"/>
          </rPr>
          <t>The system must disconnect unauthorized parallel devices.</t>
        </r>
      </text>
    </comment>
    <comment ref="AF142" authorId="0" shapeId="0" xr:uid="{00000000-0006-0000-0700-000021000000}">
      <text>
        <r>
          <rPr>
            <sz val="11"/>
            <rFont val="Calibri"/>
          </rPr>
          <t>The system must disconnect unauthorized serial devices.</t>
        </r>
      </text>
    </comment>
    <comment ref="AG142" authorId="0" shapeId="0" xr:uid="{00000000-0006-0000-0700-000022000000}">
      <text>
        <r>
          <rPr>
            <sz val="11"/>
            <rFont val="Calibri"/>
          </rPr>
          <t>The system must disconnect unauthorized USB devices.</t>
        </r>
      </text>
    </comment>
    <comment ref="AH142" authorId="0" shapeId="0" xr:uid="{00000000-0006-0000-0700-000023000000}">
      <text>
        <r>
          <rPr>
            <sz val="11"/>
            <rFont val="Calibri"/>
          </rPr>
          <t>The system must disable console access through the VNC protocol.</t>
        </r>
      </text>
    </comment>
    <comment ref="AI142" authorId="0" shapeId="0" xr:uid="{00000000-0006-0000-0700-000024000000}">
      <text>
        <r>
          <rPr>
            <sz val="11"/>
            <rFont val="Calibri"/>
          </rPr>
          <t>The system must disable tools auto install.</t>
        </r>
      </text>
    </comment>
    <comment ref="AJ142" authorId="0" shapeId="0" xr:uid="{00000000-0006-0000-0700-000025000000}">
      <text>
        <r>
          <rPr>
            <sz val="11"/>
            <rFont val="Calibri"/>
          </rPr>
          <t>The system must limit informational messages from the VM to the VMX file.</t>
        </r>
      </text>
    </comment>
    <comment ref="AK142" authorId="0" shapeId="0" xr:uid="{00000000-0006-0000-0700-000026000000}">
      <text>
        <r>
          <rPr>
            <sz val="11"/>
            <rFont val="Calibri"/>
          </rPr>
          <t>The system must control access to VMs through the dvfilter network APIs.</t>
        </r>
      </text>
    </comment>
    <comment ref="AL142" authorId="0" shapeId="0" xr:uid="{00000000-0006-0000-0700-000027000000}">
      <text>
        <r>
          <rPr>
            <sz val="11"/>
            <rFont val="Calibri"/>
          </rPr>
          <t>The system must use templates to deploy VMs whenever possible.</t>
        </r>
      </text>
    </comment>
    <comment ref="H145" authorId="0" shapeId="0" xr:uid="{00000000-0006-0000-0700-00002D000000}">
      <text>
        <r>
          <rPr>
            <sz val="11"/>
            <rFont val="Calibri"/>
          </rPr>
          <t>The system must not use independent, non-persistent disks.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52" authorId="0" shapeId="0" xr:uid="{00000000-0006-0000-0800-000001000000}">
      <text>
        <r>
          <rPr>
            <sz val="11"/>
            <rFont val="Calibri"/>
          </rPr>
          <t>The system must disable console access through the VNC protocol.</t>
        </r>
      </text>
    </comment>
    <comment ref="G83" authorId="0" shapeId="0" xr:uid="{00000000-0006-0000-0800-000002000000}">
      <text>
        <r>
          <rPr>
            <sz val="11"/>
            <rFont val="Calibri"/>
          </rPr>
          <t>The system must minimize use of the VM console.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32" authorId="0" shapeId="0" xr:uid="{00000000-0006-0000-0A00-000001000000}">
      <text>
        <r>
          <rPr>
            <sz val="11"/>
            <rFont val="Calibri"/>
          </rPr>
          <t>The system must use templates to deploy VMs whenever possible.</t>
        </r>
      </text>
    </comment>
    <comment ref="L35" authorId="0" shapeId="0" xr:uid="{00000000-0006-0000-0A00-000002000000}">
      <text>
        <r>
          <rPr>
            <sz val="11"/>
            <rFont val="Calibri"/>
          </rPr>
          <t>The system must disable console access through the VNC protocol.</t>
        </r>
      </text>
    </comment>
  </commentList>
</comments>
</file>

<file path=xl/sharedStrings.xml><?xml version="1.0" encoding="utf-8"?>
<sst xmlns="http://schemas.openxmlformats.org/spreadsheetml/2006/main" count="8529" uniqueCount="4935">
  <si>
    <t>Id</t>
  </si>
  <si>
    <t>Title</t>
  </si>
  <si>
    <t>Severity</t>
  </si>
  <si>
    <t>MoSCoW</t>
  </si>
  <si>
    <t>OpsImpact</t>
  </si>
  <si>
    <t>Phase</t>
  </si>
  <si>
    <t>ImplStatus</t>
  </si>
  <si>
    <t>Notes</t>
  </si>
  <si>
    <t>Remediation</t>
  </si>
  <si>
    <t>Description</t>
  </si>
  <si>
    <t>Audit</t>
  </si>
  <si>
    <t>Status</t>
  </si>
  <si>
    <t>LogID</t>
  </si>
  <si>
    <t>V-63151</t>
  </si>
  <si>
    <r>
      <rPr>
        <sz val="11"/>
        <rFont val="Calibri"/>
      </rPr>
      <t>The system must explicitly disable copy operations.</t>
    </r>
  </si>
  <si>
    <t>CAT III (Low)</t>
  </si>
  <si>
    <t>Unassigned</t>
  </si>
  <si>
    <t>Unassessed</t>
  </si>
  <si>
    <t>Pending</t>
  </si>
  <si>
    <t/>
  </si>
  <si>
    <r>
      <rPr>
        <sz val="11"/>
        <color rgb="FF000000"/>
        <rFont val="Calibri"/>
      </rPr>
      <t>From the vSphere Client select the Virtual Machine right click and go to Edit Settings &gt;&gt; VM Options Tab &gt;&gt; Advanced &gt;&gt; Configuration Parameters.</t>
    </r>
    <r>
      <rPr>
        <sz val="11"/>
        <color rgb="FF000000"/>
        <rFont val="Calibri"/>
      </rPr>
      <t xml:space="preserve">
</t>
    </r>
    <r>
      <rPr>
        <sz val="11"/>
        <color rgb="FF000000"/>
        <rFont val="Calibri"/>
      </rPr>
      <t>Find the isolation.tools.copy.disable value and set it to true. If the setting does not exist click "Add Row" to add the setting to the virtual machine.</t>
    </r>
    <r>
      <rPr>
        <sz val="11"/>
        <color rgb="FF000000"/>
        <rFont val="Calibri"/>
      </rPr>
      <t xml:space="preserve">
</t>
    </r>
    <r>
      <rPr>
        <sz val="11"/>
        <color rgb="FF000000"/>
        <rFont val="Calibri"/>
      </rPr>
      <t>Note: The VM must be powered off to configure the advanced settings through the vSphere Client so it is recommended to configure these settings with PowerCLI as it can be done while the VM is powered on.</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If the setting does not exist run:</t>
    </r>
    <r>
      <rPr>
        <sz val="11"/>
        <color rgb="FF000000"/>
        <rFont val="Calibri"/>
      </rPr>
      <t xml:space="preserve">
</t>
    </r>
    <r>
      <rPr>
        <sz val="11"/>
        <color rgb="FF000000"/>
        <rFont val="Calibri"/>
      </rPr>
      <t>Get-VM "VM Name" | New-AdvancedSetting -Name isolation.tools.copy.disable -Value true</t>
    </r>
    <r>
      <rPr>
        <sz val="11"/>
        <color rgb="FF000000"/>
        <rFont val="Calibri"/>
      </rPr>
      <t xml:space="preserve">
</t>
    </r>
    <r>
      <rPr>
        <sz val="11"/>
        <color rgb="FF000000"/>
        <rFont val="Calibri"/>
      </rPr>
      <t>If the setting exists run:</t>
    </r>
    <r>
      <rPr>
        <sz val="11"/>
        <color rgb="FF000000"/>
        <rFont val="Calibri"/>
      </rPr>
      <t xml:space="preserve">
</t>
    </r>
    <r>
      <rPr>
        <sz val="11"/>
        <color rgb="FF000000"/>
        <rFont val="Calibri"/>
      </rPr>
      <t>Get-VM "VM Name" | Get-AdvancedSetting -Name isolation.tools.copy.disable | Set-AdvancedSetting -Value true</t>
    </r>
  </si>
  <si>
    <r>
      <rPr>
        <sz val="11"/>
        <color rgb="FF000000"/>
        <rFont val="Calibri"/>
      </rPr>
      <t>Copy and paste operations are disabled by default; however, by explicitly disabling this feature it will enable audit controls to check that this setting is correct. Copy, paste, drag and drop, or GUI copy/paste operations between the guest OS and the remote console could provide the means for an attacker to compromise the VM.</t>
    </r>
  </si>
  <si>
    <r>
      <rPr>
        <sz val="11"/>
        <color rgb="FF000000"/>
        <rFont val="Calibri"/>
      </rPr>
      <t>From the vSphere Client select the Virtual Machine right click and go to Edit Settings &gt;&gt; VM Options Tab &gt;&gt; Advanced &gt;&gt;  Configuration Parameters.  Find the isolation.tools.copy.disable value and verify it is set to true.</t>
    </r>
    <r>
      <rPr>
        <sz val="11"/>
        <color rgb="FF000000"/>
        <rFont val="Calibri"/>
      </rPr>
      <t xml:space="preserve">
</t>
    </r>
    <r>
      <rPr>
        <sz val="11"/>
        <color rgb="FF000000"/>
        <rFont val="Calibri"/>
      </rPr>
      <t>Note: The VM must be powered off to view the advanced settings through the vSphere Client so it is recommended to view these settings with PowerCLI as it can be done while the VM is powered on.</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isolation.tools.copy.disable</t>
    </r>
    <r>
      <rPr>
        <sz val="11"/>
        <color rgb="FF000000"/>
        <rFont val="Calibri"/>
      </rPr>
      <t xml:space="preserve">
</t>
    </r>
    <r>
      <rPr>
        <sz val="11"/>
        <color rgb="FF000000"/>
        <rFont val="Calibri"/>
      </rPr>
      <t>If the virtual machine advanced setting isolation.tools.copy.disable does not exist or is not set to true, this is a finding.</t>
    </r>
  </si>
  <si>
    <t>V-64041</t>
  </si>
  <si>
    <r>
      <rPr>
        <sz val="11"/>
        <rFont val="Calibri"/>
      </rPr>
      <t>The system must explicitly disable drag and drop operations.</t>
    </r>
  </si>
  <si>
    <r>
      <rPr>
        <sz val="11"/>
        <color rgb="FF000000"/>
        <rFont val="Calibri"/>
      </rPr>
      <t>From the vSphere Client select the Virtual Machine right click and go to Edit Settings &gt;&gt; VM Options Tab &gt;&gt; Advanced &gt;&gt; Configuration Parameters.  Find the isolation.tools.dnd.disable value and set it to true.  If the setting does not exist click "Add Row" to add the setting to the virtual machine.</t>
    </r>
    <r>
      <rPr>
        <sz val="11"/>
        <color rgb="FF000000"/>
        <rFont val="Calibri"/>
      </rPr>
      <t xml:space="preserve">
</t>
    </r>
    <r>
      <rPr>
        <sz val="11"/>
        <color rgb="FF000000"/>
        <rFont val="Calibri"/>
      </rPr>
      <t>Note:  The VM must be powered off to configure the advanced settings through the vSphere Client so it is recommended to configure these settings with PowerCLI as it can be done while the VM is powered on.</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If the setting does not exist run:</t>
    </r>
    <r>
      <rPr>
        <sz val="11"/>
        <color rgb="FF000000"/>
        <rFont val="Calibri"/>
      </rPr>
      <t xml:space="preserve">
</t>
    </r>
    <r>
      <rPr>
        <sz val="11"/>
        <color rgb="FF000000"/>
        <rFont val="Calibri"/>
      </rPr>
      <t>Get-VM "VM Name" | New-AdvancedSetting -Name isolation.tools.dnd.disable -Value true</t>
    </r>
    <r>
      <rPr>
        <sz val="11"/>
        <color rgb="FF000000"/>
        <rFont val="Calibri"/>
      </rPr>
      <t xml:space="preserve">
</t>
    </r>
    <r>
      <rPr>
        <sz val="11"/>
        <color rgb="FF000000"/>
        <rFont val="Calibri"/>
      </rPr>
      <t>If the setting exists run:</t>
    </r>
    <r>
      <rPr>
        <sz val="11"/>
        <color rgb="FF000000"/>
        <rFont val="Calibri"/>
      </rPr>
      <t xml:space="preserve">
</t>
    </r>
    <r>
      <rPr>
        <sz val="11"/>
        <color rgb="FF000000"/>
        <rFont val="Calibri"/>
      </rPr>
      <t>Get-VM "VM Name" | Get-AdvancedSetting -Name isolation.tools.dnd.disable | Set-AdvancedSetting -Value true</t>
    </r>
  </si>
  <si>
    <r>
      <rPr>
        <sz val="11"/>
        <color rgb="FF000000"/>
        <rFont val="Calibri"/>
      </rPr>
      <t>From the vSphere Client select the Virtual Machine right click and go to Edit Settings &gt;&gt; VM Options Tab &gt;&gt; Advanced &gt;&gt; Configuration Parameters.  Find the isolation.tools.dnd.disable value and verify it is set to true.</t>
    </r>
    <r>
      <rPr>
        <sz val="11"/>
        <color rgb="FF000000"/>
        <rFont val="Calibri"/>
      </rPr>
      <t xml:space="preserve">
</t>
    </r>
    <r>
      <rPr>
        <sz val="11"/>
        <color rgb="FF000000"/>
        <rFont val="Calibri"/>
      </rPr>
      <t>Note:  The VM must be powered off to view the advanced settings through the vSphere Client so it is recommended to view these settings with PowerCLI as it can be done while the VM is powered on.</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isolation.tools.dnd.disable</t>
    </r>
    <r>
      <rPr>
        <sz val="11"/>
        <color rgb="FF000000"/>
        <rFont val="Calibri"/>
      </rPr>
      <t xml:space="preserve">
</t>
    </r>
    <r>
      <rPr>
        <sz val="11"/>
        <color rgb="FF000000"/>
        <rFont val="Calibri"/>
      </rPr>
      <t>If the virtual machine advanced setting isolation.tools.dnd.disable does not exist or is not set to true, this is a finding.</t>
    </r>
  </si>
  <si>
    <t>V-64043</t>
  </si>
  <si>
    <r>
      <rPr>
        <sz val="11"/>
        <rFont val="Calibri"/>
      </rPr>
      <t>The system must explicitly disable any GUI functionality for copy/paste operations.</t>
    </r>
  </si>
  <si>
    <r>
      <rPr>
        <sz val="11"/>
        <color rgb="FF000000"/>
        <rFont val="Calibri"/>
      </rPr>
      <t>From the vSphere Client select the Virtual Machine right click and go to Edit Settings &gt;&gt; VM Options Tab &gt;&gt; Advanced &gt;&gt; Configuration Parameters.  Find the isolation.tools.setGUIOptions.enable value and set it to false.  If the setting does not exist click "Add Row" to add the setting to the virtual machine.</t>
    </r>
    <r>
      <rPr>
        <sz val="11"/>
        <color rgb="FF000000"/>
        <rFont val="Calibri"/>
      </rPr>
      <t xml:space="preserve">
</t>
    </r>
    <r>
      <rPr>
        <sz val="11"/>
        <color rgb="FF000000"/>
        <rFont val="Calibri"/>
      </rPr>
      <t>Note:  The VM must be powered off to configure the advanced settings through the vSphere Client so it is recommended to configure these settings with PowerCLI as it can be done while the VM is powered on.</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If the setting does not exist run:</t>
    </r>
    <r>
      <rPr>
        <sz val="11"/>
        <color rgb="FF000000"/>
        <rFont val="Calibri"/>
      </rPr>
      <t xml:space="preserve">
</t>
    </r>
    <r>
      <rPr>
        <sz val="11"/>
        <color rgb="FF000000"/>
        <rFont val="Calibri"/>
      </rPr>
      <t>Get-VM "VM Name" | New-AdvancedSetting -Name isolation.tools.setGUIOptions.enable -Value false</t>
    </r>
    <r>
      <rPr>
        <sz val="11"/>
        <color rgb="FF000000"/>
        <rFont val="Calibri"/>
      </rPr>
      <t xml:space="preserve">
</t>
    </r>
    <r>
      <rPr>
        <sz val="11"/>
        <color rgb="FF000000"/>
        <rFont val="Calibri"/>
      </rPr>
      <t>If the setting exists run:</t>
    </r>
    <r>
      <rPr>
        <sz val="11"/>
        <color rgb="FF000000"/>
        <rFont val="Calibri"/>
      </rPr>
      <t xml:space="preserve">
</t>
    </r>
    <r>
      <rPr>
        <sz val="11"/>
        <color rgb="FF000000"/>
        <rFont val="Calibri"/>
      </rPr>
      <t>Get-VM "VM Name" | Get-AdvancedSetting -Name isolation.tools.setGUIOptions.enable | Set-AdvancedSetting -Value false</t>
    </r>
  </si>
  <si>
    <r>
      <rPr>
        <sz val="11"/>
        <color rgb="FF000000"/>
        <rFont val="Calibri"/>
      </rPr>
      <t>From the vSphere Client select the Virtual Machine right click and go to Edit Settings &gt;&gt; VM Options Tab &gt;&gt; Advanced &gt;&gt; Configuration Parameters.  Find the isolation.tools.setGUIOptions.enable value and verify it is set to false.</t>
    </r>
    <r>
      <rPr>
        <sz val="11"/>
        <color rgb="FF000000"/>
        <rFont val="Calibri"/>
      </rPr>
      <t xml:space="preserve">
</t>
    </r>
    <r>
      <rPr>
        <sz val="11"/>
        <color rgb="FF000000"/>
        <rFont val="Calibri"/>
      </rPr>
      <t>Note:  The VM must be powered off to view the advanced settings through the vSphere Client so it is recommended to view these settings with PowerCLI as it can be done while the VM is powered on.</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isolation.tools.setGUIOptions.enable</t>
    </r>
    <r>
      <rPr>
        <sz val="11"/>
        <color rgb="FF000000"/>
        <rFont val="Calibri"/>
      </rPr>
      <t xml:space="preserve">
</t>
    </r>
    <r>
      <rPr>
        <sz val="11"/>
        <color rgb="FF000000"/>
        <rFont val="Calibri"/>
      </rPr>
      <t>If the virtual machine advanced setting isolation.tools.setGUIOptions.enable does not exist or is not set to false, this is a finding.</t>
    </r>
  </si>
  <si>
    <t>V-64045</t>
  </si>
  <si>
    <r>
      <rPr>
        <sz val="11"/>
        <rFont val="Calibri"/>
      </rPr>
      <t>The system must explicitly disable paste operations.</t>
    </r>
  </si>
  <si>
    <r>
      <rPr>
        <sz val="11"/>
        <color rgb="FF000000"/>
        <rFont val="Calibri"/>
      </rPr>
      <t>From the vSphere Client select the Virtual Machine right click and go to Edit Settings &gt;&gt; VM Options Tab &gt;&gt; Advanced &gt;&gt; Configuration Parameters.  Find the isolation.tools.paste.disable value and set it to true.  If the setting does not exist click "Add Row" to add the setting to the virtual machine.</t>
    </r>
    <r>
      <rPr>
        <sz val="11"/>
        <color rgb="FF000000"/>
        <rFont val="Calibri"/>
      </rPr>
      <t xml:space="preserve">
</t>
    </r>
    <r>
      <rPr>
        <sz val="11"/>
        <color rgb="FF000000"/>
        <rFont val="Calibri"/>
      </rPr>
      <t>Note:  The VM must be powered off to configure the advanced settings through the vSphere Client so it is recommended to configure these settings with PowerCLI as it can be done while the VM is powered on.</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If the setting does not exist run:</t>
    </r>
    <r>
      <rPr>
        <sz val="11"/>
        <color rgb="FF000000"/>
        <rFont val="Calibri"/>
      </rPr>
      <t xml:space="preserve">
</t>
    </r>
    <r>
      <rPr>
        <sz val="11"/>
        <color rgb="FF000000"/>
        <rFont val="Calibri"/>
      </rPr>
      <t>Get-VM "VM Name" | New-AdvancedSetting -Name isolation.tools.paste.disable -Value true</t>
    </r>
    <r>
      <rPr>
        <sz val="11"/>
        <color rgb="FF000000"/>
        <rFont val="Calibri"/>
      </rPr>
      <t xml:space="preserve">
</t>
    </r>
    <r>
      <rPr>
        <sz val="11"/>
        <color rgb="FF000000"/>
        <rFont val="Calibri"/>
      </rPr>
      <t>If the setting exists run:</t>
    </r>
    <r>
      <rPr>
        <sz val="11"/>
        <color rgb="FF000000"/>
        <rFont val="Calibri"/>
      </rPr>
      <t xml:space="preserve">
</t>
    </r>
    <r>
      <rPr>
        <sz val="11"/>
        <color rgb="FF000000"/>
        <rFont val="Calibri"/>
      </rPr>
      <t>Get-VM "VM Name" | Get-AdvancedSetting -Name isolation.tools.paste.disable | Set-AdvancedSetting -Value true</t>
    </r>
  </si>
  <si>
    <r>
      <rPr>
        <sz val="11"/>
        <color rgb="FF000000"/>
        <rFont val="Calibri"/>
      </rPr>
      <t>From the vSphere Client select the Virtual Machine right click and go to Edit Settings &gt;&gt; VM Options Tab &gt;&gt; Advanced &gt;&gt; Configuration Parameters.  Find the isolation.tools.paste.disable value and verify it is set to true.</t>
    </r>
    <r>
      <rPr>
        <sz val="11"/>
        <color rgb="FF000000"/>
        <rFont val="Calibri"/>
      </rPr>
      <t xml:space="preserve">
</t>
    </r>
    <r>
      <rPr>
        <sz val="11"/>
        <color rgb="FF000000"/>
        <rFont val="Calibri"/>
      </rPr>
      <t>Note:  The VM must be powered off to view the advanced settings through the vSphere Client so it is recommended to view these settings with PowerCLI as it can be done while the VM is powered on.</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isolation.tools.paste.disable</t>
    </r>
    <r>
      <rPr>
        <sz val="11"/>
        <color rgb="FF000000"/>
        <rFont val="Calibri"/>
      </rPr>
      <t xml:space="preserve">
</t>
    </r>
    <r>
      <rPr>
        <sz val="11"/>
        <color rgb="FF000000"/>
        <rFont val="Calibri"/>
      </rPr>
      <t>If the virtual machine advanced setting isolation.tools.paste.disable does not exist or is not set to true, this is a finding.</t>
    </r>
  </si>
  <si>
    <t>V-64047</t>
  </si>
  <si>
    <r>
      <rPr>
        <sz val="11"/>
        <rFont val="Calibri"/>
      </rPr>
      <t>The system must disable virtual disk shrinking.</t>
    </r>
  </si>
  <si>
    <t>CAT I (High)</t>
  </si>
  <si>
    <r>
      <rPr>
        <sz val="11"/>
        <color rgb="FF000000"/>
        <rFont val="Calibri"/>
      </rPr>
      <t>From the vSphere Client select the Virtual Machine right click and go to Edit Settings &gt;&gt; VM Options Tab &gt;&gt; Advanced &gt;&gt; Configuration Parameters.  Find the isolation.tools.diskShrink.disable value and set it to true.  If the setting does not exist click "Add Row" to add the setting to the virtual machine.</t>
    </r>
    <r>
      <rPr>
        <sz val="11"/>
        <color rgb="FF000000"/>
        <rFont val="Calibri"/>
      </rPr>
      <t xml:space="preserve">
</t>
    </r>
    <r>
      <rPr>
        <sz val="11"/>
        <color rgb="FF000000"/>
        <rFont val="Calibri"/>
      </rPr>
      <t>Note:  The VM must be powered off to configure the advanced settings through the vSphere Client so it is recommended to configure these settings with PowerCLI as it can be done while the VM is powered on.</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If the setting does not exist run:</t>
    </r>
    <r>
      <rPr>
        <sz val="11"/>
        <color rgb="FF000000"/>
        <rFont val="Calibri"/>
      </rPr>
      <t xml:space="preserve">
</t>
    </r>
    <r>
      <rPr>
        <sz val="11"/>
        <color rgb="FF000000"/>
        <rFont val="Calibri"/>
      </rPr>
      <t>Get-VM "VM Name" | New-AdvancedSetting -Name isolation.tools.diskShrink.disable -Value true</t>
    </r>
    <r>
      <rPr>
        <sz val="11"/>
        <color rgb="FF000000"/>
        <rFont val="Calibri"/>
      </rPr>
      <t xml:space="preserve">
</t>
    </r>
    <r>
      <rPr>
        <sz val="11"/>
        <color rgb="FF000000"/>
        <rFont val="Calibri"/>
      </rPr>
      <t>If the setting exists run:</t>
    </r>
    <r>
      <rPr>
        <sz val="11"/>
        <color rgb="FF000000"/>
        <rFont val="Calibri"/>
      </rPr>
      <t xml:space="preserve">
</t>
    </r>
    <r>
      <rPr>
        <sz val="11"/>
        <color rgb="FF000000"/>
        <rFont val="Calibri"/>
      </rPr>
      <t>Get-VM "VM Name" | Get-AdvancedSetting -Name isolation.tools.diskShrink.disable | Set-AdvancedSetting -Value true</t>
    </r>
  </si>
  <si>
    <r>
      <rPr>
        <sz val="11"/>
        <color rgb="FF000000"/>
        <rFont val="Calibri"/>
      </rPr>
      <t>Shrinking a virtual disk reclaims unused space in it. If there is empty space in the disk, this process reduces the amount of space the virtual disk occupies on the host drive. Normal users and processes-that is, users and processes without root or administrator privileges-within virtual machines have the capability to invoke this procedure. However, if this is done repeatedly, the virtual disk can become unavailable while this shrinking is being performed, effectively causing a denial-of-service. In most datacenter environments, disk shrinking is not done, so this feature must be disabled. Repeated disk shrinking can make a virtual disk unavailable. The capability to shrink is available to non-administrative users operating within the VMs guest OS.</t>
    </r>
  </si>
  <si>
    <r>
      <rPr>
        <sz val="11"/>
        <color rgb="FF000000"/>
        <rFont val="Calibri"/>
      </rPr>
      <t>From the vSphere Client select the Virtual Machine right click and go to Edit Settings &gt;&gt; VM Options Tab &gt;&gt; Advanced &gt;&gt; Configuration Parameters.  Find the isolation.tools.diskShrink.disable value and verify it is set to true.</t>
    </r>
    <r>
      <rPr>
        <sz val="11"/>
        <color rgb="FF000000"/>
        <rFont val="Calibri"/>
      </rPr>
      <t xml:space="preserve">
</t>
    </r>
    <r>
      <rPr>
        <sz val="11"/>
        <color rgb="FF000000"/>
        <rFont val="Calibri"/>
      </rPr>
      <t>Note:  The VM must be powered off to view the advanced settings through the vSphere Client so it is recommended to view these settings with PowerCLI as it can be done while the VM is powered on.</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isolation.tools.diskShrink.disable</t>
    </r>
    <r>
      <rPr>
        <sz val="11"/>
        <color rgb="FF000000"/>
        <rFont val="Calibri"/>
      </rPr>
      <t xml:space="preserve">
</t>
    </r>
    <r>
      <rPr>
        <sz val="11"/>
        <color rgb="FF000000"/>
        <rFont val="Calibri"/>
      </rPr>
      <t>If the virtual machine advanced setting isolation.tools.diskShrink.disable does not exist or is not set to true, this is a finding.</t>
    </r>
  </si>
  <si>
    <t>V-64049</t>
  </si>
  <si>
    <r>
      <rPr>
        <sz val="11"/>
        <rFont val="Calibri"/>
      </rPr>
      <t>The system must disable virtual disk erasure.</t>
    </r>
  </si>
  <si>
    <r>
      <rPr>
        <sz val="11"/>
        <color rgb="FF000000"/>
        <rFont val="Calibri"/>
      </rPr>
      <t>From the vSphere Client select the Virtual Machine right click and go to Edit Settings &gt;&gt; VM Options Tab &gt;&gt; Advanced &gt;&gt; Configuration Parameters.  Find the isolation.tools.diskWiper.disable value and set it to true.  If the setting does not exist click "Add Row" to add the setting to the virtual machine.</t>
    </r>
    <r>
      <rPr>
        <sz val="11"/>
        <color rgb="FF000000"/>
        <rFont val="Calibri"/>
      </rPr>
      <t xml:space="preserve">
</t>
    </r>
    <r>
      <rPr>
        <sz val="11"/>
        <color rgb="FF000000"/>
        <rFont val="Calibri"/>
      </rPr>
      <t>Note:  The VM must be powered off to configure the advanced settings through the vSphere Client so it is recommended to configure these settings with PowerCLI as it can be done while the VM is powered on.</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If the setting does not exist run:</t>
    </r>
    <r>
      <rPr>
        <sz val="11"/>
        <color rgb="FF000000"/>
        <rFont val="Calibri"/>
      </rPr>
      <t xml:space="preserve">
</t>
    </r>
    <r>
      <rPr>
        <sz val="11"/>
        <color rgb="FF000000"/>
        <rFont val="Calibri"/>
      </rPr>
      <t>Get-VM "VM Name" | New-AdvancedSetting -Name isolation.tools.diskWiper.disable -Value true</t>
    </r>
    <r>
      <rPr>
        <sz val="11"/>
        <color rgb="FF000000"/>
        <rFont val="Calibri"/>
      </rPr>
      <t xml:space="preserve">
</t>
    </r>
    <r>
      <rPr>
        <sz val="11"/>
        <color rgb="FF000000"/>
        <rFont val="Calibri"/>
      </rPr>
      <t>If the setting exists run:</t>
    </r>
    <r>
      <rPr>
        <sz val="11"/>
        <color rgb="FF000000"/>
        <rFont val="Calibri"/>
      </rPr>
      <t xml:space="preserve">
</t>
    </r>
    <r>
      <rPr>
        <sz val="11"/>
        <color rgb="FF000000"/>
        <rFont val="Calibri"/>
      </rPr>
      <t>Get-VM "VM Name" | Get-AdvancedSetting -Name isolation.tools.diskWiper.disable | Set-AdvancedSetting -Value true</t>
    </r>
  </si>
  <si>
    <r>
      <rPr>
        <sz val="11"/>
        <color rgb="FF000000"/>
        <rFont val="Calibri"/>
      </rPr>
      <t>Shrinking and wiping (erasing) a virtual disk reclaims unused space in it. If there is empty space in the disk, this process reduces the amount of space the virtual disk occupies on the host drive. Normal users and processes - that is, users and processes without root or administrator privileges - within virtual machines have the capability to invoke this procedure. However, if this is done repeatedly, the virtual disk can become unavailable while this shrinking is being performed, effectively causing a denial-of-service. In most datacenter environments, disk shrinking is not done, so this feature must be disabled. Repeated disk shrinking can make a virtual disk unavailable. The capability to wipe (erase) is available to non-administrative users operating within the VMs guest OS.</t>
    </r>
  </si>
  <si>
    <r>
      <rPr>
        <sz val="11"/>
        <color rgb="FF000000"/>
        <rFont val="Calibri"/>
      </rPr>
      <t>From the vSphere Client select the Virtual Machine right click and go to Edit Settings &gt;&gt; VM Options Tab &gt;&gt; Advanced &gt;&gt; Configuration Parameters.  Find the isolation.tools.diskWiper.disable value and verify it is set to true.</t>
    </r>
    <r>
      <rPr>
        <sz val="11"/>
        <color rgb="FF000000"/>
        <rFont val="Calibri"/>
      </rPr>
      <t xml:space="preserve">
</t>
    </r>
    <r>
      <rPr>
        <sz val="11"/>
        <color rgb="FF000000"/>
        <rFont val="Calibri"/>
      </rPr>
      <t>Note:  The VM must be powered off to view the advanced settings through the vSphere Client so it is recommended to view these settings with PowerCLI as it can be done while the VM is powered on.</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isolation.tools.diskWiper.disable</t>
    </r>
    <r>
      <rPr>
        <sz val="11"/>
        <color rgb="FF000000"/>
        <rFont val="Calibri"/>
      </rPr>
      <t xml:space="preserve">
</t>
    </r>
    <r>
      <rPr>
        <sz val="11"/>
        <color rgb="FF000000"/>
        <rFont val="Calibri"/>
      </rPr>
      <t>If the virtual machine advanced setting isolation.tools.diskWiper.disable does not exist or is not set to true, this is a finding.</t>
    </r>
  </si>
  <si>
    <t>V-64051</t>
  </si>
  <si>
    <r>
      <rPr>
        <sz val="11"/>
        <rFont val="Calibri"/>
      </rPr>
      <t>The system must not use independent, non-persistent disks.</t>
    </r>
  </si>
  <si>
    <r>
      <rPr>
        <sz val="11"/>
        <color rgb="FF000000"/>
        <rFont val="Calibri"/>
      </rPr>
      <t>The target VM must be powered off prior to changing the hard disk mode.</t>
    </r>
    <r>
      <rPr>
        <sz val="11"/>
        <color rgb="FF000000"/>
        <rFont val="Calibri"/>
      </rPr>
      <t xml:space="preserve">
</t>
    </r>
    <r>
      <rPr>
        <sz val="11"/>
        <color rgb="FF000000"/>
        <rFont val="Calibri"/>
      </rPr>
      <t>From the vSphere Client select the Virtual Machine right click and go to Edit Settings.  Select the target hard disk and change the mode to persistent or uncheck Independent.</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Get-HardDisk | Set-HardDisk -Persistence IndependentPersistent</t>
    </r>
    <r>
      <rPr>
        <sz val="11"/>
        <color rgb="FF000000"/>
        <rFont val="Calibri"/>
      </rPr>
      <t xml:space="preserve">
</t>
    </r>
    <r>
      <rPr>
        <sz val="11"/>
        <color rgb="FF000000"/>
        <rFont val="Calibri"/>
      </rPr>
      <t>or</t>
    </r>
    <r>
      <rPr>
        <sz val="11"/>
        <color rgb="FF000000"/>
        <rFont val="Calibri"/>
      </rPr>
      <t xml:space="preserve">
</t>
    </r>
    <r>
      <rPr>
        <sz val="11"/>
        <color rgb="FF000000"/>
        <rFont val="Calibri"/>
      </rPr>
      <t>Get-VM "VM Name" | Get-HardDisk | Set-HardDisk -Persistence Persistent</t>
    </r>
  </si>
  <si>
    <r>
      <rPr>
        <sz val="11"/>
        <color rgb="FF000000"/>
        <rFont val="Calibri"/>
      </rPr>
      <t>The security issue with nonpersistent disk mode is that successful attackers, with a simple shutdown or reboot, might undo or remove any traces that they were ever on the machine. To safeguard against this risk, production virtual machines should be set to use persistent disk mode; additionally, make sure that activity within the VM is logged remotely on a separate server, such as a syslog server or equivalent Windows-based event collector. Without a persistent record of activity on a VM, administrators might never know whether they have been attacked or hacked.</t>
    </r>
  </si>
  <si>
    <r>
      <rPr>
        <sz val="11"/>
        <color rgb="FF000000"/>
        <rFont val="Calibri"/>
      </rPr>
      <t>From the vSphere Client select the Virtual Machine right click and go to Edit Settings.  Review the attached hard disks and verify they are not configured as independent nonpersistent disks.</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Get-HardDisk | Select Parent, Name, Filename, DiskType, Persistence | FT -AutoSize</t>
    </r>
    <r>
      <rPr>
        <sz val="11"/>
        <color rgb="FF000000"/>
        <rFont val="Calibri"/>
      </rPr>
      <t xml:space="preserve">
</t>
    </r>
    <r>
      <rPr>
        <sz val="11"/>
        <color rgb="FF000000"/>
        <rFont val="Calibri"/>
      </rPr>
      <t>If the virtual machine has attached disks that are in independent nonpersistent mode, this is a finding.</t>
    </r>
  </si>
  <si>
    <t>V-64053</t>
  </si>
  <si>
    <r>
      <rPr>
        <sz val="11"/>
        <rFont val="Calibri"/>
      </rPr>
      <t>The system must disable HGFS file transfers.</t>
    </r>
  </si>
  <si>
    <t>CAT II (Medium)</t>
  </si>
  <si>
    <r>
      <rPr>
        <sz val="11"/>
        <color rgb="FF000000"/>
        <rFont val="Calibri"/>
      </rPr>
      <t>From the vSphere Client select the Virtual Machine right click and go to Edit Settings &gt;&gt; VM Options Tab &gt;&gt; Advanced &gt;&gt; Configuration Parameters.  Find the isolation.tools.hgfsServerSet.disable value and set it to true.  If the setting does not exist click "Add Row" to add the setting to the virtual machine.</t>
    </r>
    <r>
      <rPr>
        <sz val="11"/>
        <color rgb="FF000000"/>
        <rFont val="Calibri"/>
      </rPr>
      <t xml:space="preserve">
</t>
    </r>
    <r>
      <rPr>
        <sz val="11"/>
        <color rgb="FF000000"/>
        <rFont val="Calibri"/>
      </rPr>
      <t>Note:  The VM must be powered off to configure the advanced settings through the vSphere Client so it is recommended to configure these settings with PowerCLI as it can be done while the VM is powered on.</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If the setting does not exist run:</t>
    </r>
    <r>
      <rPr>
        <sz val="11"/>
        <color rgb="FF000000"/>
        <rFont val="Calibri"/>
      </rPr>
      <t xml:space="preserve">
</t>
    </r>
    <r>
      <rPr>
        <sz val="11"/>
        <color rgb="FF000000"/>
        <rFont val="Calibri"/>
      </rPr>
      <t>Get-VM "VM Name" | New-AdvancedSetting -Name isolation.tools.hgfsServerSet.disable -Value true</t>
    </r>
    <r>
      <rPr>
        <sz val="11"/>
        <color rgb="FF000000"/>
        <rFont val="Calibri"/>
      </rPr>
      <t xml:space="preserve">
</t>
    </r>
    <r>
      <rPr>
        <sz val="11"/>
        <color rgb="FF000000"/>
        <rFont val="Calibri"/>
      </rPr>
      <t>If the setting exists run:</t>
    </r>
    <r>
      <rPr>
        <sz val="11"/>
        <color rgb="FF000000"/>
        <rFont val="Calibri"/>
      </rPr>
      <t xml:space="preserve">
</t>
    </r>
    <r>
      <rPr>
        <sz val="11"/>
        <color rgb="FF000000"/>
        <rFont val="Calibri"/>
      </rPr>
      <t>Get-VM "VM Name" | Get-AdvancedSetting -Name isolation.tools.hgfsServerSet.disable | Set-AdvancedSetting -Value true</t>
    </r>
  </si>
  <si>
    <r>
      <rPr>
        <sz val="11"/>
        <color rgb="FF000000"/>
        <rFont val="Calibri"/>
      </rPr>
      <t>Setting isolation.tools.hgfsServerSet.disable to true disables registration of the guest's HGFS server with the host. APIs that use HGFS to transfer files to and from the guest operating system, such as some VIX commands, will not function. An attacker could potentially use this to transfer files inside the guest OS.</t>
    </r>
  </si>
  <si>
    <r>
      <rPr>
        <sz val="11"/>
        <color rgb="FF000000"/>
        <rFont val="Calibri"/>
      </rPr>
      <t>From the vSphere Client select the Virtual Machine right click and go to Edit Settings &gt;&gt; VM Options Tab &gt;&gt; Advanced &gt;&gt; Configuration Parameters.  Find the isolation.tools.hgfsServerSet.disable value and verify it is set to true.</t>
    </r>
    <r>
      <rPr>
        <sz val="11"/>
        <color rgb="FF000000"/>
        <rFont val="Calibri"/>
      </rPr>
      <t xml:space="preserve">
</t>
    </r>
    <r>
      <rPr>
        <sz val="11"/>
        <color rgb="FF000000"/>
        <rFont val="Calibri"/>
      </rPr>
      <t>Note:  The VM must be powered off to view the advanced settings through the vSphere Client so it is recommended to view these settings with PowerCLI as it can be done while the VM is powered on.</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isolation.tools.hgfsServerSet.disable</t>
    </r>
    <r>
      <rPr>
        <sz val="11"/>
        <color rgb="FF000000"/>
        <rFont val="Calibri"/>
      </rPr>
      <t xml:space="preserve">
</t>
    </r>
    <r>
      <rPr>
        <sz val="11"/>
        <color rgb="FF000000"/>
        <rFont val="Calibri"/>
      </rPr>
      <t>If the virtual machine advanced setting isolation.tools.hgfsServerSet.disable does not exist or is not set to true, this is a finding.</t>
    </r>
  </si>
  <si>
    <t>V-64055</t>
  </si>
  <si>
    <r>
      <rPr>
        <sz val="11"/>
        <rFont val="Calibri"/>
      </rPr>
      <t>The unexposed feature keyword isolation.tools.ghi.autologon.disable must be set.</t>
    </r>
  </si>
  <si>
    <r>
      <rPr>
        <sz val="11"/>
        <color rgb="FF000000"/>
        <rFont val="Calibri"/>
      </rPr>
      <t>From the vSphere Client select the Virtual Machine right click and go to Edit Settings &gt;&gt; VM Options Tab &gt;&gt; Advanced &gt;&gt; Configuration Parameters.  Find the isolation.tools.ghi.autologon.disable value and set it to true.  If the setting does not exist click "Add Row" to add the setting to the virtual machine.</t>
    </r>
    <r>
      <rPr>
        <sz val="11"/>
        <color rgb="FF000000"/>
        <rFont val="Calibri"/>
      </rPr>
      <t xml:space="preserve">
</t>
    </r>
    <r>
      <rPr>
        <sz val="11"/>
        <color rgb="FF000000"/>
        <rFont val="Calibri"/>
      </rPr>
      <t>Note:  The VM must be powered off to configure the advanced settings through the vSphere Client so it is recommended to configure these settings with PowerCLI as it can be done while the VM is powered on.</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If the setting does not exist run:</t>
    </r>
    <r>
      <rPr>
        <sz val="11"/>
        <color rgb="FF000000"/>
        <rFont val="Calibri"/>
      </rPr>
      <t xml:space="preserve">
</t>
    </r>
    <r>
      <rPr>
        <sz val="11"/>
        <color rgb="FF000000"/>
        <rFont val="Calibri"/>
      </rPr>
      <t>Get-VM "VM Name" | New-AdvancedSetting -Name isolation.tools.ghi.autologon.disable -Value true</t>
    </r>
    <r>
      <rPr>
        <sz val="11"/>
        <color rgb="FF000000"/>
        <rFont val="Calibri"/>
      </rPr>
      <t xml:space="preserve">
</t>
    </r>
    <r>
      <rPr>
        <sz val="11"/>
        <color rgb="FF000000"/>
        <rFont val="Calibri"/>
      </rPr>
      <t>If the setting exists run:</t>
    </r>
    <r>
      <rPr>
        <sz val="11"/>
        <color rgb="FF000000"/>
        <rFont val="Calibri"/>
      </rPr>
      <t xml:space="preserve">
</t>
    </r>
    <r>
      <rPr>
        <sz val="11"/>
        <color rgb="FF000000"/>
        <rFont val="Calibri"/>
      </rPr>
      <t>Get-VM "VM Name" | Get-AdvancedSetting -Name isolation.tools.ghi.autologon.disable | Set-AdvancedSetting -Value true</t>
    </r>
  </si>
  <si>
    <r>
      <rPr>
        <sz val="11"/>
        <color rgb="FF000000"/>
        <rFont val="Calibri"/>
      </rPr>
      <t>Some virtual machine advanced settings parameters do not apply on vSphere because VMware virtual machines work on both vSphere and hosted virtualization platforms such as Workstation and Fusion. Explicitly disabling these features reduces the potential for vulnerabilities because it reduces the number of ways in which a guest can affect the host.</t>
    </r>
  </si>
  <si>
    <r>
      <rPr>
        <sz val="11"/>
        <color rgb="FF000000"/>
        <rFont val="Calibri"/>
      </rPr>
      <t>From the vSphere Client select the Virtual Machine right click and go to Edit Settings &gt;&gt; VM Options Tab &gt;&gt; Advanced &gt;&gt; Configuration Parameters.  Find the isolation.tools.ghi.autologon.disable value and verify it is set to true.</t>
    </r>
    <r>
      <rPr>
        <sz val="11"/>
        <color rgb="FF000000"/>
        <rFont val="Calibri"/>
      </rPr>
      <t xml:space="preserve">
</t>
    </r>
    <r>
      <rPr>
        <sz val="11"/>
        <color rgb="FF000000"/>
        <rFont val="Calibri"/>
      </rPr>
      <t>Note:  The VM must be powered off to view the advanced settings through the vSphere Client so it is recommended to view these settings with PowerCLI as it can be done while the VM is powered on.</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isolation.tools.ghi.autologon.disable</t>
    </r>
    <r>
      <rPr>
        <sz val="11"/>
        <color rgb="FF000000"/>
        <rFont val="Calibri"/>
      </rPr>
      <t xml:space="preserve">
</t>
    </r>
    <r>
      <rPr>
        <sz val="11"/>
        <color rgb="FF000000"/>
        <rFont val="Calibri"/>
      </rPr>
      <t>If the virtual machine advanced setting isolation.tools.ghi.autologon.disable does not exist or is not set to true, this is a finding.</t>
    </r>
  </si>
  <si>
    <t>V-64057</t>
  </si>
  <si>
    <r>
      <rPr>
        <sz val="11"/>
        <rFont val="Calibri"/>
      </rPr>
      <t>The unexposed feature keyword isolation.bios.bbs.disable must be set.</t>
    </r>
  </si>
  <si>
    <r>
      <rPr>
        <sz val="11"/>
        <color rgb="FF000000"/>
        <rFont val="Calibri"/>
      </rPr>
      <t>From the vSphere Client select the Virtual Machine right click and go to Edit Settings &gt;&gt; VM Options Tab &gt;&gt; Advanced &gt;&gt; Configuration Parameters.  Find the isolation.bios.bbs.disable value and set it to true.  If the setting does not exist click "Add Row" to add the setting to the virtual machine.</t>
    </r>
    <r>
      <rPr>
        <sz val="11"/>
        <color rgb="FF000000"/>
        <rFont val="Calibri"/>
      </rPr>
      <t xml:space="preserve">
</t>
    </r>
    <r>
      <rPr>
        <sz val="11"/>
        <color rgb="FF000000"/>
        <rFont val="Calibri"/>
      </rPr>
      <t>Note:  The VM must be powered off to configure the advanced settings through the vSphere Client so it is recommended to configure these settings with PowerCLI as it can be done while the VM is powered on.</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If the setting does not exist run:</t>
    </r>
    <r>
      <rPr>
        <sz val="11"/>
        <color rgb="FF000000"/>
        <rFont val="Calibri"/>
      </rPr>
      <t xml:space="preserve">
</t>
    </r>
    <r>
      <rPr>
        <sz val="11"/>
        <color rgb="FF000000"/>
        <rFont val="Calibri"/>
      </rPr>
      <t>Get-VM "VM Name" | New-AdvancedSetting -Name isolation.bios.bbs.disable -Value true</t>
    </r>
    <r>
      <rPr>
        <sz val="11"/>
        <color rgb="FF000000"/>
        <rFont val="Calibri"/>
      </rPr>
      <t xml:space="preserve">
</t>
    </r>
    <r>
      <rPr>
        <sz val="11"/>
        <color rgb="FF000000"/>
        <rFont val="Calibri"/>
      </rPr>
      <t>If the setting exists run:</t>
    </r>
    <r>
      <rPr>
        <sz val="11"/>
        <color rgb="FF000000"/>
        <rFont val="Calibri"/>
      </rPr>
      <t xml:space="preserve">
</t>
    </r>
    <r>
      <rPr>
        <sz val="11"/>
        <color rgb="FF000000"/>
        <rFont val="Calibri"/>
      </rPr>
      <t>Get-VM "VM Name" | Get-AdvancedSetting -Name isolation.bios.bbs.disable | Set-AdvancedSetting -Value true</t>
    </r>
  </si>
  <si>
    <r>
      <rPr>
        <sz val="11"/>
        <color rgb="FF000000"/>
        <rFont val="Calibri"/>
      </rPr>
      <t>From the vSphere Client select the Virtual Machine right click and go to Edit Settings &gt;&gt; VM Options Tab &gt;&gt; Advanced &gt;&gt; Configuration Parameters.  Find the isolation.bios.bbs.disable value and verify it is set to true.</t>
    </r>
    <r>
      <rPr>
        <sz val="11"/>
        <color rgb="FF000000"/>
        <rFont val="Calibri"/>
      </rPr>
      <t xml:space="preserve">
</t>
    </r>
    <r>
      <rPr>
        <sz val="11"/>
        <color rgb="FF000000"/>
        <rFont val="Calibri"/>
      </rPr>
      <t>Note:  The VM must be powered off to view the advanced settings through the vSphere Client so it is recommended to view these settings with PowerCLI as it can be done while the VM is powered on.</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isolation.bios.bbs.disable</t>
    </r>
    <r>
      <rPr>
        <sz val="11"/>
        <color rgb="FF000000"/>
        <rFont val="Calibri"/>
      </rPr>
      <t xml:space="preserve">
</t>
    </r>
    <r>
      <rPr>
        <sz val="11"/>
        <color rgb="FF000000"/>
        <rFont val="Calibri"/>
      </rPr>
      <t>If the virtual machine advanced setting isolation.bios.bbs.disable does not exist or is not set to true, this is a finding.</t>
    </r>
  </si>
  <si>
    <t>V-64059</t>
  </si>
  <si>
    <r>
      <rPr>
        <sz val="11"/>
        <rFont val="Calibri"/>
      </rPr>
      <t>The unexposed feature keyword isolation.tools.getCreds.disable must be set.</t>
    </r>
  </si>
  <si>
    <r>
      <rPr>
        <sz val="11"/>
        <color rgb="FF000000"/>
        <rFont val="Calibri"/>
      </rPr>
      <t>From the vSphere Client select the Virtual Machine right click and go to Edit Settings &gt;&gt; VM Options Tab &gt;&gt; Advanced &gt;&gt; Configuration Parameters.  Find the isolation.tools.getCreds.disable value and set it to true.  If the setting does not exist click "Add Row" to add the setting to the virtual machine.</t>
    </r>
    <r>
      <rPr>
        <sz val="11"/>
        <color rgb="FF000000"/>
        <rFont val="Calibri"/>
      </rPr>
      <t xml:space="preserve">
</t>
    </r>
    <r>
      <rPr>
        <sz val="11"/>
        <color rgb="FF000000"/>
        <rFont val="Calibri"/>
      </rPr>
      <t>Note:  The VM must be powered off to configure the advanced settings through the vSphere Client so it is recommended to configure these settings with PowerCLI as it can be done while the VM is powered on.</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If the setting does not exist run:</t>
    </r>
    <r>
      <rPr>
        <sz val="11"/>
        <color rgb="FF000000"/>
        <rFont val="Calibri"/>
      </rPr>
      <t xml:space="preserve">
</t>
    </r>
    <r>
      <rPr>
        <sz val="11"/>
        <color rgb="FF000000"/>
        <rFont val="Calibri"/>
      </rPr>
      <t>Get-VM "VM Name" | New-AdvancedSetting -Name isolation.tools.getCreds.disable -Value true</t>
    </r>
    <r>
      <rPr>
        <sz val="11"/>
        <color rgb="FF000000"/>
        <rFont val="Calibri"/>
      </rPr>
      <t xml:space="preserve">
</t>
    </r>
    <r>
      <rPr>
        <sz val="11"/>
        <color rgb="FF000000"/>
        <rFont val="Calibri"/>
      </rPr>
      <t>If the setting exists run:</t>
    </r>
    <r>
      <rPr>
        <sz val="11"/>
        <color rgb="FF000000"/>
        <rFont val="Calibri"/>
      </rPr>
      <t xml:space="preserve">
</t>
    </r>
    <r>
      <rPr>
        <sz val="11"/>
        <color rgb="FF000000"/>
        <rFont val="Calibri"/>
      </rPr>
      <t>Get-VM "VM Name" | Get-AdvancedSetting -Name isolation.tools.getCreds.disable | Set-AdvancedSetting -Value true</t>
    </r>
  </si>
  <si>
    <r>
      <rPr>
        <sz val="11"/>
        <color rgb="FF000000"/>
        <rFont val="Calibri"/>
      </rPr>
      <t>From the vSphere Client select the Virtual Machine right click and go to Edit Settings &gt;&gt; VM Options Tab &gt;&gt; Advanced &gt;&gt; Configuration Parameters.  Find the isolation.tools.getCreds.disable value and verify it is set to true.</t>
    </r>
    <r>
      <rPr>
        <sz val="11"/>
        <color rgb="FF000000"/>
        <rFont val="Calibri"/>
      </rPr>
      <t xml:space="preserve">
</t>
    </r>
    <r>
      <rPr>
        <sz val="11"/>
        <color rgb="FF000000"/>
        <rFont val="Calibri"/>
      </rPr>
      <t>Note:  The VM must be powered off to view the advanced settings through the vSphere Client so it is recommended to view these settings with PowerCLI as it can be done while the VM is powered on.</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isolation.tools.getCreds.disable</t>
    </r>
    <r>
      <rPr>
        <sz val="11"/>
        <color rgb="FF000000"/>
        <rFont val="Calibri"/>
      </rPr>
      <t xml:space="preserve">
</t>
    </r>
    <r>
      <rPr>
        <sz val="11"/>
        <color rgb="FF000000"/>
        <rFont val="Calibri"/>
      </rPr>
      <t>If the virtual machine advanced setting isolation.tools.getCreds.disable does not exist or is not set to true, this is a finding.</t>
    </r>
  </si>
  <si>
    <t>V-64061</t>
  </si>
  <si>
    <r>
      <rPr>
        <sz val="11"/>
        <rFont val="Calibri"/>
      </rPr>
      <t>The unexposed feature keyword isolation.tools.ghi.launchmenu.change must be set.</t>
    </r>
  </si>
  <si>
    <r>
      <rPr>
        <sz val="11"/>
        <color rgb="FF000000"/>
        <rFont val="Calibri"/>
      </rPr>
      <t>From the vSphere Client select the Virtual Machine right click and go to Edit Settings &gt;&gt; VM Options Tab &gt;&gt; Advanced &gt;&gt; Configuration Parameters.  Find the isolation.tools.ghi.launchmenu.change value and set it to true.  If the setting does not exist click "Add Row" to add the setting to the virtual machine.</t>
    </r>
    <r>
      <rPr>
        <sz val="11"/>
        <color rgb="FF000000"/>
        <rFont val="Calibri"/>
      </rPr>
      <t xml:space="preserve">
</t>
    </r>
    <r>
      <rPr>
        <sz val="11"/>
        <color rgb="FF000000"/>
        <rFont val="Calibri"/>
      </rPr>
      <t>Note:  The VM must be powered off to configure the advanced settings through the vSphere Client so it is recommended to configure these settings with PowerCLI as it can be done while the VM is powered on.</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If the setting does not exist run:</t>
    </r>
    <r>
      <rPr>
        <sz val="11"/>
        <color rgb="FF000000"/>
        <rFont val="Calibri"/>
      </rPr>
      <t xml:space="preserve">
</t>
    </r>
    <r>
      <rPr>
        <sz val="11"/>
        <color rgb="FF000000"/>
        <rFont val="Calibri"/>
      </rPr>
      <t>Get-VM "VM Name" | New-AdvancedSetting -Name isolation.tools.ghi.launchmenu.change -Value true</t>
    </r>
    <r>
      <rPr>
        <sz val="11"/>
        <color rgb="FF000000"/>
        <rFont val="Calibri"/>
      </rPr>
      <t xml:space="preserve">
</t>
    </r>
    <r>
      <rPr>
        <sz val="11"/>
        <color rgb="FF000000"/>
        <rFont val="Calibri"/>
      </rPr>
      <t>If the setting exists run:</t>
    </r>
    <r>
      <rPr>
        <sz val="11"/>
        <color rgb="FF000000"/>
        <rFont val="Calibri"/>
      </rPr>
      <t xml:space="preserve">
</t>
    </r>
    <r>
      <rPr>
        <sz val="11"/>
        <color rgb="FF000000"/>
        <rFont val="Calibri"/>
      </rPr>
      <t>Get-VM "VM Name" | Get-AdvancedSetting -Name isolation.tools.ghi.launchmenu.change | Set-AdvancedSetting -Value true</t>
    </r>
  </si>
  <si>
    <r>
      <rPr>
        <sz val="11"/>
        <color rgb="FF000000"/>
        <rFont val="Calibri"/>
      </rPr>
      <t>From the vSphere Client select the Virtual Machine right click and go to Edit Settings &gt;&gt; VM Options Tab &gt;&gt; Advanced &gt;&gt; Configuration Parameters.  Find the isolation.tools.ghi.launchmenu.change value and verify it is set to true.</t>
    </r>
    <r>
      <rPr>
        <sz val="11"/>
        <color rgb="FF000000"/>
        <rFont val="Calibri"/>
      </rPr>
      <t xml:space="preserve">
</t>
    </r>
    <r>
      <rPr>
        <sz val="11"/>
        <color rgb="FF000000"/>
        <rFont val="Calibri"/>
      </rPr>
      <t>Note:  The VM must be powered off to view the advanced settings through the vSphere Client so it is recommended to view these settings with PowerCLI as it can be done while the VM is powered on.</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isolation.tools.ghi.launchmenu.change</t>
    </r>
    <r>
      <rPr>
        <sz val="11"/>
        <color rgb="FF000000"/>
        <rFont val="Calibri"/>
      </rPr>
      <t xml:space="preserve">
</t>
    </r>
    <r>
      <rPr>
        <sz val="11"/>
        <color rgb="FF000000"/>
        <rFont val="Calibri"/>
      </rPr>
      <t>If the virtual machine advanced setting isolation.tools.ghi.launchmenu.change does not exist or is not set to true, this is a finding.</t>
    </r>
  </si>
  <si>
    <t>V-64063</t>
  </si>
  <si>
    <r>
      <rPr>
        <sz val="11"/>
        <rFont val="Calibri"/>
      </rPr>
      <t>The unexposed feature keyword isolation.tools.memSchedFakeSampleStats.disable must be set.</t>
    </r>
  </si>
  <si>
    <r>
      <rPr>
        <sz val="11"/>
        <color rgb="FF000000"/>
        <rFont val="Calibri"/>
      </rPr>
      <t>From the vSphere Client select the Virtual Machine right click and go to Edit Settings &gt;&gt; VM Options Tab &gt;&gt; Advanced &gt;&gt; Configuration Parameters.  Find the isolation.tools.memSchedFakeSampleStats.disable value and set it to true.  If the setting does not exist click "Add Row" to add the setting to the virtual machine.</t>
    </r>
    <r>
      <rPr>
        <sz val="11"/>
        <color rgb="FF000000"/>
        <rFont val="Calibri"/>
      </rPr>
      <t xml:space="preserve">
</t>
    </r>
    <r>
      <rPr>
        <sz val="11"/>
        <color rgb="FF000000"/>
        <rFont val="Calibri"/>
      </rPr>
      <t>Note:  The VM must be powered off to configure the advanced settings through the vSphere Client so it is recommended to configure these settings with PowerCLI as it can be done while the VM is powered on.</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If the setting does not exist run:</t>
    </r>
    <r>
      <rPr>
        <sz val="11"/>
        <color rgb="FF000000"/>
        <rFont val="Calibri"/>
      </rPr>
      <t xml:space="preserve">
</t>
    </r>
    <r>
      <rPr>
        <sz val="11"/>
        <color rgb="FF000000"/>
        <rFont val="Calibri"/>
      </rPr>
      <t>Get-VM "VM Name" | New-AdvancedSetting -Name isolation.tools.memSchedFakeSampleStats.disable -Value true</t>
    </r>
    <r>
      <rPr>
        <sz val="11"/>
        <color rgb="FF000000"/>
        <rFont val="Calibri"/>
      </rPr>
      <t xml:space="preserve">
</t>
    </r>
    <r>
      <rPr>
        <sz val="11"/>
        <color rgb="FF000000"/>
        <rFont val="Calibri"/>
      </rPr>
      <t>If the setting exists run:</t>
    </r>
    <r>
      <rPr>
        <sz val="11"/>
        <color rgb="FF000000"/>
        <rFont val="Calibri"/>
      </rPr>
      <t xml:space="preserve">
</t>
    </r>
    <r>
      <rPr>
        <sz val="11"/>
        <color rgb="FF000000"/>
        <rFont val="Calibri"/>
      </rPr>
      <t>Get-VM "VM Name" | Get-AdvancedSetting -Name isolation.tools.memSchedFakeSampleStats.disable | Set-AdvancedSetting -Value true</t>
    </r>
  </si>
  <si>
    <r>
      <rPr>
        <sz val="11"/>
        <color rgb="FF000000"/>
        <rFont val="Calibri"/>
      </rPr>
      <t>From the vSphere Client select the Virtual Machine right click and go to Edit Settings &gt;&gt; VM Options Tab &gt;&gt; Advanced &gt;&gt; Configuration Parameters.  Find the isolation.tools.memSchedFakeSampleStats.disable value and verify it is set to true.</t>
    </r>
    <r>
      <rPr>
        <sz val="11"/>
        <color rgb="FF000000"/>
        <rFont val="Calibri"/>
      </rPr>
      <t xml:space="preserve">
</t>
    </r>
    <r>
      <rPr>
        <sz val="11"/>
        <color rgb="FF000000"/>
        <rFont val="Calibri"/>
      </rPr>
      <t>Note:  The VM must be powered off to view the advanced settings through the vSphere Client so it is recommended to view these settings with PowerCLI as it can be done while the VM is powered on.</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isolation.tools.memSchedFakeSampleStats.disable</t>
    </r>
    <r>
      <rPr>
        <sz val="11"/>
        <color rgb="FF000000"/>
        <rFont val="Calibri"/>
      </rPr>
      <t xml:space="preserve">
</t>
    </r>
    <r>
      <rPr>
        <sz val="11"/>
        <color rgb="FF000000"/>
        <rFont val="Calibri"/>
      </rPr>
      <t>If the virtual machine advanced setting isolation.tools.memSchedFakeSampleStats.disable does not exist or is not set to true, this is a finding.</t>
    </r>
  </si>
  <si>
    <t>V-64065</t>
  </si>
  <si>
    <r>
      <rPr>
        <sz val="11"/>
        <rFont val="Calibri"/>
      </rPr>
      <t>The unexposed feature keyword isolation.tools.ghi.protocolhandler.info.disable must be set.</t>
    </r>
  </si>
  <si>
    <r>
      <rPr>
        <sz val="11"/>
        <color rgb="FF000000"/>
        <rFont val="Calibri"/>
      </rPr>
      <t>From the vSphere Client select the Virtual Machine right click and go to Edit Settings &gt;&gt; VM Options Tab &gt;&gt; Advanced &gt;&gt; Configuration Parameters.  Find the isolation.tools.ghi.protocolhandler.info.disable value and set it to true.  If the setting does not exist click "Add Row" to add the setting to the virtual machine.</t>
    </r>
    <r>
      <rPr>
        <sz val="11"/>
        <color rgb="FF000000"/>
        <rFont val="Calibri"/>
      </rPr>
      <t xml:space="preserve">
</t>
    </r>
    <r>
      <rPr>
        <sz val="11"/>
        <color rgb="FF000000"/>
        <rFont val="Calibri"/>
      </rPr>
      <t>Note:  The VM must be powered off to configure the advanced settings through the vSphere Client so it is recommended to configure these settings with PowerCLI as it can be done while the VM is powered on.</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If the setting does not exist run:</t>
    </r>
    <r>
      <rPr>
        <sz val="11"/>
        <color rgb="FF000000"/>
        <rFont val="Calibri"/>
      </rPr>
      <t xml:space="preserve">
</t>
    </r>
    <r>
      <rPr>
        <sz val="11"/>
        <color rgb="FF000000"/>
        <rFont val="Calibri"/>
      </rPr>
      <t>Get-VM "VM Name" | New-AdvancedSetting -Name isolation.tools.ghi.protocolhandler.info.disable -Value true</t>
    </r>
    <r>
      <rPr>
        <sz val="11"/>
        <color rgb="FF000000"/>
        <rFont val="Calibri"/>
      </rPr>
      <t xml:space="preserve">
</t>
    </r>
    <r>
      <rPr>
        <sz val="11"/>
        <color rgb="FF000000"/>
        <rFont val="Calibri"/>
      </rPr>
      <t>If the setting exists run:</t>
    </r>
    <r>
      <rPr>
        <sz val="11"/>
        <color rgb="FF000000"/>
        <rFont val="Calibri"/>
      </rPr>
      <t xml:space="preserve">
</t>
    </r>
    <r>
      <rPr>
        <sz val="11"/>
        <color rgb="FF000000"/>
        <rFont val="Calibri"/>
      </rPr>
      <t>Get-VM "VM Name" | Get-AdvancedSetting -Name isolation.tools.ghi.protocolhandler.info.disable | Set-AdvancedSetting -Value true</t>
    </r>
  </si>
  <si>
    <r>
      <rPr>
        <sz val="11"/>
        <color rgb="FF000000"/>
        <rFont val="Calibri"/>
      </rPr>
      <t>From the vSphere Client select the Virtual Machine right click and go to Edit Settings &gt;&gt; VM Options Tab &gt;&gt; Advanced &gt;&gt; Configuration Parameters.  Find the isolation.tools.ghi.protocolhandler.info.disable value and verify it is set to true.</t>
    </r>
    <r>
      <rPr>
        <sz val="11"/>
        <color rgb="FF000000"/>
        <rFont val="Calibri"/>
      </rPr>
      <t xml:space="preserve">
</t>
    </r>
    <r>
      <rPr>
        <sz val="11"/>
        <color rgb="FF000000"/>
        <rFont val="Calibri"/>
      </rPr>
      <t>Note:  The VM must be powered off to view the advanced settings through the vSphere Client so it is recommended to view these settings with PowerCLI as it can be done while the VM is powered on.</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isolation.tools.ghi.protocolhandler.info.disable</t>
    </r>
    <r>
      <rPr>
        <sz val="11"/>
        <color rgb="FF000000"/>
        <rFont val="Calibri"/>
      </rPr>
      <t xml:space="preserve">
</t>
    </r>
    <r>
      <rPr>
        <sz val="11"/>
        <color rgb="FF000000"/>
        <rFont val="Calibri"/>
      </rPr>
      <t>If the virtual machine advanced setting isolation.tools.ghi.protocolhandler.info.disable does not exist or is not set to true, this is a finding.</t>
    </r>
  </si>
  <si>
    <t>V-64067</t>
  </si>
  <si>
    <r>
      <rPr>
        <sz val="11"/>
        <rFont val="Calibri"/>
      </rPr>
      <t>The unexposed feature keyword isolation.ghi.host.shellAction.disable must be set.</t>
    </r>
  </si>
  <si>
    <r>
      <rPr>
        <sz val="11"/>
        <color rgb="FF000000"/>
        <rFont val="Calibri"/>
      </rPr>
      <t>From the vSphere Client select the Virtual Machine right click and go to Edit Settings &gt;&gt; VM Options Tab &gt;&gt; Advanced &gt;&gt; Configuration Parameters.  Find the isolation.ghi.host.shellAction.disable value and set it to true.  If the setting does not exist click "Add Row" to add the setting to the virtual machine.</t>
    </r>
    <r>
      <rPr>
        <sz val="11"/>
        <color rgb="FF000000"/>
        <rFont val="Calibri"/>
      </rPr>
      <t xml:space="preserve">
</t>
    </r>
    <r>
      <rPr>
        <sz val="11"/>
        <color rgb="FF000000"/>
        <rFont val="Calibri"/>
      </rPr>
      <t>Note:  The VM must be powered off to configure the advanced settings through the vSphere Client so it is recommended to configure these settings with PowerCLI as it can be done while the VM is powered on.</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If the setting does not exist run:</t>
    </r>
    <r>
      <rPr>
        <sz val="11"/>
        <color rgb="FF000000"/>
        <rFont val="Calibri"/>
      </rPr>
      <t xml:space="preserve">
</t>
    </r>
    <r>
      <rPr>
        <sz val="11"/>
        <color rgb="FF000000"/>
        <rFont val="Calibri"/>
      </rPr>
      <t>Get-VM "VM Name" | New-AdvancedSetting -Name isolation.ghi.host.shellAction.disable -Value true</t>
    </r>
    <r>
      <rPr>
        <sz val="11"/>
        <color rgb="FF000000"/>
        <rFont val="Calibri"/>
      </rPr>
      <t xml:space="preserve">
</t>
    </r>
    <r>
      <rPr>
        <sz val="11"/>
        <color rgb="FF000000"/>
        <rFont val="Calibri"/>
      </rPr>
      <t>If the setting exists run:</t>
    </r>
    <r>
      <rPr>
        <sz val="11"/>
        <color rgb="FF000000"/>
        <rFont val="Calibri"/>
      </rPr>
      <t xml:space="preserve">
</t>
    </r>
    <r>
      <rPr>
        <sz val="11"/>
        <color rgb="FF000000"/>
        <rFont val="Calibri"/>
      </rPr>
      <t>Get-VM "VM Name" | Get-AdvancedSetting -Name isolation.ghi.host.shellAction.disable | Set-AdvancedSetting -Value true</t>
    </r>
  </si>
  <si>
    <r>
      <rPr>
        <sz val="11"/>
        <color rgb="FF000000"/>
        <rFont val="Calibri"/>
      </rPr>
      <t>From the vSphere Client select the Virtual Machine right click and go to Edit Settings &gt;&gt; VM Options Tab &gt;&gt; Advanced &gt;&gt; Configuration Parameters.  Find the isolation.ghi.host.shellAction.disable value and verify it is set to true.</t>
    </r>
    <r>
      <rPr>
        <sz val="11"/>
        <color rgb="FF000000"/>
        <rFont val="Calibri"/>
      </rPr>
      <t xml:space="preserve">
</t>
    </r>
    <r>
      <rPr>
        <sz val="11"/>
        <color rgb="FF000000"/>
        <rFont val="Calibri"/>
      </rPr>
      <t>Note:  The VM must be powered off to view the advanced settings through the vSphere Client so it is recommended to view these settings with PowerCLI as it can be done while the VM is powered on.</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isolation.ghi.host.shellAction.disable</t>
    </r>
    <r>
      <rPr>
        <sz val="11"/>
        <color rgb="FF000000"/>
        <rFont val="Calibri"/>
      </rPr>
      <t xml:space="preserve">
</t>
    </r>
    <r>
      <rPr>
        <sz val="11"/>
        <color rgb="FF000000"/>
        <rFont val="Calibri"/>
      </rPr>
      <t>If the virtual machine advanced setting isolation.ghi.host.shellAction.disable does not exist or is not set to true, this is a finding.</t>
    </r>
  </si>
  <si>
    <t>V-64069</t>
  </si>
  <si>
    <r>
      <rPr>
        <sz val="11"/>
        <rFont val="Calibri"/>
      </rPr>
      <t>The unexposed feature keyword isolation.tools.dispTopoRequest.disable must be set.</t>
    </r>
  </si>
  <si>
    <r>
      <rPr>
        <sz val="11"/>
        <color rgb="FF000000"/>
        <rFont val="Calibri"/>
      </rPr>
      <t>From the vSphere Client select the Virtual Machine right click and go to Edit Settings &gt;&gt; VM Options Tab &gt;&gt; Advanced &gt;&gt; Configuration Parameters.  Find the isolation.tools.dispTopoRequest.disable value and set it to true.  If the setting does not exist click "Add Row" to add the setting to the virtual machine.</t>
    </r>
    <r>
      <rPr>
        <sz val="11"/>
        <color rgb="FF000000"/>
        <rFont val="Calibri"/>
      </rPr>
      <t xml:space="preserve">
</t>
    </r>
    <r>
      <rPr>
        <sz val="11"/>
        <color rgb="FF000000"/>
        <rFont val="Calibri"/>
      </rPr>
      <t>Note:  The VM must be powered off to configure the advanced settings through the vSphere Client so it is recommended to configure these settings with PowerCLI as it can be done while the VM is powered on.</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If the setting does not exist run:</t>
    </r>
    <r>
      <rPr>
        <sz val="11"/>
        <color rgb="FF000000"/>
        <rFont val="Calibri"/>
      </rPr>
      <t xml:space="preserve">
</t>
    </r>
    <r>
      <rPr>
        <sz val="11"/>
        <color rgb="FF000000"/>
        <rFont val="Calibri"/>
      </rPr>
      <t>Get-VM "VM Name" | New-AdvancedSetting -Name isolation.tools.dispTopoRequest.disable -Value true</t>
    </r>
    <r>
      <rPr>
        <sz val="11"/>
        <color rgb="FF000000"/>
        <rFont val="Calibri"/>
      </rPr>
      <t xml:space="preserve">
</t>
    </r>
    <r>
      <rPr>
        <sz val="11"/>
        <color rgb="FF000000"/>
        <rFont val="Calibri"/>
      </rPr>
      <t>If the setting exists run:</t>
    </r>
    <r>
      <rPr>
        <sz val="11"/>
        <color rgb="FF000000"/>
        <rFont val="Calibri"/>
      </rPr>
      <t xml:space="preserve">
</t>
    </r>
    <r>
      <rPr>
        <sz val="11"/>
        <color rgb="FF000000"/>
        <rFont val="Calibri"/>
      </rPr>
      <t>Get-VM "VM Name" | Get-AdvancedSetting -Name isolation.tools.dispTopoRequest.disable | Set-AdvancedSetting -Value true</t>
    </r>
  </si>
  <si>
    <r>
      <rPr>
        <sz val="11"/>
        <color rgb="FF000000"/>
        <rFont val="Calibri"/>
      </rPr>
      <t>From the vSphere Client select the Virtual Machine right click and go to Edit Settings &gt;&gt; VM Options Tab &gt;&gt; Advanced &gt;&gt; Configuration Parameters.  Find the isolation.tools.dispTopoRequest.disable value and verify it is set to true.</t>
    </r>
    <r>
      <rPr>
        <sz val="11"/>
        <color rgb="FF000000"/>
        <rFont val="Calibri"/>
      </rPr>
      <t xml:space="preserve">
</t>
    </r>
    <r>
      <rPr>
        <sz val="11"/>
        <color rgb="FF000000"/>
        <rFont val="Calibri"/>
      </rPr>
      <t>Note:  The VM must be powered off to view the advanced settings through the vSphere Client so it is recommended to view these settings with PowerCLI as it can be done while the VM is powered on.</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isolation.tools.dispTopoRequest.disable</t>
    </r>
    <r>
      <rPr>
        <sz val="11"/>
        <color rgb="FF000000"/>
        <rFont val="Calibri"/>
      </rPr>
      <t xml:space="preserve">
</t>
    </r>
    <r>
      <rPr>
        <sz val="11"/>
        <color rgb="FF000000"/>
        <rFont val="Calibri"/>
      </rPr>
      <t>If the virtual machine advanced setting isolation.tools.dispTopoRequest.disable does not exist or is not set to true, this is a finding.</t>
    </r>
  </si>
  <si>
    <t>V-64071</t>
  </si>
  <si>
    <r>
      <rPr>
        <sz val="11"/>
        <rFont val="Calibri"/>
      </rPr>
      <t>The unexposed feature keyword isolation.tools.trashFolderState.disable must be set.</t>
    </r>
  </si>
  <si>
    <r>
      <rPr>
        <sz val="11"/>
        <color rgb="FF000000"/>
        <rFont val="Calibri"/>
      </rPr>
      <t>From the vSphere Client select the Virtual Machine right click and go to Edit Settings &gt;&gt; VM Options Tab &gt;&gt; Advanced &gt;&gt; Configuration Parameters.  Find the isolation.tools.trashFolderState.disable value and set it to true.  If the setting does not exist click "Add Row" to add the setting to the virtual machine.</t>
    </r>
    <r>
      <rPr>
        <sz val="11"/>
        <color rgb="FF000000"/>
        <rFont val="Calibri"/>
      </rPr>
      <t xml:space="preserve">
</t>
    </r>
    <r>
      <rPr>
        <sz val="11"/>
        <color rgb="FF000000"/>
        <rFont val="Calibri"/>
      </rPr>
      <t>Note:  The VM must be powered off to configure the advanced settings through the vSphere Client so it is recommended to configure these settings with PowerCLI as it can be done while the VM is powered on.</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If the setting does not exist run:</t>
    </r>
    <r>
      <rPr>
        <sz val="11"/>
        <color rgb="FF000000"/>
        <rFont val="Calibri"/>
      </rPr>
      <t xml:space="preserve">
</t>
    </r>
    <r>
      <rPr>
        <sz val="11"/>
        <color rgb="FF000000"/>
        <rFont val="Calibri"/>
      </rPr>
      <t>Get-VM "VM Name" | New-AdvancedSetting -Name isolation.tools.trashFolderState.disable -Value true</t>
    </r>
    <r>
      <rPr>
        <sz val="11"/>
        <color rgb="FF000000"/>
        <rFont val="Calibri"/>
      </rPr>
      <t xml:space="preserve">
</t>
    </r>
    <r>
      <rPr>
        <sz val="11"/>
        <color rgb="FF000000"/>
        <rFont val="Calibri"/>
      </rPr>
      <t>If the setting exists run:</t>
    </r>
    <r>
      <rPr>
        <sz val="11"/>
        <color rgb="FF000000"/>
        <rFont val="Calibri"/>
      </rPr>
      <t xml:space="preserve">
</t>
    </r>
    <r>
      <rPr>
        <sz val="11"/>
        <color rgb="FF000000"/>
        <rFont val="Calibri"/>
      </rPr>
      <t>Get-VM "VM Name" | Get-AdvancedSetting -Name isolation.tools.trashFolderState.disable | Set-AdvancedSetting -Value true</t>
    </r>
  </si>
  <si>
    <r>
      <rPr>
        <sz val="11"/>
        <color rgb="FF000000"/>
        <rFont val="Calibri"/>
      </rPr>
      <t>From the vSphere Client select the Virtual Machine right click and go to Edit Settings &gt;&gt; VM Options Tab &gt;&gt; Advanced &gt;&gt; Configuration Parameters.  Find the isolation.tools.trashFolderState.disable value and verify it is set to true.</t>
    </r>
    <r>
      <rPr>
        <sz val="11"/>
        <color rgb="FF000000"/>
        <rFont val="Calibri"/>
      </rPr>
      <t xml:space="preserve">
</t>
    </r>
    <r>
      <rPr>
        <sz val="11"/>
        <color rgb="FF000000"/>
        <rFont val="Calibri"/>
      </rPr>
      <t>Note:  The VM must be powered off to view the advanced settings through the vSphere Client so it is recommended to view these settings with PowerCLI as it can be done while the VM is powered on.</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isolation.tools.trashFolderState.disable</t>
    </r>
    <r>
      <rPr>
        <sz val="11"/>
        <color rgb="FF000000"/>
        <rFont val="Calibri"/>
      </rPr>
      <t xml:space="preserve">
</t>
    </r>
    <r>
      <rPr>
        <sz val="11"/>
        <color rgb="FF000000"/>
        <rFont val="Calibri"/>
      </rPr>
      <t>If the virtual machine advanced setting isolation.tools.trashFolderState.disable does not exist or is not set to true, this is a finding.</t>
    </r>
  </si>
  <si>
    <t>V-64073</t>
  </si>
  <si>
    <r>
      <rPr>
        <sz val="11"/>
        <rFont val="Calibri"/>
      </rPr>
      <t>The unexposed feature keyword isolation.tools.ghi.trayicon.disable must be set.</t>
    </r>
  </si>
  <si>
    <r>
      <rPr>
        <sz val="11"/>
        <color rgb="FF000000"/>
        <rFont val="Calibri"/>
      </rPr>
      <t>From the vSphere Client select the Virtual Machine right click and go to Edit Settings &gt;&gt; VM Options Tab &gt;&gt; Advanced &gt;&gt; Configuration Parameters.  Find the isolation.tools.ghi.trayicon.disable value and set it to true.  If the setting does not exist click "Add Row" to add the setting to the virtual machine.</t>
    </r>
    <r>
      <rPr>
        <sz val="11"/>
        <color rgb="FF000000"/>
        <rFont val="Calibri"/>
      </rPr>
      <t xml:space="preserve">
</t>
    </r>
    <r>
      <rPr>
        <sz val="11"/>
        <color rgb="FF000000"/>
        <rFont val="Calibri"/>
      </rPr>
      <t>Note:  The VM must be powered off to configure the advanced settings through the vSphere Client so it is recommended to configure these settings with PowerCLI as it can be done while the VM is powered on.</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If the setting does not exist run:</t>
    </r>
    <r>
      <rPr>
        <sz val="11"/>
        <color rgb="FF000000"/>
        <rFont val="Calibri"/>
      </rPr>
      <t xml:space="preserve">
</t>
    </r>
    <r>
      <rPr>
        <sz val="11"/>
        <color rgb="FF000000"/>
        <rFont val="Calibri"/>
      </rPr>
      <t>Get-VM "VM Name" | New-AdvancedSetting -Name isolation.tools.ghi.trayicon.disable -Value true</t>
    </r>
    <r>
      <rPr>
        <sz val="11"/>
        <color rgb="FF000000"/>
        <rFont val="Calibri"/>
      </rPr>
      <t xml:space="preserve">
</t>
    </r>
    <r>
      <rPr>
        <sz val="11"/>
        <color rgb="FF000000"/>
        <rFont val="Calibri"/>
      </rPr>
      <t>If the setting exists run:</t>
    </r>
    <r>
      <rPr>
        <sz val="11"/>
        <color rgb="FF000000"/>
        <rFont val="Calibri"/>
      </rPr>
      <t xml:space="preserve">
</t>
    </r>
    <r>
      <rPr>
        <sz val="11"/>
        <color rgb="FF000000"/>
        <rFont val="Calibri"/>
      </rPr>
      <t>Get-VM "VM Name" | Get-AdvancedSetting -Name isolation.tools.ghi.trayicon.disable | Set-AdvancedSetting -Value true</t>
    </r>
  </si>
  <si>
    <r>
      <rPr>
        <sz val="11"/>
        <color rgb="FF000000"/>
        <rFont val="Calibri"/>
      </rPr>
      <t>From the vSphere Client select the Virtual Machine right click and go to Edit Settings &gt;&gt; VM Options Tab &gt;&gt; Advanced &gt;&gt; Configuration Parameters.  Find the isolation.tools.ghi.trayicon.disable value and verify it is set to true.</t>
    </r>
    <r>
      <rPr>
        <sz val="11"/>
        <color rgb="FF000000"/>
        <rFont val="Calibri"/>
      </rPr>
      <t xml:space="preserve">
</t>
    </r>
    <r>
      <rPr>
        <sz val="11"/>
        <color rgb="FF000000"/>
        <rFont val="Calibri"/>
      </rPr>
      <t>Note:  The VM must be powered off to view the advanced settings through the vSphere Client so it is recommended to view these settings with PowerCLI as it can be done while the VM is powered on.</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isolation.tools.ghi.trayicon.disable</t>
    </r>
    <r>
      <rPr>
        <sz val="11"/>
        <color rgb="FF000000"/>
        <rFont val="Calibri"/>
      </rPr>
      <t xml:space="preserve">
</t>
    </r>
    <r>
      <rPr>
        <sz val="11"/>
        <color rgb="FF000000"/>
        <rFont val="Calibri"/>
      </rPr>
      <t>If the virtual machine advanced setting isolation.tools.ghi.trayicon.disable does not exist or is not set to true, this is a finding.</t>
    </r>
  </si>
  <si>
    <t>V-64075</t>
  </si>
  <si>
    <r>
      <rPr>
        <sz val="11"/>
        <rFont val="Calibri"/>
      </rPr>
      <t>The unexposed feature keyword isolation.tools.unity.disable must be set.</t>
    </r>
  </si>
  <si>
    <r>
      <rPr>
        <sz val="11"/>
        <color rgb="FF000000"/>
        <rFont val="Calibri"/>
      </rPr>
      <t>From the vSphere Client select the Virtual Machine right click and go to Edit Settings &gt;&gt; VM Options Tab &gt;&gt; Advanced &gt;&gt; Configuration Parameters.  Find the isolation.tools.unity.disable value and set it to true.  If the setting does not exist click "Add Row" to add the setting to the virtual machine.</t>
    </r>
    <r>
      <rPr>
        <sz val="11"/>
        <color rgb="FF000000"/>
        <rFont val="Calibri"/>
      </rPr>
      <t xml:space="preserve">
</t>
    </r>
    <r>
      <rPr>
        <sz val="11"/>
        <color rgb="FF000000"/>
        <rFont val="Calibri"/>
      </rPr>
      <t>Note:  The VM must be powered off to configure the advanced settings through the vSphere Client so it is recommended to configure these settings with PowerCLI as it can be done while the VM is powered on.</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If the setting does not exist run:</t>
    </r>
    <r>
      <rPr>
        <sz val="11"/>
        <color rgb="FF000000"/>
        <rFont val="Calibri"/>
      </rPr>
      <t xml:space="preserve">
</t>
    </r>
    <r>
      <rPr>
        <sz val="11"/>
        <color rgb="FF000000"/>
        <rFont val="Calibri"/>
      </rPr>
      <t>Get-VM "VM Name" | New-AdvancedSetting -Name isolation.tools.unity.disable -Value true</t>
    </r>
    <r>
      <rPr>
        <sz val="11"/>
        <color rgb="FF000000"/>
        <rFont val="Calibri"/>
      </rPr>
      <t xml:space="preserve">
</t>
    </r>
    <r>
      <rPr>
        <sz val="11"/>
        <color rgb="FF000000"/>
        <rFont val="Calibri"/>
      </rPr>
      <t>If the setting exists run:</t>
    </r>
    <r>
      <rPr>
        <sz val="11"/>
        <color rgb="FF000000"/>
        <rFont val="Calibri"/>
      </rPr>
      <t xml:space="preserve">
</t>
    </r>
    <r>
      <rPr>
        <sz val="11"/>
        <color rgb="FF000000"/>
        <rFont val="Calibri"/>
      </rPr>
      <t>Get-VM "VM Name" | Get-AdvancedSetting -Name isolation.tools.unity.disable | Set-AdvancedSetting -Value true</t>
    </r>
  </si>
  <si>
    <r>
      <rPr>
        <sz val="11"/>
        <color rgb="FF000000"/>
        <rFont val="Calibri"/>
      </rPr>
      <t>From the vSphere Client select the Virtual Machine right click and go to Edit Settings &gt;&gt; VM Options Tab &gt;&gt; Advanced &gt;&gt; Configuration Parameters.  Find the isolation.tools.unity.disable value and verify it is set to true.</t>
    </r>
    <r>
      <rPr>
        <sz val="11"/>
        <color rgb="FF000000"/>
        <rFont val="Calibri"/>
      </rPr>
      <t xml:space="preserve">
</t>
    </r>
    <r>
      <rPr>
        <sz val="11"/>
        <color rgb="FF000000"/>
        <rFont val="Calibri"/>
      </rPr>
      <t>Note:  The VM must be powered off to view the advanced settings through the vSphere Client so it is recommended to view these settings with PowerCLI as it can be done while the VM is powered on.</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isolation.tools.unity.disable</t>
    </r>
    <r>
      <rPr>
        <sz val="11"/>
        <color rgb="FF000000"/>
        <rFont val="Calibri"/>
      </rPr>
      <t xml:space="preserve">
</t>
    </r>
    <r>
      <rPr>
        <sz val="11"/>
        <color rgb="FF000000"/>
        <rFont val="Calibri"/>
      </rPr>
      <t>If the virtual machine advanced setting isolation.tools.unity.disable does not exist or is not set to true, this is a finding.</t>
    </r>
  </si>
  <si>
    <t>V-64077</t>
  </si>
  <si>
    <r>
      <rPr>
        <sz val="11"/>
        <rFont val="Calibri"/>
      </rPr>
      <t>The unexposed feature keyword isolation.tools.unityInterlockOperation.disable must be set.</t>
    </r>
  </si>
  <si>
    <r>
      <rPr>
        <sz val="11"/>
        <color rgb="FF000000"/>
        <rFont val="Calibri"/>
      </rPr>
      <t>From the vSphere Client select the Virtual Machine right click and go to Edit Settings &gt;&gt; VM Options Tab &gt;&gt; Advanced &gt;&gt; Configuration Parameters.  Find the isolation.tools.unityInterlockOperation.disable value and set it to true.  If the setting does not exist click "Add Row" to add the setting to the virtual machine.</t>
    </r>
    <r>
      <rPr>
        <sz val="11"/>
        <color rgb="FF000000"/>
        <rFont val="Calibri"/>
      </rPr>
      <t xml:space="preserve">
</t>
    </r>
    <r>
      <rPr>
        <sz val="11"/>
        <color rgb="FF000000"/>
        <rFont val="Calibri"/>
      </rPr>
      <t>Note:  The VM must be powered off to configure the advanced settings through the vSphere Client so it is recommended to configure these settings with PowerCLI as it can be done while the VM is powered on.</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If the setting does not exist run:</t>
    </r>
    <r>
      <rPr>
        <sz val="11"/>
        <color rgb="FF000000"/>
        <rFont val="Calibri"/>
      </rPr>
      <t xml:space="preserve">
</t>
    </r>
    <r>
      <rPr>
        <sz val="11"/>
        <color rgb="FF000000"/>
        <rFont val="Calibri"/>
      </rPr>
      <t>Get-VM "VM Name" | New-AdvancedSetting -Name isolation.tools.unityInterlockOperation.disable -Value true</t>
    </r>
    <r>
      <rPr>
        <sz val="11"/>
        <color rgb="FF000000"/>
        <rFont val="Calibri"/>
      </rPr>
      <t xml:space="preserve">
</t>
    </r>
    <r>
      <rPr>
        <sz val="11"/>
        <color rgb="FF000000"/>
        <rFont val="Calibri"/>
      </rPr>
      <t>If the setting exists run:</t>
    </r>
    <r>
      <rPr>
        <sz val="11"/>
        <color rgb="FF000000"/>
        <rFont val="Calibri"/>
      </rPr>
      <t xml:space="preserve">
</t>
    </r>
    <r>
      <rPr>
        <sz val="11"/>
        <color rgb="FF000000"/>
        <rFont val="Calibri"/>
      </rPr>
      <t>Get-VM "VM Name" | Get-AdvancedSetting -Name isolation.tools.unityInterlockOperation.disable | Set-AdvancedSetting -Value true</t>
    </r>
  </si>
  <si>
    <r>
      <rPr>
        <sz val="11"/>
        <color rgb="FF000000"/>
        <rFont val="Calibri"/>
      </rPr>
      <t>From the vSphere Client select the Virtual Machine right click and go to Edit Settings &gt;&gt; VM Options Tab &gt;&gt; Advanced &gt;&gt; Configuration Parameters.  Find the isolation.tools.unityInterlockOperation.disable value and verify it is set to true.</t>
    </r>
    <r>
      <rPr>
        <sz val="11"/>
        <color rgb="FF000000"/>
        <rFont val="Calibri"/>
      </rPr>
      <t xml:space="preserve">
</t>
    </r>
    <r>
      <rPr>
        <sz val="11"/>
        <color rgb="FF000000"/>
        <rFont val="Calibri"/>
      </rPr>
      <t>Note:  The VM must be powered off to view the advanced settings through the vSphere Client so it is recommended to view these settings with PowerCLI as it can be done while the VM is powered on.</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isolation.tools.unityInterlockOperation.disable</t>
    </r>
    <r>
      <rPr>
        <sz val="11"/>
        <color rgb="FF000000"/>
        <rFont val="Calibri"/>
      </rPr>
      <t xml:space="preserve">
</t>
    </r>
    <r>
      <rPr>
        <sz val="11"/>
        <color rgb="FF000000"/>
        <rFont val="Calibri"/>
      </rPr>
      <t>If the virtual machine advanced setting isolation.tools.unityInterlockOperation.disable does not exist or is not set to true, this is a finding.</t>
    </r>
  </si>
  <si>
    <t>V-64079</t>
  </si>
  <si>
    <r>
      <rPr>
        <sz val="11"/>
        <rFont val="Calibri"/>
      </rPr>
      <t>The unexposed feature keyword isolation.tools.unity.push.update.disable must be set.</t>
    </r>
  </si>
  <si>
    <r>
      <rPr>
        <sz val="11"/>
        <color rgb="FF000000"/>
        <rFont val="Calibri"/>
      </rPr>
      <t>From the vSphere Client select the Virtual Machine right click and go to Edit Settings &gt;&gt; VM Options Tab &gt;&gt; Advanced &gt;&gt; Configuration Parameters.  Find the isolation.tools.unity.push.update.disable value and set it to true.  If the setting does not exist click "Add Row" to add the setting to the virtual machine.</t>
    </r>
    <r>
      <rPr>
        <sz val="11"/>
        <color rgb="FF000000"/>
        <rFont val="Calibri"/>
      </rPr>
      <t xml:space="preserve">
</t>
    </r>
    <r>
      <rPr>
        <sz val="11"/>
        <color rgb="FF000000"/>
        <rFont val="Calibri"/>
      </rPr>
      <t>Note:  The VM must be powered off to configure the advanced settings through the vSphere Client so it is recommended to configure these settings with PowerCLI as it can be done while the VM is powered on.</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If the setting does not exist run:</t>
    </r>
    <r>
      <rPr>
        <sz val="11"/>
        <color rgb="FF000000"/>
        <rFont val="Calibri"/>
      </rPr>
      <t xml:space="preserve">
</t>
    </r>
    <r>
      <rPr>
        <sz val="11"/>
        <color rgb="FF000000"/>
        <rFont val="Calibri"/>
      </rPr>
      <t>Get-VM "VM Name" | New-AdvancedSetting -Name isolation.tools.unity.push.update.disable -Value true</t>
    </r>
    <r>
      <rPr>
        <sz val="11"/>
        <color rgb="FF000000"/>
        <rFont val="Calibri"/>
      </rPr>
      <t xml:space="preserve">
</t>
    </r>
    <r>
      <rPr>
        <sz val="11"/>
        <color rgb="FF000000"/>
        <rFont val="Calibri"/>
      </rPr>
      <t>If the setting exists run:</t>
    </r>
    <r>
      <rPr>
        <sz val="11"/>
        <color rgb="FF000000"/>
        <rFont val="Calibri"/>
      </rPr>
      <t xml:space="preserve">
</t>
    </r>
    <r>
      <rPr>
        <sz val="11"/>
        <color rgb="FF000000"/>
        <rFont val="Calibri"/>
      </rPr>
      <t>Get-VM "VM Name" | Get-AdvancedSetting -Name isolation.tools.unity.push.update.disable | Set-AdvancedSetting -Value true</t>
    </r>
  </si>
  <si>
    <r>
      <rPr>
        <sz val="11"/>
        <color rgb="FF000000"/>
        <rFont val="Calibri"/>
      </rPr>
      <t>From the vSphere Client select the Virtual Machine right click and go to Edit Settings &gt;&gt; VM Options Tab &gt;&gt; Advanced &gt;&gt; Configuration Parameters.  Find the isolation.tools.unity.push.update.disable value and verify it is set to true.</t>
    </r>
    <r>
      <rPr>
        <sz val="11"/>
        <color rgb="FF000000"/>
        <rFont val="Calibri"/>
      </rPr>
      <t xml:space="preserve">
</t>
    </r>
    <r>
      <rPr>
        <sz val="11"/>
        <color rgb="FF000000"/>
        <rFont val="Calibri"/>
      </rPr>
      <t>Note:  The VM must be powered off to view the advanced settings through the vSphere Client so it is recommended to view these settings with PowerCLI as it can be done while the VM is powered on.</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isolation.tools.unity.push.update.disable</t>
    </r>
    <r>
      <rPr>
        <sz val="11"/>
        <color rgb="FF000000"/>
        <rFont val="Calibri"/>
      </rPr>
      <t xml:space="preserve">
</t>
    </r>
    <r>
      <rPr>
        <sz val="11"/>
        <color rgb="FF000000"/>
        <rFont val="Calibri"/>
      </rPr>
      <t>If the virtual machine advanced setting isolation.tools.unity.push.update.disable does not exist or is not set to true, this is a finding.</t>
    </r>
  </si>
  <si>
    <t>V-64081</t>
  </si>
  <si>
    <r>
      <rPr>
        <sz val="11"/>
        <rFont val="Calibri"/>
      </rPr>
      <t>The unexposed feature keyword isolation.tools.unity.taskbar.disable must be set.</t>
    </r>
  </si>
  <si>
    <r>
      <rPr>
        <sz val="11"/>
        <color rgb="FF000000"/>
        <rFont val="Calibri"/>
      </rPr>
      <t>From the vSphere Client select the Virtual Machine right click and go to Edit Settings &gt;&gt; VM Options Tab &gt;&gt; Advanced &gt;&gt; Configuration Parameters.  Find the isolation.tools.unity.taskbar.disable value and set it to true.  If the setting does not exist click "Add Row" to add the setting to the virtual machine.</t>
    </r>
    <r>
      <rPr>
        <sz val="11"/>
        <color rgb="FF000000"/>
        <rFont val="Calibri"/>
      </rPr>
      <t xml:space="preserve">
</t>
    </r>
    <r>
      <rPr>
        <sz val="11"/>
        <color rgb="FF000000"/>
        <rFont val="Calibri"/>
      </rPr>
      <t>Note:  The VM must be powered off to configure the advanced settings through the vSphere Client so it is recommended to configure these settings with PowerCLI as it can be done while the VM is powered on.</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If the setting does not exist run:</t>
    </r>
    <r>
      <rPr>
        <sz val="11"/>
        <color rgb="FF000000"/>
        <rFont val="Calibri"/>
      </rPr>
      <t xml:space="preserve">
</t>
    </r>
    <r>
      <rPr>
        <sz val="11"/>
        <color rgb="FF000000"/>
        <rFont val="Calibri"/>
      </rPr>
      <t>Get-VM "VM Name" | New-AdvancedSetting -Name isolation.tools.unity.taskbar.disable -Value true</t>
    </r>
    <r>
      <rPr>
        <sz val="11"/>
        <color rgb="FF000000"/>
        <rFont val="Calibri"/>
      </rPr>
      <t xml:space="preserve">
</t>
    </r>
    <r>
      <rPr>
        <sz val="11"/>
        <color rgb="FF000000"/>
        <rFont val="Calibri"/>
      </rPr>
      <t>If the setting exists run:</t>
    </r>
    <r>
      <rPr>
        <sz val="11"/>
        <color rgb="FF000000"/>
        <rFont val="Calibri"/>
      </rPr>
      <t xml:space="preserve">
</t>
    </r>
    <r>
      <rPr>
        <sz val="11"/>
        <color rgb="FF000000"/>
        <rFont val="Calibri"/>
      </rPr>
      <t>Get-VM "VM Name" | Get-AdvancedSetting -Name isolation.tools.unity.taskbar.disable | Set-AdvancedSetting -Value true</t>
    </r>
  </si>
  <si>
    <r>
      <rPr>
        <sz val="11"/>
        <color rgb="FF000000"/>
        <rFont val="Calibri"/>
      </rPr>
      <t>From the vSphere Client select the Virtual Machine right click and go to Edit Settings &gt;&gt; VM Options Tab &gt;&gt; Advanced &gt;&gt; Configuration Parameters.  Find the isolation.tools.unity.taskbar.disable value and verify it is set to true.</t>
    </r>
    <r>
      <rPr>
        <sz val="11"/>
        <color rgb="FF000000"/>
        <rFont val="Calibri"/>
      </rPr>
      <t xml:space="preserve">
</t>
    </r>
    <r>
      <rPr>
        <sz val="11"/>
        <color rgb="FF000000"/>
        <rFont val="Calibri"/>
      </rPr>
      <t>Note:  The VM must be powered off to view the advanced settings through the vSphere Client so it is recommended to view these settings with PowerCLI as it can be done while the VM is powered on.</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isolation.tools.unity.taskbar.disable</t>
    </r>
    <r>
      <rPr>
        <sz val="11"/>
        <color rgb="FF000000"/>
        <rFont val="Calibri"/>
      </rPr>
      <t xml:space="preserve">
</t>
    </r>
    <r>
      <rPr>
        <sz val="11"/>
        <color rgb="FF000000"/>
        <rFont val="Calibri"/>
      </rPr>
      <t>If the virtual machine advanced setting isolation.tools.unity.taskbar.disable does not exist or is not set to true, this is a finding.</t>
    </r>
  </si>
  <si>
    <t>V-64083</t>
  </si>
  <si>
    <r>
      <rPr>
        <sz val="11"/>
        <rFont val="Calibri"/>
      </rPr>
      <t>The unexposed feature keyword isolation.tools.unityActive.disable must be set.</t>
    </r>
  </si>
  <si>
    <r>
      <rPr>
        <sz val="11"/>
        <color rgb="FF000000"/>
        <rFont val="Calibri"/>
      </rPr>
      <t>From the vSphere Client select the Virtual Machine right click and go to Edit Settings &gt;&gt; VM Options Tab &gt;&gt; Advanced &gt;&gt; Configuration Parameters.  Find the isolation.tools.unityActive.disable value and set it to true.  If the setting does not exist click "Add Row" to add the setting to the virtual machine.</t>
    </r>
    <r>
      <rPr>
        <sz val="11"/>
        <color rgb="FF000000"/>
        <rFont val="Calibri"/>
      </rPr>
      <t xml:space="preserve">
</t>
    </r>
    <r>
      <rPr>
        <sz val="11"/>
        <color rgb="FF000000"/>
        <rFont val="Calibri"/>
      </rPr>
      <t>Note:  The VM must be powered off to configure the advanced settings through the vSphere Client so it is recommended to configure these settings with PowerCLI as it can be done while the VM is powered on.</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If the setting does not exist run:</t>
    </r>
    <r>
      <rPr>
        <sz val="11"/>
        <color rgb="FF000000"/>
        <rFont val="Calibri"/>
      </rPr>
      <t xml:space="preserve">
</t>
    </r>
    <r>
      <rPr>
        <sz val="11"/>
        <color rgb="FF000000"/>
        <rFont val="Calibri"/>
      </rPr>
      <t>Get-VM "VM Name" | New-AdvancedSetting -Name isolation.tools.unityActive.disable -Value true</t>
    </r>
    <r>
      <rPr>
        <sz val="11"/>
        <color rgb="FF000000"/>
        <rFont val="Calibri"/>
      </rPr>
      <t xml:space="preserve">
</t>
    </r>
    <r>
      <rPr>
        <sz val="11"/>
        <color rgb="FF000000"/>
        <rFont val="Calibri"/>
      </rPr>
      <t>If the setting exists run:</t>
    </r>
    <r>
      <rPr>
        <sz val="11"/>
        <color rgb="FF000000"/>
        <rFont val="Calibri"/>
      </rPr>
      <t xml:space="preserve">
</t>
    </r>
    <r>
      <rPr>
        <sz val="11"/>
        <color rgb="FF000000"/>
        <rFont val="Calibri"/>
      </rPr>
      <t>Get-VM "VM Name" | Get-AdvancedSetting -Name isolation.tools.unityActive.disable | Set-AdvancedSetting -Value true</t>
    </r>
  </si>
  <si>
    <r>
      <rPr>
        <sz val="11"/>
        <color rgb="FF000000"/>
        <rFont val="Calibri"/>
      </rPr>
      <t>From the vSphere Client select the Virtual Machine right click and go to Edit Settings &gt;&gt; VM Options Tab &gt;&gt; Advanced &gt;&gt; Configuration Parameters.  Find the isolation.tools.unityActive.disable value and verify it is set to true.</t>
    </r>
    <r>
      <rPr>
        <sz val="11"/>
        <color rgb="FF000000"/>
        <rFont val="Calibri"/>
      </rPr>
      <t xml:space="preserve">
</t>
    </r>
    <r>
      <rPr>
        <sz val="11"/>
        <color rgb="FF000000"/>
        <rFont val="Calibri"/>
      </rPr>
      <t>Note:  The VM must be powered off to view the advanced settings through the vSphere Client so it is recommended to view these settings with PowerCLI as it can be done while the VM is powered on.</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isolation.tools.unityActive.disable</t>
    </r>
    <r>
      <rPr>
        <sz val="11"/>
        <color rgb="FF000000"/>
        <rFont val="Calibri"/>
      </rPr>
      <t xml:space="preserve">
</t>
    </r>
    <r>
      <rPr>
        <sz val="11"/>
        <color rgb="FF000000"/>
        <rFont val="Calibri"/>
      </rPr>
      <t>If the virtual machine advanced setting isolation.tools.unityActive.disable does not exist or is not set to true, this is a finding.</t>
    </r>
  </si>
  <si>
    <t>V-64085</t>
  </si>
  <si>
    <r>
      <rPr>
        <sz val="11"/>
        <rFont val="Calibri"/>
      </rPr>
      <t>The unexposed feature keyword isolation.tools.unity.windowContents.disable must be set.</t>
    </r>
  </si>
  <si>
    <r>
      <rPr>
        <sz val="11"/>
        <color rgb="FF000000"/>
        <rFont val="Calibri"/>
      </rPr>
      <t>From the vSphere Client select the Virtual Machine right click and go to Edit Settings &gt;&gt; VM Options Tab &gt;&gt; Advanced &gt;&gt; Configuration Parameters.  Find the isolation.tools.unity.windowContents.disable value and set it to true.  If the setting does not exist click "Add Row" to add the setting to the virtual machine.</t>
    </r>
    <r>
      <rPr>
        <sz val="11"/>
        <color rgb="FF000000"/>
        <rFont val="Calibri"/>
      </rPr>
      <t xml:space="preserve">
</t>
    </r>
    <r>
      <rPr>
        <sz val="11"/>
        <color rgb="FF000000"/>
        <rFont val="Calibri"/>
      </rPr>
      <t>Note:  The VM must be powered off to configure the advanced settings through the vSphere Client so it is recommended to configure these settings with PowerCLI as it can be done while the VM is powered on.</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If the setting does not exist run:</t>
    </r>
    <r>
      <rPr>
        <sz val="11"/>
        <color rgb="FF000000"/>
        <rFont val="Calibri"/>
      </rPr>
      <t xml:space="preserve">
</t>
    </r>
    <r>
      <rPr>
        <sz val="11"/>
        <color rgb="FF000000"/>
        <rFont val="Calibri"/>
      </rPr>
      <t>Get-VM "VM Name" | New-AdvancedSetting -Name isolation.tools.unity.windowContents.disable -Value true</t>
    </r>
    <r>
      <rPr>
        <sz val="11"/>
        <color rgb="FF000000"/>
        <rFont val="Calibri"/>
      </rPr>
      <t xml:space="preserve">
</t>
    </r>
    <r>
      <rPr>
        <sz val="11"/>
        <color rgb="FF000000"/>
        <rFont val="Calibri"/>
      </rPr>
      <t>If the setting exists run:</t>
    </r>
    <r>
      <rPr>
        <sz val="11"/>
        <color rgb="FF000000"/>
        <rFont val="Calibri"/>
      </rPr>
      <t xml:space="preserve">
</t>
    </r>
    <r>
      <rPr>
        <sz val="11"/>
        <color rgb="FF000000"/>
        <rFont val="Calibri"/>
      </rPr>
      <t>Get-VM "VM Name" | Get-AdvancedSetting -Name isolation.tools.unity.windowContents.disable | Set-AdvancedSetting -Value true</t>
    </r>
  </si>
  <si>
    <r>
      <rPr>
        <sz val="11"/>
        <color rgb="FF000000"/>
        <rFont val="Calibri"/>
      </rPr>
      <t>From the vSphere Client select the Virtual Machine right click and go to Edit Settings &gt;&gt; VM Options Tab &gt;&gt; Advanced &gt;&gt; Configuration Parameters.  Find the isolation.tools.unity.windowContents.disable value and verify it is set to true.</t>
    </r>
    <r>
      <rPr>
        <sz val="11"/>
        <color rgb="FF000000"/>
        <rFont val="Calibri"/>
      </rPr>
      <t xml:space="preserve">
</t>
    </r>
    <r>
      <rPr>
        <sz val="11"/>
        <color rgb="FF000000"/>
        <rFont val="Calibri"/>
      </rPr>
      <t>Note:  The VM must be powered off to view the advanced settings through the vSphere Client so it is recommended to view these settings with PowerCLI as it can be done while the VM is powered on.</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isolation.tools.unity.windowContents.disable</t>
    </r>
    <r>
      <rPr>
        <sz val="11"/>
        <color rgb="FF000000"/>
        <rFont val="Calibri"/>
      </rPr>
      <t xml:space="preserve">
</t>
    </r>
    <r>
      <rPr>
        <sz val="11"/>
        <color rgb="FF000000"/>
        <rFont val="Calibri"/>
      </rPr>
      <t>If the virtual machine advanced setting isolation.tools.unity.windowContents.disable does not exist or is not set to true, this is a finding.</t>
    </r>
  </si>
  <si>
    <t>V-64087</t>
  </si>
  <si>
    <r>
      <rPr>
        <sz val="11"/>
        <rFont val="Calibri"/>
      </rPr>
      <t>The unexposed feature keyword isolation.tools.vmxDnDVersionGet.disable must be set.</t>
    </r>
  </si>
  <si>
    <r>
      <rPr>
        <sz val="11"/>
        <color rgb="FF000000"/>
        <rFont val="Calibri"/>
      </rPr>
      <t>From the vSphere Client select the Virtual Machine right click and go to Edit Settings &gt;&gt; VM Options Tab &gt;&gt; Advanced &gt;&gt; Configuration Parameters.  Find the isolation.tools.vmxDnDVersionGet.disable value and set it to true.  If the setting does not exist click "Add Row" to add the setting to the virtual machine.</t>
    </r>
    <r>
      <rPr>
        <sz val="11"/>
        <color rgb="FF000000"/>
        <rFont val="Calibri"/>
      </rPr>
      <t xml:space="preserve">
</t>
    </r>
    <r>
      <rPr>
        <sz val="11"/>
        <color rgb="FF000000"/>
        <rFont val="Calibri"/>
      </rPr>
      <t>Note:  The VM must be powered off to configure the advanced settings through the vSphere Client so it is recommended to configure these settings with PowerCLI as it can be done while the VM is powered on.</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If the setting does not exist run:</t>
    </r>
    <r>
      <rPr>
        <sz val="11"/>
        <color rgb="FF000000"/>
        <rFont val="Calibri"/>
      </rPr>
      <t xml:space="preserve">
</t>
    </r>
    <r>
      <rPr>
        <sz val="11"/>
        <color rgb="FF000000"/>
        <rFont val="Calibri"/>
      </rPr>
      <t>Get-VM "VM Name" | New-AdvancedSetting -Name isolation.tools.vmxDnDVersionGet.disable -Value true</t>
    </r>
    <r>
      <rPr>
        <sz val="11"/>
        <color rgb="FF000000"/>
        <rFont val="Calibri"/>
      </rPr>
      <t xml:space="preserve">
</t>
    </r>
    <r>
      <rPr>
        <sz val="11"/>
        <color rgb="FF000000"/>
        <rFont val="Calibri"/>
      </rPr>
      <t>If the setting exists run:</t>
    </r>
    <r>
      <rPr>
        <sz val="11"/>
        <color rgb="FF000000"/>
        <rFont val="Calibri"/>
      </rPr>
      <t xml:space="preserve">
</t>
    </r>
    <r>
      <rPr>
        <sz val="11"/>
        <color rgb="FF000000"/>
        <rFont val="Calibri"/>
      </rPr>
      <t>Get-VM "VM Name" | Get-AdvancedSetting -Name isolation.tools.vmxDnDVersionGet.disable | Set-AdvancedSetting -Value true</t>
    </r>
  </si>
  <si>
    <r>
      <rPr>
        <sz val="11"/>
        <color rgb="FF000000"/>
        <rFont val="Calibri"/>
      </rPr>
      <t>From the vSphere Client select the Virtual Machine right click and go to Edit Settings &gt;&gt; VM Options Tab &gt;&gt; Advanced &gt;&gt; Configuration Parameters.  Find the isolation.tools.vmxDnDVersionGet.disable value and verify it is set to true.</t>
    </r>
    <r>
      <rPr>
        <sz val="11"/>
        <color rgb="FF000000"/>
        <rFont val="Calibri"/>
      </rPr>
      <t xml:space="preserve">
</t>
    </r>
    <r>
      <rPr>
        <sz val="11"/>
        <color rgb="FF000000"/>
        <rFont val="Calibri"/>
      </rPr>
      <t>Note:  The VM must be powered off to view the advanced settings through the vSphere Client so it is recommended to view these settings with PowerCLI as it can be done while the VM is powered on.</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isolation.tools.vmxDnDVersionGet.disable</t>
    </r>
    <r>
      <rPr>
        <sz val="11"/>
        <color rgb="FF000000"/>
        <rFont val="Calibri"/>
      </rPr>
      <t xml:space="preserve">
</t>
    </r>
    <r>
      <rPr>
        <sz val="11"/>
        <color rgb="FF000000"/>
        <rFont val="Calibri"/>
      </rPr>
      <t>If the virtual machine advanced setting isolation.tools.vmxDnDVersionGet.disable does not exist or is not set to true, this is a finding.</t>
    </r>
  </si>
  <si>
    <t>V-64089</t>
  </si>
  <si>
    <r>
      <rPr>
        <sz val="11"/>
        <rFont val="Calibri"/>
      </rPr>
      <t>The unexposed feature keyword isolation.tools.guestDnDVersionSet.disable must be set.</t>
    </r>
  </si>
  <si>
    <r>
      <rPr>
        <sz val="11"/>
        <color rgb="FF000000"/>
        <rFont val="Calibri"/>
      </rPr>
      <t>From the vSphere Client select the Virtual Machine right click and go to Edit Settings &gt;&gt; VM Options Tab &gt;&gt; Advanced &gt;&gt; Configuration Parameters.  Find the isolation.tools.guestDnDVersionSet.disable value and set it to true.  If the setting does not exist click "Add Row" to add the setting to the virtual machine.</t>
    </r>
    <r>
      <rPr>
        <sz val="11"/>
        <color rgb="FF000000"/>
        <rFont val="Calibri"/>
      </rPr>
      <t xml:space="preserve">
</t>
    </r>
    <r>
      <rPr>
        <sz val="11"/>
        <color rgb="FF000000"/>
        <rFont val="Calibri"/>
      </rPr>
      <t>Note:  The VM must be powered off to configure the advanced settings through the vSphere Client so it is recommended to configure these settings with PowerCLI as it can be done while the VM is powered on.</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If the setting does not exist run:</t>
    </r>
    <r>
      <rPr>
        <sz val="11"/>
        <color rgb="FF000000"/>
        <rFont val="Calibri"/>
      </rPr>
      <t xml:space="preserve">
</t>
    </r>
    <r>
      <rPr>
        <sz val="11"/>
        <color rgb="FF000000"/>
        <rFont val="Calibri"/>
      </rPr>
      <t>Get-VM "VM Name" | New-AdvancedSetting -Name isolation.tools.guestDnDVersionSet.disable -Value true</t>
    </r>
    <r>
      <rPr>
        <sz val="11"/>
        <color rgb="FF000000"/>
        <rFont val="Calibri"/>
      </rPr>
      <t xml:space="preserve">
</t>
    </r>
    <r>
      <rPr>
        <sz val="11"/>
        <color rgb="FF000000"/>
        <rFont val="Calibri"/>
      </rPr>
      <t>If the setting exists run:</t>
    </r>
    <r>
      <rPr>
        <sz val="11"/>
        <color rgb="FF000000"/>
        <rFont val="Calibri"/>
      </rPr>
      <t xml:space="preserve">
</t>
    </r>
    <r>
      <rPr>
        <sz val="11"/>
        <color rgb="FF000000"/>
        <rFont val="Calibri"/>
      </rPr>
      <t>Get-VM "VM Name" | Get-AdvancedSetting -Name isolation.tools.guestDnDVersionSet.disable | Set-AdvancedSetting -Value true</t>
    </r>
  </si>
  <si>
    <r>
      <rPr>
        <sz val="11"/>
        <color rgb="FF000000"/>
        <rFont val="Calibri"/>
      </rPr>
      <t>From the vSphere Client select the Virtual Machine right click and go to Edit Settings &gt;&gt; VM Options Tab &gt;&gt; Advanced &gt;&gt; Configuration Parameters.  Find the isolation.tools.guestDnDVersionSet.disable value and verify it is set to true.</t>
    </r>
    <r>
      <rPr>
        <sz val="11"/>
        <color rgb="FF000000"/>
        <rFont val="Calibri"/>
      </rPr>
      <t xml:space="preserve">
</t>
    </r>
    <r>
      <rPr>
        <sz val="11"/>
        <color rgb="FF000000"/>
        <rFont val="Calibri"/>
      </rPr>
      <t>Note:  The VM must be powered off to view the advanced settings through the vSphere Client so it is recommended to view these settings with PowerCLI as it can be done while the VM is powered on.</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isolation.tools.guestDnDVersionSet.disable</t>
    </r>
    <r>
      <rPr>
        <sz val="11"/>
        <color rgb="FF000000"/>
        <rFont val="Calibri"/>
      </rPr>
      <t xml:space="preserve">
</t>
    </r>
    <r>
      <rPr>
        <sz val="11"/>
        <color rgb="FF000000"/>
        <rFont val="Calibri"/>
      </rPr>
      <t>If the virtual machine advanced setting isolation.tools.guestDnDVersionSet.disable does not exist or is not set to true, this is a finding.</t>
    </r>
  </si>
  <si>
    <t>V-64091</t>
  </si>
  <si>
    <r>
      <rPr>
        <sz val="11"/>
        <rFont val="Calibri"/>
      </rPr>
      <t>The system must disable VIX messages from the VM.</t>
    </r>
  </si>
  <si>
    <r>
      <rPr>
        <sz val="11"/>
        <color rgb="FF000000"/>
        <rFont val="Calibri"/>
      </rPr>
      <t>From the vSphere Client select the Virtual Machine right click and go to Edit Settings &gt;&gt; VM Options Tab &gt;&gt; Advanced &gt;&gt; Configuration Parameters.  Find the isolation.tools.vixMessage.disable value and set it to true.  If the setting does not exist click "Add Row" to add the setting to the virtual machine.</t>
    </r>
    <r>
      <rPr>
        <sz val="11"/>
        <color rgb="FF000000"/>
        <rFont val="Calibri"/>
      </rPr>
      <t xml:space="preserve">
</t>
    </r>
    <r>
      <rPr>
        <sz val="11"/>
        <color rgb="FF000000"/>
        <rFont val="Calibri"/>
      </rPr>
      <t>Note:  The VM must be powered off to configure the advanced settings through the vSphere Client so it is recommended to configure these settings with PowerCLI as it can be done while the VM is powered on.</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If the setting does not exist run:</t>
    </r>
    <r>
      <rPr>
        <sz val="11"/>
        <color rgb="FF000000"/>
        <rFont val="Calibri"/>
      </rPr>
      <t xml:space="preserve">
</t>
    </r>
    <r>
      <rPr>
        <sz val="11"/>
        <color rgb="FF000000"/>
        <rFont val="Calibri"/>
      </rPr>
      <t>Get-VM "VM Name" | New-AdvancedSetting -Name isolation.tools.vixMessage.disable -Value true</t>
    </r>
    <r>
      <rPr>
        <sz val="11"/>
        <color rgb="FF000000"/>
        <rFont val="Calibri"/>
      </rPr>
      <t xml:space="preserve">
</t>
    </r>
    <r>
      <rPr>
        <sz val="11"/>
        <color rgb="FF000000"/>
        <rFont val="Calibri"/>
      </rPr>
      <t>If the setting exists run:</t>
    </r>
    <r>
      <rPr>
        <sz val="11"/>
        <color rgb="FF000000"/>
        <rFont val="Calibri"/>
      </rPr>
      <t xml:space="preserve">
</t>
    </r>
    <r>
      <rPr>
        <sz val="11"/>
        <color rgb="FF000000"/>
        <rFont val="Calibri"/>
      </rPr>
      <t>Get-VM "VM Name" | Get-AdvancedSetting -Name isolation.tools.vixMessage.disable | Set-AdvancedSetting -Value true</t>
    </r>
  </si>
  <si>
    <r>
      <rPr>
        <sz val="11"/>
        <color rgb="FF000000"/>
        <rFont val="Calibri"/>
      </rPr>
      <t>The VIX API is a library for writing scripts and programs to manipulate virtual machines. If you do not make use of custom VIX programming in your environment, then you should consider disabling certain features to reduce the potential for vulnerabilities. The ability to send messages from the VM to the host is one of these features. Note that disabling this feature does NOT adversely affect the functioning of VIX operations that originate outside the guest, so certain VMware and 3rd party solutions that rely upon this capability should continue to work. This is a deprecated interface.</t>
    </r>
  </si>
  <si>
    <r>
      <rPr>
        <sz val="11"/>
        <color rgb="FF000000"/>
        <rFont val="Calibri"/>
      </rPr>
      <t>From the vSphere Client select the Virtual Machine right click and go to Edit Settings &gt;&gt; VM Options Tab &gt;&gt; Advanced &gt;&gt; Configuration Parameters.  Find the isolation.tools.vixMessage.disable value and verify it is set to true.</t>
    </r>
    <r>
      <rPr>
        <sz val="11"/>
        <color rgb="FF000000"/>
        <rFont val="Calibri"/>
      </rPr>
      <t xml:space="preserve">
</t>
    </r>
    <r>
      <rPr>
        <sz val="11"/>
        <color rgb="FF000000"/>
        <rFont val="Calibri"/>
      </rPr>
      <t>Note:  The VM must be powered off to view the advanced settings through the vSphere Client so it is recommended to view these settings with PowerCLI as it can be done while the VM is powered on.</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isolation.tools.vixMessage.disable</t>
    </r>
    <r>
      <rPr>
        <sz val="11"/>
        <color rgb="FF000000"/>
        <rFont val="Calibri"/>
      </rPr>
      <t xml:space="preserve">
</t>
    </r>
    <r>
      <rPr>
        <sz val="11"/>
        <color rgb="FF000000"/>
        <rFont val="Calibri"/>
      </rPr>
      <t>If the virtual machine advanced setting isolation.tools.vixMessage.disable does not exist or is not set to true, this is a finding.</t>
    </r>
  </si>
  <si>
    <t>V-64093</t>
  </si>
  <si>
    <r>
      <rPr>
        <sz val="11"/>
        <rFont val="Calibri"/>
      </rPr>
      <t>The system must disconnect unauthorized floppy devices.</t>
    </r>
  </si>
  <si>
    <r>
      <rPr>
        <sz val="11"/>
        <color rgb="FF000000"/>
        <rFont val="Calibri"/>
      </rPr>
      <t>The VM must be powered off in order to remove a floppy drive.</t>
    </r>
    <r>
      <rPr>
        <sz val="11"/>
        <color rgb="FF000000"/>
        <rFont val="Calibri"/>
      </rPr>
      <t xml:space="preserve">
</t>
    </r>
    <r>
      <rPr>
        <sz val="11"/>
        <color rgb="FF000000"/>
        <rFont val="Calibri"/>
      </rPr>
      <t>From the vSphere Client select the Virtual Machine right click and go to Edit Settings.  Select the floppy drive and click remove then OK.</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Get-FloppyDrive | Remove-FloppyDrive</t>
    </r>
  </si>
  <si>
    <r>
      <rPr>
        <sz val="11"/>
        <color rgb="FF000000"/>
        <rFont val="Calibri"/>
      </rPr>
      <t>Ensure that no device is connected to a virtual machine if it is not required. For example, floppy, serial and parallel ports are rarely used for virtual machines in a datacenter environment, and CD/DVD drives are usually connected only temporarily during software installation.</t>
    </r>
  </si>
  <si>
    <r>
      <rPr>
        <sz val="11"/>
        <color rgb="FF000000"/>
        <rFont val="Calibri"/>
      </rPr>
      <t>From the vSphere Client select the Virtual Machine right click and go to Edit Settings.  Review the VMs hardware and verify no floppy devices exist.</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 Get-FloppyDrive | Select Parent, Name, ConnectionState</t>
    </r>
    <r>
      <rPr>
        <sz val="11"/>
        <color rgb="FF000000"/>
        <rFont val="Calibri"/>
      </rPr>
      <t xml:space="preserve">
</t>
    </r>
    <r>
      <rPr>
        <sz val="11"/>
        <color rgb="FF000000"/>
        <rFont val="Calibri"/>
      </rPr>
      <t>If a virtual machine has a floppy drive present, this is a finding.</t>
    </r>
  </si>
  <si>
    <t>V-64095</t>
  </si>
  <si>
    <r>
      <rPr>
        <sz val="11"/>
        <rFont val="Calibri"/>
      </rPr>
      <t>The system must disconnect unauthorized CD/DVD devices.</t>
    </r>
  </si>
  <si>
    <r>
      <rPr>
        <sz val="11"/>
        <color rgb="FF000000"/>
        <rFont val="Calibri"/>
      </rPr>
      <t>From the vSphere Client select the Virtual Machine right click and go to Edit Settings.  Select the CD/DVD drive and uncheck "Connected" and "Connect at power on" and remove any attached ISOs.</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Get-CDDrive | Set-CDDrive -NoMedia</t>
    </r>
  </si>
  <si>
    <r>
      <rPr>
        <sz val="11"/>
        <color rgb="FF000000"/>
        <rFont val="Calibri"/>
      </rPr>
      <t>From the vSphere Client select the Virtual Machine right click and go to Edit Settings.  Review the VMs hardware and verify no CD/DVD drives are connected.</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 Get-CDDrive | Where {$_.extensiondata.connectable.connected -eq $true} | Select Parent,Name</t>
    </r>
    <r>
      <rPr>
        <sz val="11"/>
        <color rgb="FF000000"/>
        <rFont val="Calibri"/>
      </rPr>
      <t xml:space="preserve">
</t>
    </r>
    <r>
      <rPr>
        <sz val="11"/>
        <color rgb="FF000000"/>
        <rFont val="Calibri"/>
      </rPr>
      <t>If a virtual machine has a CD/DVD drive connected other than temporarily, this is a finding.</t>
    </r>
  </si>
  <si>
    <t>V-64097</t>
  </si>
  <si>
    <r>
      <rPr>
        <sz val="11"/>
        <rFont val="Calibri"/>
      </rPr>
      <t>The system must disconnect unauthorized parallel devices.</t>
    </r>
  </si>
  <si>
    <r>
      <rPr>
        <sz val="11"/>
        <color rgb="FF000000"/>
        <rFont val="Calibri"/>
      </rPr>
      <t>The VM must be powered off in order to remove a parallel device.</t>
    </r>
    <r>
      <rPr>
        <sz val="11"/>
        <color rgb="FF000000"/>
        <rFont val="Calibri"/>
      </rPr>
      <t xml:space="preserve">
</t>
    </r>
    <r>
      <rPr>
        <sz val="11"/>
        <color rgb="FF000000"/>
        <rFont val="Calibri"/>
      </rPr>
      <t>From the vSphere Client select the Virtual Machine right click and go to Edit Settings.  Select the parallel device and click remove then OK.</t>
    </r>
  </si>
  <si>
    <r>
      <rPr>
        <sz val="11"/>
        <color rgb="FF000000"/>
        <rFont val="Calibri"/>
      </rPr>
      <t>From the vSphere Client select the Virtual Machine right click and go to Edit Settings.  Review the VMs hardware and verify no parallel devices exist.</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 Where {$_.ExtensionData.Config.Hardware.Device.DeviceInfo.Label -match "parallel"}</t>
    </r>
    <r>
      <rPr>
        <sz val="11"/>
        <color rgb="FF000000"/>
        <rFont val="Calibri"/>
      </rPr>
      <t xml:space="preserve">
</t>
    </r>
    <r>
      <rPr>
        <sz val="11"/>
        <color rgb="FF000000"/>
        <rFont val="Calibri"/>
      </rPr>
      <t>If a virtual machine has a parallel device present, this is a finding.</t>
    </r>
  </si>
  <si>
    <t>V-64099</t>
  </si>
  <si>
    <r>
      <rPr>
        <sz val="11"/>
        <rFont val="Calibri"/>
      </rPr>
      <t>The system must disconnect unauthorized serial devices.</t>
    </r>
  </si>
  <si>
    <r>
      <rPr>
        <sz val="11"/>
        <color rgb="FF000000"/>
        <rFont val="Calibri"/>
      </rPr>
      <t>The VM must be powered off in order to remove a serial device.</t>
    </r>
    <r>
      <rPr>
        <sz val="11"/>
        <color rgb="FF000000"/>
        <rFont val="Calibri"/>
      </rPr>
      <t xml:space="preserve">
</t>
    </r>
    <r>
      <rPr>
        <sz val="11"/>
        <color rgb="FF000000"/>
        <rFont val="Calibri"/>
      </rPr>
      <t>From the vSphere Client select the Virtual Machine right click and go to Edit Settings.  Select the serial device and click remove then OK.</t>
    </r>
  </si>
  <si>
    <r>
      <rPr>
        <sz val="11"/>
        <color rgb="FF000000"/>
        <rFont val="Calibri"/>
      </rPr>
      <t>From the vSphere Client select the Virtual Machine right click and go to Edit Settings.  Review the VMs hardware and verify no serial devices exist.</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 Where {$_.ExtensionData.Config.Hardware.Device.DeviceInfo.Label -match "serial"}</t>
    </r>
    <r>
      <rPr>
        <sz val="11"/>
        <color rgb="FF000000"/>
        <rFont val="Calibri"/>
      </rPr>
      <t xml:space="preserve">
</t>
    </r>
    <r>
      <rPr>
        <sz val="11"/>
        <color rgb="FF000000"/>
        <rFont val="Calibri"/>
      </rPr>
      <t>If a virtual machine has a serial device present, this is a finding.</t>
    </r>
  </si>
  <si>
    <t>V-64101</t>
  </si>
  <si>
    <r>
      <rPr>
        <sz val="11"/>
        <rFont val="Calibri"/>
      </rPr>
      <t>The system must disconnect unauthorized USB devices.</t>
    </r>
  </si>
  <si>
    <r>
      <rPr>
        <sz val="11"/>
        <color rgb="FF000000"/>
        <rFont val="Calibri"/>
      </rPr>
      <t>From the vSphere Client select the Virtual Machine right click and go to Edit Settings.  Select the USB controller and click remove then OK.</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Get-USBDevice | Remove-USBDevice</t>
    </r>
    <r>
      <rPr>
        <sz val="11"/>
        <color rgb="FF000000"/>
        <rFont val="Calibri"/>
      </rPr>
      <t xml:space="preserve">
</t>
    </r>
    <r>
      <rPr>
        <sz val="11"/>
        <color rgb="FF000000"/>
        <rFont val="Calibri"/>
      </rPr>
      <t>Note:  This will not remove the USB controller just any connected devices.</t>
    </r>
  </si>
  <si>
    <r>
      <rPr>
        <sz val="11"/>
        <color rgb="FF000000"/>
        <rFont val="Calibri"/>
      </rPr>
      <t>From the vSphere Client select the Virtual Machine right click and go to Edit Settings.  Review the VMs hardware and verify no USB devices exist.</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commands:</t>
    </r>
    <r>
      <rPr>
        <sz val="11"/>
        <color rgb="FF000000"/>
        <rFont val="Calibri"/>
      </rPr>
      <t xml:space="preserve">
</t>
    </r>
    <r>
      <rPr>
        <sz val="11"/>
        <color rgb="FF000000"/>
        <rFont val="Calibri"/>
      </rPr>
      <t>Get-VM | Where {$_.ExtensionData.Config.Hardware.Device.DeviceInfo.Label -match "usb"}</t>
    </r>
    <r>
      <rPr>
        <sz val="11"/>
        <color rgb="FF000000"/>
        <rFont val="Calibri"/>
      </rPr>
      <t xml:space="preserve">
</t>
    </r>
    <r>
      <rPr>
        <sz val="11"/>
        <color rgb="FF000000"/>
        <rFont val="Calibri"/>
      </rPr>
      <t>Get-VM | Get-UsbDevice</t>
    </r>
    <r>
      <rPr>
        <sz val="11"/>
        <color rgb="FF000000"/>
        <rFont val="Calibri"/>
      </rPr>
      <t xml:space="preserve">
</t>
    </r>
    <r>
      <rPr>
        <sz val="11"/>
        <color rgb="FF000000"/>
        <rFont val="Calibri"/>
      </rPr>
      <t>If a virtual machine has any USB devices or USB controllers present, this is a finding.</t>
    </r>
  </si>
  <si>
    <t>V-64103</t>
  </si>
  <si>
    <r>
      <rPr>
        <sz val="11"/>
        <rFont val="Calibri"/>
      </rPr>
      <t>The system must limit sharing of console connections.</t>
    </r>
  </si>
  <si>
    <r>
      <rPr>
        <sz val="11"/>
        <color rgb="FF000000"/>
        <rFont val="Calibri"/>
      </rPr>
      <t>From the vSphere Client select the Virtual Machine right click and go to Edit Settings &gt;&gt; VM Options Tab &gt;&gt; Advanced &gt;&gt; Configuration Parameters.  Find the RemoteDisplay.maxConnections value and set it to 1.  If the setting does not exist click "Add Row" to add the setting to the virtual machine.</t>
    </r>
    <r>
      <rPr>
        <sz val="11"/>
        <color rgb="FF000000"/>
        <rFont val="Calibri"/>
      </rPr>
      <t xml:space="preserve">
</t>
    </r>
    <r>
      <rPr>
        <sz val="11"/>
        <color rgb="FF000000"/>
        <rFont val="Calibri"/>
      </rPr>
      <t>Note:  The VM must be powered off to configure the advanced settings through the vSphere Client so it is recommended to configure these settings with PowerCLI as it can be done while the VM is powered on.</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If the setting does not exist run:</t>
    </r>
    <r>
      <rPr>
        <sz val="11"/>
        <color rgb="FF000000"/>
        <rFont val="Calibri"/>
      </rPr>
      <t xml:space="preserve">
</t>
    </r>
    <r>
      <rPr>
        <sz val="11"/>
        <color rgb="FF000000"/>
        <rFont val="Calibri"/>
      </rPr>
      <t>Get-VM "VM Name" | New-AdvancedSetting -Name RemoteDisplay.maxConnections -Value 1</t>
    </r>
    <r>
      <rPr>
        <sz val="11"/>
        <color rgb="FF000000"/>
        <rFont val="Calibri"/>
      </rPr>
      <t xml:space="preserve">
</t>
    </r>
    <r>
      <rPr>
        <sz val="11"/>
        <color rgb="FF000000"/>
        <rFont val="Calibri"/>
      </rPr>
      <t>If the setting exists run:</t>
    </r>
    <r>
      <rPr>
        <sz val="11"/>
        <color rgb="FF000000"/>
        <rFont val="Calibri"/>
      </rPr>
      <t xml:space="preserve">
</t>
    </r>
    <r>
      <rPr>
        <sz val="11"/>
        <color rgb="FF000000"/>
        <rFont val="Calibri"/>
      </rPr>
      <t>Get-VM "VM Name" | Get-AdvancedSetting -Name RemoteDisplay.maxConnections | Set-AdvancedSetting -Value 1</t>
    </r>
  </si>
  <si>
    <r>
      <rPr>
        <sz val="11"/>
        <color rgb="FF000000"/>
        <rFont val="Calibri"/>
      </rPr>
      <t>By default, remote console sessions can be connected to by more than one user at a time.  When multiple sessions are activated, each terminal window gets a notification about the new session. If an administrator in the VM logs in using a VMware remote console during their session, a non-administrator in the VM might connect to the console and observe the administrator's actions.  Also, this could result in an administrator losing console access to a virtual machine. For example, if a jump box is being used for an open console session and the admin loses connection to that box, then the console session remains open. Allowing two console sessions permits debugging via a shared session.  For highest security, only one remote console session at a time should be allowed.</t>
    </r>
  </si>
  <si>
    <r>
      <rPr>
        <sz val="11"/>
        <color rgb="FF000000"/>
        <rFont val="Calibri"/>
      </rPr>
      <t>From the vSphere Client select the Virtual Machine right click and go to Edit Settings &gt;&gt; VM Options Tab &gt;&gt; Advanced &gt;&gt; Configuration Parameters.  Find the RemoteDisplay.maxConnections value and verify it is set to 1.</t>
    </r>
    <r>
      <rPr>
        <sz val="11"/>
        <color rgb="FF000000"/>
        <rFont val="Calibri"/>
      </rPr>
      <t xml:space="preserve">
</t>
    </r>
    <r>
      <rPr>
        <sz val="11"/>
        <color rgb="FF000000"/>
        <rFont val="Calibri"/>
      </rPr>
      <t>Note:  The VM must be powered off to view the advanced settings through the vSphere Client so it is recommended to view these settings with PowerCLI as it can be done while the VM is powered on.</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RemoteDisplay.maxConnections</t>
    </r>
    <r>
      <rPr>
        <sz val="11"/>
        <color rgb="FF000000"/>
        <rFont val="Calibri"/>
      </rPr>
      <t xml:space="preserve">
</t>
    </r>
    <r>
      <rPr>
        <sz val="11"/>
        <color rgb="FF000000"/>
        <rFont val="Calibri"/>
      </rPr>
      <t>If the virtual machine advanced setting RemoteDisplay.maxConnections does not exist or is not set to 1, this is a finding.</t>
    </r>
  </si>
  <si>
    <t>V-64105</t>
  </si>
  <si>
    <r>
      <rPr>
        <sz val="11"/>
        <rFont val="Calibri"/>
      </rPr>
      <t>The system must disable console access through the VNC protocol.</t>
    </r>
  </si>
  <si>
    <r>
      <rPr>
        <sz val="11"/>
        <color rgb="FF000000"/>
        <rFont val="Calibri"/>
      </rPr>
      <t>From the vSphere Client select the Virtual Machine right click and go to Edit Settings &gt;&gt; VM Options Tab &gt;&gt; Advanced &gt;&gt; Configuration Parameters.  Find the RemoteDisplay.vnc.enabled value and set it to false.  If the setting does not exist click "Add Row" to add the setting to the virtual machine.</t>
    </r>
    <r>
      <rPr>
        <sz val="11"/>
        <color rgb="FF000000"/>
        <rFont val="Calibri"/>
      </rPr>
      <t xml:space="preserve">
</t>
    </r>
    <r>
      <rPr>
        <sz val="11"/>
        <color rgb="FF000000"/>
        <rFont val="Calibri"/>
      </rPr>
      <t>Note:  The VM must be powered off to configure the advanced settings through the vSphere Client so it is recommended to configure these settings with PowerCLI as it can be done while the VM is powered on.</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If the setting does not exist run:</t>
    </r>
    <r>
      <rPr>
        <sz val="11"/>
        <color rgb="FF000000"/>
        <rFont val="Calibri"/>
      </rPr>
      <t xml:space="preserve">
</t>
    </r>
    <r>
      <rPr>
        <sz val="11"/>
        <color rgb="FF000000"/>
        <rFont val="Calibri"/>
      </rPr>
      <t>Get-VM "VM Name" | New-AdvancedSetting -Name RemoteDisplay.vnc.enabled -Value false</t>
    </r>
    <r>
      <rPr>
        <sz val="11"/>
        <color rgb="FF000000"/>
        <rFont val="Calibri"/>
      </rPr>
      <t xml:space="preserve">
</t>
    </r>
    <r>
      <rPr>
        <sz val="11"/>
        <color rgb="FF000000"/>
        <rFont val="Calibri"/>
      </rPr>
      <t>If the setting exists run:</t>
    </r>
    <r>
      <rPr>
        <sz val="11"/>
        <color rgb="FF000000"/>
        <rFont val="Calibri"/>
      </rPr>
      <t xml:space="preserve">
</t>
    </r>
    <r>
      <rPr>
        <sz val="11"/>
        <color rgb="FF000000"/>
        <rFont val="Calibri"/>
      </rPr>
      <t>Get-VM "VM Name" | Get-AdvancedSetting -Name RemoteDisplay.vnc.enabled | Set-AdvancedSetting -Value false</t>
    </r>
  </si>
  <si>
    <r>
      <rPr>
        <sz val="11"/>
        <color rgb="FF000000"/>
        <rFont val="Calibri"/>
      </rPr>
      <t>The VM console enables you to connect to the console of a virtual machine, in effect seeing what a monitor on a physical server would show. This console is also available via the Virtual Network Computing (VNC) protocol and should be disabled.</t>
    </r>
  </si>
  <si>
    <r>
      <rPr>
        <sz val="11"/>
        <color rgb="FF000000"/>
        <rFont val="Calibri"/>
      </rPr>
      <t>From the vSphere Client select the Virtual Machine right click and go to Edit Settings &gt;&gt; VM Options Tab &gt;&gt; Advanced &gt;&gt; Configuration Parameters.  Find the RemoteDisplay.vnc.enabled value and verify it is set to false.</t>
    </r>
    <r>
      <rPr>
        <sz val="11"/>
        <color rgb="FF000000"/>
        <rFont val="Calibri"/>
      </rPr>
      <t xml:space="preserve">
</t>
    </r>
    <r>
      <rPr>
        <sz val="11"/>
        <color rgb="FF000000"/>
        <rFont val="Calibri"/>
      </rPr>
      <t>Note:  The VM must be powered off to view the advanced settings through the vSphere Client so it is recommended to view these settings with PowerCLI as it can be done while the VM is powered on.</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RemoteDisplay.vnc.enabled</t>
    </r>
    <r>
      <rPr>
        <sz val="11"/>
        <color rgb="FF000000"/>
        <rFont val="Calibri"/>
      </rPr>
      <t xml:space="preserve">
</t>
    </r>
    <r>
      <rPr>
        <sz val="11"/>
        <color rgb="FF000000"/>
        <rFont val="Calibri"/>
      </rPr>
      <t>If the virtual machine advanced setting RemoteDisplay.vnc.enabled does not exist or is not set to false, this is a finding.</t>
    </r>
  </si>
  <si>
    <t>V-64107</t>
  </si>
  <si>
    <r>
      <rPr>
        <sz val="11"/>
        <rFont val="Calibri"/>
      </rPr>
      <t>The system must disable tools auto install.</t>
    </r>
  </si>
  <si>
    <r>
      <rPr>
        <sz val="11"/>
        <color rgb="FF000000"/>
        <rFont val="Calibri"/>
      </rPr>
      <t>From the vSphere Client select the Virtual Machine right click and go to Edit Settings &gt;&gt; VM Options Tab &gt;&gt; Advanced &gt;&gt; Configuration Parameters.  Find the isolation.tools.autoInstall.disable value and set it to true.  If the setting does not exist click "Add Row" to add the setting to the virtual machine.</t>
    </r>
    <r>
      <rPr>
        <sz val="11"/>
        <color rgb="FF000000"/>
        <rFont val="Calibri"/>
      </rPr>
      <t xml:space="preserve">
</t>
    </r>
    <r>
      <rPr>
        <sz val="11"/>
        <color rgb="FF000000"/>
        <rFont val="Calibri"/>
      </rPr>
      <t>Note:  The VM must be powered off to configure the advanced settings through the vSphere Client so it is recommended to configure these settings with PowerCLI as it can be done while the VM is powered on.</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If the setting does not exist run:</t>
    </r>
    <r>
      <rPr>
        <sz val="11"/>
        <color rgb="FF000000"/>
        <rFont val="Calibri"/>
      </rPr>
      <t xml:space="preserve">
</t>
    </r>
    <r>
      <rPr>
        <sz val="11"/>
        <color rgb="FF000000"/>
        <rFont val="Calibri"/>
      </rPr>
      <t>Get-VM "VM Name" | New-AdvancedSetting -Name isolation.tools.autoInstall.disable -Value true</t>
    </r>
    <r>
      <rPr>
        <sz val="11"/>
        <color rgb="FF000000"/>
        <rFont val="Calibri"/>
      </rPr>
      <t xml:space="preserve">
</t>
    </r>
    <r>
      <rPr>
        <sz val="11"/>
        <color rgb="FF000000"/>
        <rFont val="Calibri"/>
      </rPr>
      <t>If the setting exists run:</t>
    </r>
    <r>
      <rPr>
        <sz val="11"/>
        <color rgb="FF000000"/>
        <rFont val="Calibri"/>
      </rPr>
      <t xml:space="preserve">
</t>
    </r>
    <r>
      <rPr>
        <sz val="11"/>
        <color rgb="FF000000"/>
        <rFont val="Calibri"/>
      </rPr>
      <t>Get-VM "VM Name" | Get-AdvancedSetting -Name isolation.tools.autoInstall.disable | Set-AdvancedSetting -Value true</t>
    </r>
  </si>
  <si>
    <r>
      <rPr>
        <sz val="11"/>
        <color rgb="FF000000"/>
        <rFont val="Calibri"/>
      </rPr>
      <t>Tools auto install can initiate an automatic reboot, disabling this option will prevent tools from being installed automatically and prevent automatic machine reboots.</t>
    </r>
  </si>
  <si>
    <r>
      <rPr>
        <sz val="11"/>
        <color rgb="FF000000"/>
        <rFont val="Calibri"/>
      </rPr>
      <t>From the vSphere Client select the Virtual Machine right click and go to Edit Settings &gt;&gt; VM Options Tab &gt;&gt; Advanced &gt;&gt; Configuration Parameters.  Find the isolation.tools.autoInstall.disable value and verify it is set to true.</t>
    </r>
    <r>
      <rPr>
        <sz val="11"/>
        <color rgb="FF000000"/>
        <rFont val="Calibri"/>
      </rPr>
      <t xml:space="preserve">
</t>
    </r>
    <r>
      <rPr>
        <sz val="11"/>
        <color rgb="FF000000"/>
        <rFont val="Calibri"/>
      </rPr>
      <t>Note:  The VM must be powered off to view the advanced settings through the vSphere Client so it is recommended to view these settings with PowerCLI as it can be done while the VM is powered on.</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isolation.tools.autoInstall.disable</t>
    </r>
    <r>
      <rPr>
        <sz val="11"/>
        <color rgb="FF000000"/>
        <rFont val="Calibri"/>
      </rPr>
      <t xml:space="preserve">
</t>
    </r>
    <r>
      <rPr>
        <sz val="11"/>
        <color rgb="FF000000"/>
        <rFont val="Calibri"/>
      </rPr>
      <t>If the virtual machine advanced setting isolation.tools.autoInstall.disable does not exist or is not set to true, this is a finding.</t>
    </r>
  </si>
  <si>
    <t>V-64109</t>
  </si>
  <si>
    <r>
      <rPr>
        <sz val="11"/>
        <rFont val="Calibri"/>
      </rPr>
      <t>The system must limit informational messages from the VM to the VMX file.</t>
    </r>
  </si>
  <si>
    <r>
      <rPr>
        <sz val="11"/>
        <color rgb="FF000000"/>
        <rFont val="Calibri"/>
      </rPr>
      <t>From the vSphere Client select the Virtual Machine right click and go to Edit Settings &gt;&gt; VM Options Tab &gt;&gt; Advanced &gt;&gt; Configuration Parameters.  Find the tools.setinfo.sizeLimit value and set it to 1048576.  If the setting does not exist click "Add Row" to add the setting to the virtual machine.</t>
    </r>
    <r>
      <rPr>
        <sz val="11"/>
        <color rgb="FF000000"/>
        <rFont val="Calibri"/>
      </rPr>
      <t xml:space="preserve">
</t>
    </r>
    <r>
      <rPr>
        <sz val="11"/>
        <color rgb="FF000000"/>
        <rFont val="Calibri"/>
      </rPr>
      <t>Note:  The VM must be powered off to configure the advanced settings through the vSphere Client so it is recommended to configure these settings with PowerCLI as it can be done while the VM is powered on.</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If the setting does not exist run:</t>
    </r>
    <r>
      <rPr>
        <sz val="11"/>
        <color rgb="FF000000"/>
        <rFont val="Calibri"/>
      </rPr>
      <t xml:space="preserve">
</t>
    </r>
    <r>
      <rPr>
        <sz val="11"/>
        <color rgb="FF000000"/>
        <rFont val="Calibri"/>
      </rPr>
      <t>Get-VM "VM Name" | New-AdvancedSetting -Name tools.setinfo.sizeLimit -Value 1048576</t>
    </r>
    <r>
      <rPr>
        <sz val="11"/>
        <color rgb="FF000000"/>
        <rFont val="Calibri"/>
      </rPr>
      <t xml:space="preserve">
</t>
    </r>
    <r>
      <rPr>
        <sz val="11"/>
        <color rgb="FF000000"/>
        <rFont val="Calibri"/>
      </rPr>
      <t>If the setting exists run:</t>
    </r>
    <r>
      <rPr>
        <sz val="11"/>
        <color rgb="FF000000"/>
        <rFont val="Calibri"/>
      </rPr>
      <t xml:space="preserve">
</t>
    </r>
    <r>
      <rPr>
        <sz val="11"/>
        <color rgb="FF000000"/>
        <rFont val="Calibri"/>
      </rPr>
      <t>Get-VM "VM Name" | Get-AdvancedSetting -Name tools.setinfo.sizeLimit | Set-AdvancedSetting -Value 1048576</t>
    </r>
  </si>
  <si>
    <r>
      <rPr>
        <sz val="11"/>
        <color rgb="FF000000"/>
        <rFont val="Calibri"/>
      </rPr>
      <t>The configuration file containing these name-value pairs is limited to a size of 1MB. If not limited, VMware tools in the guest OS are capable of sending a large and continuous data stream to the host. This 1MB capacity should be sufficient for most cases, but this value can change if necessary. The value can be increased if large amounts of custom information are being stored in the configuration file. The default limit is 1MB.</t>
    </r>
  </si>
  <si>
    <r>
      <rPr>
        <sz val="11"/>
        <color rgb="FF000000"/>
        <rFont val="Calibri"/>
      </rPr>
      <t>From the vSphere Client select the Virtual Machine right click and go to Edit Settings &gt;&gt; VM Options Tab &gt;&gt; Advanced &gt;&gt; Configuration Parameters.  Find the tools.setinfo.sizeLimit value and verify it is set to 1048576.</t>
    </r>
    <r>
      <rPr>
        <sz val="11"/>
        <color rgb="FF000000"/>
        <rFont val="Calibri"/>
      </rPr>
      <t xml:space="preserve">
</t>
    </r>
    <r>
      <rPr>
        <sz val="11"/>
        <color rgb="FF000000"/>
        <rFont val="Calibri"/>
      </rPr>
      <t>Note:  The VM must be powered off to view the advanced settings through the vSphere Client so it is recommended to view these settings with PowerCLI as it can be done while the VM is powered on.</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tools.setinfo.sizeLimit</t>
    </r>
    <r>
      <rPr>
        <sz val="11"/>
        <color rgb="FF000000"/>
        <rFont val="Calibri"/>
      </rPr>
      <t xml:space="preserve">
</t>
    </r>
    <r>
      <rPr>
        <sz val="11"/>
        <color rgb="FF000000"/>
        <rFont val="Calibri"/>
      </rPr>
      <t>If the virtual machine advanced setting tools.setinfo.sizeLimit does not exist or is not set to 1048576, this is a finding.</t>
    </r>
  </si>
  <si>
    <t>V-64111</t>
  </si>
  <si>
    <r>
      <rPr>
        <sz val="11"/>
        <rFont val="Calibri"/>
      </rPr>
      <t>The system must prevent unauthorized removal, connection and modification of devices.</t>
    </r>
  </si>
  <si>
    <r>
      <rPr>
        <sz val="11"/>
        <color rgb="FF000000"/>
        <rFont val="Calibri"/>
      </rPr>
      <t>From the vSphere Client select the Virtual Machine right click and go to Edit Settings &gt;&gt; VM Options Tab &gt;&gt; Advanced &gt;&gt; Configuration Parameters.  Find the isolation.device.connectable.disable value and set it to true.  If the setting does not exist click "Add Row" to add the setting to the virtual machine.</t>
    </r>
    <r>
      <rPr>
        <sz val="11"/>
        <color rgb="FF000000"/>
        <rFont val="Calibri"/>
      </rPr>
      <t xml:space="preserve">
</t>
    </r>
    <r>
      <rPr>
        <sz val="11"/>
        <color rgb="FF000000"/>
        <rFont val="Calibri"/>
      </rPr>
      <t>Note:  The VM must be powered off to configure the advanced settings through the vSphere Client so it is recommended to configure these settings with PowerCLI as it can be done while the VM is powered on.</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If the setting does not exist run:</t>
    </r>
    <r>
      <rPr>
        <sz val="11"/>
        <color rgb="FF000000"/>
        <rFont val="Calibri"/>
      </rPr>
      <t xml:space="preserve">
</t>
    </r>
    <r>
      <rPr>
        <sz val="11"/>
        <color rgb="FF000000"/>
        <rFont val="Calibri"/>
      </rPr>
      <t>Get-VM "VM Name" | New-AdvancedSetting -Name isolation.device.connectable.disable -Value true</t>
    </r>
    <r>
      <rPr>
        <sz val="11"/>
        <color rgb="FF000000"/>
        <rFont val="Calibri"/>
      </rPr>
      <t xml:space="preserve">
</t>
    </r>
    <r>
      <rPr>
        <sz val="11"/>
        <color rgb="FF000000"/>
        <rFont val="Calibri"/>
      </rPr>
      <t>If the setting exists run:</t>
    </r>
    <r>
      <rPr>
        <sz val="11"/>
        <color rgb="FF000000"/>
        <rFont val="Calibri"/>
      </rPr>
      <t xml:space="preserve">
</t>
    </r>
    <r>
      <rPr>
        <sz val="11"/>
        <color rgb="FF000000"/>
        <rFont val="Calibri"/>
      </rPr>
      <t>Get-VM "VM Name" | Get-AdvancedSetting -Name isolation.device.connectable.disable | Set-AdvancedSetting -Value true</t>
    </r>
  </si>
  <si>
    <r>
      <rPr>
        <sz val="11"/>
        <color rgb="FF000000"/>
        <rFont val="Calibri"/>
      </rPr>
      <t xml:space="preserve">In a virtual machine, users and processes without root or administrator privileges can connect or disconnect devices, such as network adaptors and CD-ROM drives, and can modify device settings. Use the virtual machine settings editor or configuration editor to remove unneeded or unused hardware devices. If you want to use the device again, you can prevent a user or running process in the virtual machine from connecting, disconnecting, or modifying a device from within the guest operating system. By default, a rogue user with nonadministrator privileges in a virtual machine can: </t>
    </r>
    <r>
      <rPr>
        <sz val="11"/>
        <color rgb="FF000000"/>
        <rFont val="Calibri"/>
      </rPr>
      <t xml:space="preserve">
</t>
    </r>
    <r>
      <rPr>
        <sz val="11"/>
        <color rgb="FF000000"/>
        <rFont val="Calibri"/>
      </rPr>
      <t>1. Connect a disconnected CD-ROM drive and access sensitive information on the media left in the drive</t>
    </r>
    <r>
      <rPr>
        <sz val="11"/>
        <color rgb="FF000000"/>
        <rFont val="Calibri"/>
      </rPr>
      <t xml:space="preserve">
</t>
    </r>
    <r>
      <rPr>
        <sz val="11"/>
        <color rgb="FF000000"/>
        <rFont val="Calibri"/>
      </rPr>
      <t>2. Disconnect a network adaptor to isolate the virtual machine from its network, which is a denial of service</t>
    </r>
    <r>
      <rPr>
        <sz val="11"/>
        <color rgb="FF000000"/>
        <rFont val="Calibri"/>
      </rPr>
      <t xml:space="preserve">
</t>
    </r>
    <r>
      <rPr>
        <sz val="11"/>
        <color rgb="FF000000"/>
        <rFont val="Calibri"/>
      </rPr>
      <t>3. Modify settings on a device</t>
    </r>
  </si>
  <si>
    <r>
      <rPr>
        <sz val="11"/>
        <color rgb="FF000000"/>
        <rFont val="Calibri"/>
      </rPr>
      <t>From the vSphere Client select the Virtual Machine right click and go to Edit Settings &gt;&gt; VM Options Tab &gt;&gt; Advanced &gt;&gt; Configuration Parameters.  Find the isolation.device.connectable.disable value and verify it is set to true.</t>
    </r>
    <r>
      <rPr>
        <sz val="11"/>
        <color rgb="FF000000"/>
        <rFont val="Calibri"/>
      </rPr>
      <t xml:space="preserve">
</t>
    </r>
    <r>
      <rPr>
        <sz val="11"/>
        <color rgb="FF000000"/>
        <rFont val="Calibri"/>
      </rPr>
      <t>Note:  The VM must be powered off to view the advanced settings through the vSphere Client so it is recommended to view these settings with PowerCLI as it can be done while the VM is powered on.</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isolation.device.connectable.disable</t>
    </r>
    <r>
      <rPr>
        <sz val="11"/>
        <color rgb="FF000000"/>
        <rFont val="Calibri"/>
      </rPr>
      <t xml:space="preserve">
</t>
    </r>
    <r>
      <rPr>
        <sz val="11"/>
        <color rgb="FF000000"/>
        <rFont val="Calibri"/>
      </rPr>
      <t>If the virtual machine advanced setting isolation.device.connectable.disable does not exist or is not set to true, this is a finding.</t>
    </r>
  </si>
  <si>
    <t>V-64113</t>
  </si>
  <si>
    <r>
      <rPr>
        <sz val="11"/>
        <color rgb="FF000000"/>
        <rFont val="Calibri"/>
      </rPr>
      <t>From the vSphere Client select the Virtual Machine right click and go to Edit Settings &gt;&gt; VM Options Tab &gt;&gt; Advanced &gt;&gt; Configuration Parameters.  Find the isolation.device.edit.disable value and set it to true.  If the setting does not exist click "Add Row" to add the setting to the virtual machine.</t>
    </r>
    <r>
      <rPr>
        <sz val="11"/>
        <color rgb="FF000000"/>
        <rFont val="Calibri"/>
      </rPr>
      <t xml:space="preserve">
</t>
    </r>
    <r>
      <rPr>
        <sz val="11"/>
        <color rgb="FF000000"/>
        <rFont val="Calibri"/>
      </rPr>
      <t>Note:  The VM must be powered off to configure the advanced settings through the vSphere Client so it is recommended to configure these settings with PowerCLI as it can be done while the VM is powered on.</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If the setting does not exist run:</t>
    </r>
    <r>
      <rPr>
        <sz val="11"/>
        <color rgb="FF000000"/>
        <rFont val="Calibri"/>
      </rPr>
      <t xml:space="preserve">
</t>
    </r>
    <r>
      <rPr>
        <sz val="11"/>
        <color rgb="FF000000"/>
        <rFont val="Calibri"/>
      </rPr>
      <t>Get-VM "VM Name" | New-AdvancedSetting -Name isolation.device.edit.disable -Value true</t>
    </r>
    <r>
      <rPr>
        <sz val="11"/>
        <color rgb="FF000000"/>
        <rFont val="Calibri"/>
      </rPr>
      <t xml:space="preserve">
</t>
    </r>
    <r>
      <rPr>
        <sz val="11"/>
        <color rgb="FF000000"/>
        <rFont val="Calibri"/>
      </rPr>
      <t>If the setting exists run:</t>
    </r>
    <r>
      <rPr>
        <sz val="11"/>
        <color rgb="FF000000"/>
        <rFont val="Calibri"/>
      </rPr>
      <t xml:space="preserve">
</t>
    </r>
    <r>
      <rPr>
        <sz val="11"/>
        <color rgb="FF000000"/>
        <rFont val="Calibri"/>
      </rPr>
      <t>Get-VM "VM Name" | Get-AdvancedSetting -Name isolation.device.edit.disable | Set-AdvancedSetting -Value true</t>
    </r>
  </si>
  <si>
    <r>
      <rPr>
        <sz val="11"/>
        <color rgb="FF000000"/>
        <rFont val="Calibri"/>
      </rPr>
      <t>From the vSphere Client select the Virtual Machine right click and go to Edit Settings &gt;&gt; VM Options Tab &gt;&gt; Advanced &gt;&gt; Configuration Parameters.  Find the isolation.device.edit.disable value and verify it is set to true.</t>
    </r>
    <r>
      <rPr>
        <sz val="11"/>
        <color rgb="FF000000"/>
        <rFont val="Calibri"/>
      </rPr>
      <t xml:space="preserve">
</t>
    </r>
    <r>
      <rPr>
        <sz val="11"/>
        <color rgb="FF000000"/>
        <rFont val="Calibri"/>
      </rPr>
      <t>Note:  The VM must be powered off to view the advanced settings through the vSphere Client so it is recommended to view these settings with PowerCLI as it can be done while the VM is powered on.</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isolation.device.edit.disable</t>
    </r>
    <r>
      <rPr>
        <sz val="11"/>
        <color rgb="FF000000"/>
        <rFont val="Calibri"/>
      </rPr>
      <t xml:space="preserve">
</t>
    </r>
    <r>
      <rPr>
        <sz val="11"/>
        <color rgb="FF000000"/>
        <rFont val="Calibri"/>
      </rPr>
      <t>If the virtual machine advanced setting isolation.device.edit.disable does not exist or is not set to true, this is a finding.</t>
    </r>
  </si>
  <si>
    <t>V-64115</t>
  </si>
  <si>
    <r>
      <rPr>
        <sz val="11"/>
        <rFont val="Calibri"/>
      </rPr>
      <t>The system must not send host information to guests.</t>
    </r>
  </si>
  <si>
    <r>
      <rPr>
        <sz val="11"/>
        <color rgb="FF000000"/>
        <rFont val="Calibri"/>
      </rPr>
      <t>From the vSphere Client select the Virtual Machine right click and go to Edit Settings &gt;&gt; VM Options Tab &gt;&gt; Advanced &gt;&gt; Configuration Parameters.  Find the tools.guestlib.enableHostInfo value and set it to false.  If the setting does not exist click "Add Row" to add the setting to the virtual machine.</t>
    </r>
    <r>
      <rPr>
        <sz val="11"/>
        <color rgb="FF000000"/>
        <rFont val="Calibri"/>
      </rPr>
      <t xml:space="preserve">
</t>
    </r>
    <r>
      <rPr>
        <sz val="11"/>
        <color rgb="FF000000"/>
        <rFont val="Calibri"/>
      </rPr>
      <t>Note:  The VM must be powered off to configure the advanced settings through the vSphere Client so it is recommended to configure these settings with PowerCLI as it can be done while the VM is powered on.</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If the setting does not exist run:</t>
    </r>
    <r>
      <rPr>
        <sz val="11"/>
        <color rgb="FF000000"/>
        <rFont val="Calibri"/>
      </rPr>
      <t xml:space="preserve">
</t>
    </r>
    <r>
      <rPr>
        <sz val="11"/>
        <color rgb="FF000000"/>
        <rFont val="Calibri"/>
      </rPr>
      <t>Get-VM "VM Name" | New-AdvancedSetting -Name tools.guestlib.enableHostInfo -Value false</t>
    </r>
    <r>
      <rPr>
        <sz val="11"/>
        <color rgb="FF000000"/>
        <rFont val="Calibri"/>
      </rPr>
      <t xml:space="preserve">
</t>
    </r>
    <r>
      <rPr>
        <sz val="11"/>
        <color rgb="FF000000"/>
        <rFont val="Calibri"/>
      </rPr>
      <t>If the setting exists run:</t>
    </r>
    <r>
      <rPr>
        <sz val="11"/>
        <color rgb="FF000000"/>
        <rFont val="Calibri"/>
      </rPr>
      <t xml:space="preserve">
</t>
    </r>
    <r>
      <rPr>
        <sz val="11"/>
        <color rgb="FF000000"/>
        <rFont val="Calibri"/>
      </rPr>
      <t>Get-VM "VM Name" | Get-AdvancedSetting -Name tools.guestlib.enableHostInfo | Set-AdvancedSetting -Value false</t>
    </r>
  </si>
  <si>
    <r>
      <rPr>
        <sz val="11"/>
        <color rgb="FF000000"/>
        <rFont val="Calibri"/>
      </rPr>
      <t>If enabled, a VM can obtain detailed information about the physical host. The default value for the parameter is FALSE. This setting should not be TRUE unless a particular VM requires this information for performance monitoring. An adversary potentially can use this information to inform further attacks on the host.</t>
    </r>
  </si>
  <si>
    <r>
      <rPr>
        <sz val="11"/>
        <color rgb="FF000000"/>
        <rFont val="Calibri"/>
      </rPr>
      <t>From the vSphere Client select the Virtual Machine right click and go to Edit Settings &gt;&gt; VM Options Tab &gt;&gt; Advanced &gt;&gt; Configuration Parameters.  Find the tools.guestlib.enableHostInfo value and verify it is set to false.</t>
    </r>
    <r>
      <rPr>
        <sz val="11"/>
        <color rgb="FF000000"/>
        <rFont val="Calibri"/>
      </rPr>
      <t xml:space="preserve">
</t>
    </r>
    <r>
      <rPr>
        <sz val="11"/>
        <color rgb="FF000000"/>
        <rFont val="Calibri"/>
      </rPr>
      <t>Note:  The VM must be powered off to view the advanced settings through the vSphere Client so it is recommended to view these settings with PowerCLI as it can be done while the VM is powered on.</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tools.guestlib.enableHostInfo</t>
    </r>
    <r>
      <rPr>
        <sz val="11"/>
        <color rgb="FF000000"/>
        <rFont val="Calibri"/>
      </rPr>
      <t xml:space="preserve">
</t>
    </r>
    <r>
      <rPr>
        <sz val="11"/>
        <color rgb="FF000000"/>
        <rFont val="Calibri"/>
      </rPr>
      <t>If the virtual machine advanced setting tools.guestlib.enableHostInfo does not exist or is not set to false, this is a finding.</t>
    </r>
  </si>
  <si>
    <t>V-64117</t>
  </si>
  <si>
    <r>
      <rPr>
        <sz val="11"/>
        <rFont val="Calibri"/>
      </rPr>
      <t>The system must disable shared salt values.</t>
    </r>
  </si>
  <si>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sched.mem.pshare.salt | Remove-AdvancedSetting</t>
    </r>
  </si>
  <si>
    <r>
      <rPr>
        <sz val="11"/>
        <color rgb="FF000000"/>
        <rFont val="Calibri"/>
      </rPr>
      <t>When salting is enabled (Mem.ShareForceSalting=1 or 2) in order to share a page between two virtual machines both salt and the content of the page must be same. A salt value is a configurable VMX option for each virtual machine. You can manually specify the salt values in the virtual machine's VMX file with the new VMX option sched.mem.pshare.salt. If this option is not present in the virtual machine's VMX file, then the value of vc.uuid VMX option is taken as the default value. Since the vc.uuid is unique to each virtual machine, by default TPS happens only among the pages belonging to a particular virtual machine (Intra-VM).</t>
    </r>
  </si>
  <si>
    <r>
      <rPr>
        <sz val="11"/>
        <color rgb="FF000000"/>
        <rFont val="Calibri"/>
      </rPr>
      <t>From the vSphere Client select the Virtual Machine right click and go to Edit Settings &gt;&gt; VM Options Tab &gt;&gt; Advanced &gt;&gt; Configuration Parameters.  Verify the sched.mem.pshare.salt setting does not exist.</t>
    </r>
    <r>
      <rPr>
        <sz val="11"/>
        <color rgb="FF000000"/>
        <rFont val="Calibri"/>
      </rPr>
      <t xml:space="preserve">
</t>
    </r>
    <r>
      <rPr>
        <sz val="11"/>
        <color rgb="FF000000"/>
        <rFont val="Calibri"/>
      </rPr>
      <t>Note:  The VM must be powered off to view the advanced settings through the vSphere Client so it is recommended to view these settings with PowerCLI as it can be done while the VM is powered on.</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sched.mem.pshare.salt</t>
    </r>
    <r>
      <rPr>
        <sz val="11"/>
        <color rgb="FF000000"/>
        <rFont val="Calibri"/>
      </rPr>
      <t xml:space="preserve">
</t>
    </r>
    <r>
      <rPr>
        <sz val="11"/>
        <color rgb="FF000000"/>
        <rFont val="Calibri"/>
      </rPr>
      <t>If the virtual machine advanced setting sched.mem.pshare.salt exists, this is a finding.</t>
    </r>
  </si>
  <si>
    <t>V-64119</t>
  </si>
  <si>
    <r>
      <rPr>
        <sz val="11"/>
        <rFont val="Calibri"/>
      </rPr>
      <t>The system must control access to VMs through the dvfilter network APIs.</t>
    </r>
  </si>
  <si>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ethernetX.filterY.name | Remove-AdvancedSetting</t>
    </r>
    <r>
      <rPr>
        <sz val="11"/>
        <color rgb="FF000000"/>
        <rFont val="Calibri"/>
      </rPr>
      <t xml:space="preserve">
</t>
    </r>
    <r>
      <rPr>
        <sz val="11"/>
        <color rgb="FF000000"/>
        <rFont val="Calibri"/>
      </rPr>
      <t>Note:  Change the X and Y values to match the specific setting in your environment.</t>
    </r>
  </si>
  <si>
    <r>
      <rPr>
        <sz val="11"/>
        <color rgb="FF000000"/>
        <rFont val="Calibri"/>
      </rPr>
      <t>An attacker might compromise a VM by making use the dvFilter API. Configure only those VMs that need this access to use the API.</t>
    </r>
  </si>
  <si>
    <r>
      <rPr>
        <sz val="11"/>
        <color rgb="FF000000"/>
        <rFont val="Calibri"/>
      </rPr>
      <t xml:space="preserve">From the vSphere Client select the Virtual Machine right click and go to Edit Settings &gt;&gt; VM Options Tab &gt;&gt; Advanced &gt;&gt; Configuration Parameters.  Look for settings with the format ethernet*.filter*.name. </t>
    </r>
    <r>
      <rPr>
        <sz val="11"/>
        <color rgb="FF000000"/>
        <rFont val="Calibri"/>
      </rPr>
      <t xml:space="preserve">
</t>
    </r>
    <r>
      <rPr>
        <sz val="11"/>
        <color rgb="FF000000"/>
        <rFont val="Calibri"/>
      </rPr>
      <t>Note:  The VM must be powered off to view the advanced settings through the vSphere Client so it is recommended to view these settings with PowerCLI as it can be done while the VM is powered on.</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"ethernet*.filter*.name*"</t>
    </r>
    <r>
      <rPr>
        <sz val="11"/>
        <color rgb="FF000000"/>
        <rFont val="Calibri"/>
      </rPr>
      <t xml:space="preserve">
</t>
    </r>
    <r>
      <rPr>
        <sz val="11"/>
        <color rgb="FF000000"/>
        <rFont val="Calibri"/>
      </rPr>
      <t>If the virtual machine advanced setting ethernet*.filter*.name exists and dvfilters are not in use, this is a finding.</t>
    </r>
    <r>
      <rPr>
        <sz val="11"/>
        <color rgb="FF000000"/>
        <rFont val="Calibri"/>
      </rPr>
      <t xml:space="preserve">
</t>
    </r>
    <r>
      <rPr>
        <sz val="11"/>
        <color rgb="FF000000"/>
        <rFont val="Calibri"/>
      </rPr>
      <t>If the virtual machine advanced setting ethernet*.filter*.name exists and the value is not valid, this is a finding.</t>
    </r>
  </si>
  <si>
    <t>V-64121</t>
  </si>
  <si>
    <r>
      <rPr>
        <sz val="11"/>
        <rFont val="Calibri"/>
      </rPr>
      <t>The system must use templates to deploy VMs whenever possible.</t>
    </r>
  </si>
  <si>
    <r>
      <rPr>
        <sz val="11"/>
        <color rgb="FF000000"/>
        <rFont val="Calibri"/>
      </rPr>
      <t>Create hardened virtual machine templates to use for OS deployments.</t>
    </r>
  </si>
  <si>
    <r>
      <rPr>
        <sz val="11"/>
        <color rgb="FF000000"/>
        <rFont val="Calibri"/>
      </rPr>
      <t>By capturing a hardened base operating system image (with no applications installed) in a template, ensure all virtual machines are created with a known baseline level of security. Then use this template to create other, application-specific templates, or use the application template to deploy virtual machines. Manual installation of the OS and applications into a VM introduces the risk of misconfiguration due to human or process error.</t>
    </r>
  </si>
  <si>
    <r>
      <rPr>
        <sz val="11"/>
        <color rgb="FF000000"/>
        <rFont val="Calibri"/>
      </rPr>
      <t>Ask the SA if hardened, patched templates are used for VM creation, properly configured OS deployments, including applications both dependent and non-dependent on VM-specific configurations.</t>
    </r>
    <r>
      <rPr>
        <sz val="11"/>
        <color rgb="FF000000"/>
        <rFont val="Calibri"/>
      </rPr>
      <t xml:space="preserve">
</t>
    </r>
    <r>
      <rPr>
        <sz val="11"/>
        <color rgb="FF000000"/>
        <rFont val="Calibri"/>
      </rPr>
      <t>If hardened, patched templates are not used for VM creation, this is a finding.</t>
    </r>
  </si>
  <si>
    <t>V-64123</t>
  </si>
  <si>
    <r>
      <rPr>
        <sz val="11"/>
        <rFont val="Calibri"/>
      </rPr>
      <t>The system must minimize use of the VM console.</t>
    </r>
  </si>
  <si>
    <r>
      <rPr>
        <sz val="11"/>
        <color rgb="FF000000"/>
        <rFont val="Calibri"/>
      </rPr>
      <t>Develop a policy prohibiting the use of a VM console for performing management services. This policy should include procedures for the use of SSH and Terminal Management services for VM management. Where SSH and Terminal Management services prove insufficient to troubleshoot a VM, access to the VM console may be temporarily granted.</t>
    </r>
  </si>
  <si>
    <r>
      <rPr>
        <sz val="11"/>
        <color rgb="FF000000"/>
        <rFont val="Calibri"/>
      </rPr>
      <t>The VM console enables a connection to the console of a virtual machine, in effect seeing what a monitor on a physical server would show. The VM console also provides power management and removable device connectivity controls, which might potentially allow a malicious user to bring down a virtual machine. In addition, it also has a performance impact on the service console, especially if many VM console sessions are open simultaneously.</t>
    </r>
  </si>
  <si>
    <r>
      <rPr>
        <sz val="11"/>
        <color rgb="FF000000"/>
        <rFont val="Calibri"/>
      </rPr>
      <t>Remote management services, such as terminal services and SSH, must be used to interact with virtual machines. VM console access should only be granted when remote management services are unavailable or insufficient to perform necessary management tasks.</t>
    </r>
    <r>
      <rPr>
        <sz val="11"/>
        <color rgb="FF000000"/>
        <rFont val="Calibri"/>
      </rPr>
      <t xml:space="preserve">
</t>
    </r>
    <r>
      <rPr>
        <sz val="11"/>
        <color rgb="FF000000"/>
        <rFont val="Calibri"/>
      </rPr>
      <t>Ask the SA if a VM console is used to perform VM management tasks, other than for troubleshooting VM issues.</t>
    </r>
    <r>
      <rPr>
        <sz val="11"/>
        <color rgb="FF000000"/>
        <rFont val="Calibri"/>
      </rPr>
      <t xml:space="preserve">
</t>
    </r>
    <r>
      <rPr>
        <sz val="11"/>
        <color rgb="FF000000"/>
        <rFont val="Calibri"/>
      </rPr>
      <t>If a VM console is used to perform VM management tasks, other than for troubleshooting VM issues, this is a finding.</t>
    </r>
    <r>
      <rPr>
        <sz val="11"/>
        <color rgb="FF000000"/>
        <rFont val="Calibri"/>
      </rPr>
      <t xml:space="preserve">
</t>
    </r>
    <r>
      <rPr>
        <sz val="11"/>
        <color rgb="FF000000"/>
        <rFont val="Calibri"/>
      </rPr>
      <t>If SSH and/or terminal management services are exclusively used to perform management tasks, this is not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</si>
  <si>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</si>
  <si>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</si>
  <si>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</si>
  <si>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</si>
  <si>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</si>
  <si>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</si>
  <si>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</si>
  <si>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</si>
  <si>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</si>
  <si>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</si>
  <si>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</si>
  <si>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</si>
  <si>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</si>
  <si>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</si>
  <si>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</si>
  <si>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</si>
  <si>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</si>
  <si>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</si>
  <si>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</si>
  <si>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</si>
  <si>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</si>
  <si>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</si>
  <si>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</si>
  <si>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</si>
  <si>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</si>
  <si>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</si>
  <si>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</si>
  <si>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</si>
  <si>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</si>
  <si>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VMware vSphere Virtual Machine Version 6 Security Technical Implementation Guide V1R1</t>
  </si>
  <si>
    <t>Developed By:</t>
  </si>
  <si>
    <t>VMware and Defense Information Systems Agency (DISA) for the US DoD</t>
  </si>
  <si>
    <t>Release Information:</t>
  </si>
  <si>
    <r>
      <rPr>
        <b/>
        <sz val="11"/>
        <color rgb="FF000000"/>
        <rFont val="Calibri"/>
      </rPr>
      <t>Version:</t>
    </r>
    <r>
      <rPr>
        <sz val="11"/>
        <color rgb="FF000000"/>
        <rFont val="Calibri"/>
      </rPr>
      <t xml:space="preserve"> V1R1    </t>
    </r>
    <r>
      <rPr>
        <b/>
        <sz val="11"/>
        <color rgb="FF000000"/>
        <rFont val="Calibri"/>
      </rPr>
      <t>Date:</t>
    </r>
    <r>
      <rPr>
        <sz val="11"/>
        <color rgb="FF000000"/>
        <rFont val="Calibri"/>
      </rPr>
      <t xml:space="preserve"> 21 December 2015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43</t>
    </r>
  </si>
  <si>
    <t>Download Url:</t>
  </si>
  <si>
    <t>https://www.cyber.mil/stigs</t>
  </si>
  <si>
    <t>Guide Overview:</t>
  </si>
  <si>
    <r>
      <rPr>
        <sz val="11"/>
        <color rgb="FF000000"/>
        <rFont val="Calibri"/>
      </rPr>
      <t>The VMware vSphere 6.0 Virtual Machine Security Technical Implementation Guide (STIG) provides security policy and configuration requirements for virtual machines hosted by the VMware vSphere 6.0 ESXi hypervisor in the Department of Defense (DoD).</t>
    </r>
    <r>
      <rPr>
        <sz val="11"/>
        <color rgb="FF000000"/>
        <rFont val="Calibri"/>
      </rPr>
      <t xml:space="preserve">
</t>
    </r>
    <r>
      <rPr>
        <sz val="11"/>
        <color rgb="FF000000"/>
        <rFont val="Calibri"/>
      </rPr>
      <t>The VMware vSphere 6.0 Virtual Machine STIG presumes operation in an environment compliant with all applicable DoD guidance.</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</si>
  <si>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</si>
  <si>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</si>
  <si>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</si>
  <si>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</si>
  <si>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</si>
  <si>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</si>
  <si>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</si>
  <si>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</si>
  <si>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</si>
  <si>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</si>
  <si>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</si>
  <si>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</si>
  <si>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</si>
  <si>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</si>
  <si>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</si>
  <si>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</si>
  <si>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</si>
  <si>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</si>
  <si>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</si>
  <si>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</si>
  <si>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</si>
  <si>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</si>
  <si>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</si>
  <si>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</si>
  <si>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</si>
  <si>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</si>
  <si>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</si>
  <si>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</si>
  <si>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</si>
  <si>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</si>
  <si>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</si>
  <si>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</si>
  <si>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</si>
  <si>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</si>
  <si>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</si>
  <si>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</si>
  <si>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</si>
  <si>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</si>
  <si>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</si>
  <si>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Security Hardening Implementation Dashboard</t>
  </si>
  <si>
    <t>Scope Overview</t>
  </si>
  <si>
    <t>Count</t>
  </si>
  <si>
    <t>% of Total</t>
  </si>
  <si>
    <t>Hardening Guide</t>
  </si>
  <si>
    <t xml:space="preserve">   VMware vSphere Virtual Machine Version 6 Security Technical Implementation Guide V1R1</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</si>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</sst>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278">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3"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4" fillId="4" borderId="11" xfId="0" applyNumberFormat="1" applyFont="1" applyFill="1" applyBorder="1" applyAlignment="1" applyProtection="1">
      <alignment horizontal="left"/>
    </xf>
    <xf numFmtId="0" fontId="14" fillId="4" borderId="11" xfId="0" applyNumberFormat="1" applyFont="1" applyFill="1" applyBorder="1" applyAlignment="1" applyProtection="1">
      <alignment horizontal="center"/>
    </xf>
    <xf numFmtId="164" fontId="14" fillId="4" borderId="11" xfId="0" applyNumberFormat="1" applyFont="1" applyFill="1" applyBorder="1" applyAlignment="1" applyProtection="1">
      <alignment horizontal="center"/>
    </xf>
    <xf numFmtId="0" fontId="15" fillId="3" borderId="0" xfId="0" applyNumberFormat="1" applyFont="1" applyFill="1" applyProtection="1"/>
    <xf numFmtId="0" fontId="13"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7" fillId="3" borderId="0" xfId="0" applyNumberFormat="1" applyFont="1" applyFill="1" applyProtection="1"/>
    <xf numFmtId="0" fontId="18" fillId="3" borderId="13" xfId="0" applyNumberFormat="1" applyFont="1" applyFill="1" applyBorder="1" applyAlignment="1" applyProtection="1">
      <alignment horizontal="right" vertical="center"/>
    </xf>
    <xf numFmtId="0" fontId="19"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3" fillId="2" borderId="11" xfId="0" applyNumberFormat="1" applyFont="1" applyFill="1" applyBorder="1" applyAlignment="1" applyProtection="1">
      <alignment horizontal="center" vertical="center" wrapText="1"/>
    </xf>
    <xf numFmtId="0" fontId="20"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3"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2" fillId="14" borderId="11" xfId="0" applyNumberFormat="1" applyFont="1" applyFill="1" applyBorder="1" applyAlignment="1" applyProtection="1">
      <alignment horizontal="center" vertical="center" wrapText="1"/>
    </xf>
    <xf numFmtId="0" fontId="22" fillId="15" borderId="11" xfId="0" applyNumberFormat="1" applyFont="1" applyFill="1" applyBorder="1" applyAlignment="1" applyProtection="1">
      <alignment horizontal="center" vertical="center" wrapText="1"/>
    </xf>
    <xf numFmtId="0" fontId="22" fillId="16" borderId="11" xfId="0" applyNumberFormat="1" applyFont="1" applyFill="1" applyBorder="1" applyAlignment="1" applyProtection="1">
      <alignment horizontal="center" vertical="center" wrapText="1"/>
    </xf>
    <xf numFmtId="0" fontId="22" fillId="17" borderId="11" xfId="0" applyNumberFormat="1" applyFont="1" applyFill="1" applyBorder="1" applyAlignment="1" applyProtection="1">
      <alignment horizontal="center" vertical="center" wrapText="1"/>
    </xf>
    <xf numFmtId="0" fontId="22" fillId="18" borderId="11" xfId="0" applyNumberFormat="1" applyFont="1" applyFill="1" applyBorder="1" applyAlignment="1" applyProtection="1">
      <alignment horizontal="center" vertical="center" wrapText="1"/>
    </xf>
    <xf numFmtId="0" fontId="22" fillId="19" borderId="11" xfId="0" applyNumberFormat="1" applyFont="1" applyFill="1" applyBorder="1" applyAlignment="1" applyProtection="1">
      <alignment horizontal="center" vertical="center" wrapText="1"/>
    </xf>
    <xf numFmtId="0" fontId="23"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4"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5"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5"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xf>
    <xf numFmtId="0" fontId="24"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left" vertical="top"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3" borderId="1" xfId="0" applyNumberFormat="1" applyFont="1" applyFill="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wrapText="1"/>
    </xf>
    <xf numFmtId="0" fontId="24"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4" fillId="23" borderId="5"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6"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3"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3"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6" fillId="3" borderId="0" xfId="0" applyNumberFormat="1" applyFont="1" applyFill="1" applyAlignment="1" applyProtection="1">
      <alignment vertical="top" wrapText="1"/>
    </xf>
    <xf numFmtId="3" fontId="21"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1"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3"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78">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A4AC-4CA7-8EDA-89806789C372}"/>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A4AC-4CA7-8EDA-89806789C372}"/>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43</c:v>
                </c:pt>
              </c:numCache>
            </c:numRef>
          </c:val>
          <c:extLst>
            <c:ext xmlns:c16="http://schemas.microsoft.com/office/drawing/2014/chart" uri="{C3380CC4-5D6E-409C-BE32-E72D297353CC}">
              <c16:uniqueId val="{00000002-A4AC-4CA7-8EDA-89806789C372}"/>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B61F-48F3-BA03-EE1F0968C7BC}"/>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B61F-48F3-BA03-EE1F0968C7BC}"/>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43</c:v>
                </c:pt>
              </c:numCache>
            </c:numRef>
          </c:val>
          <c:extLst>
            <c:ext xmlns:c16="http://schemas.microsoft.com/office/drawing/2014/chart" uri="{C3380CC4-5D6E-409C-BE32-E72D297353CC}">
              <c16:uniqueId val="{00000002-B61F-48F3-BA03-EE1F0968C7BC}"/>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B284-45AF-A3EA-693BE9AB51B7}"/>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B284-45AF-A3EA-693BE9AB51B7}"/>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3</c:v>
                </c:pt>
                <c:pt idx="1">
                  <c:v>11</c:v>
                </c:pt>
                <c:pt idx="2">
                  <c:v>29</c:v>
                </c:pt>
              </c:numCache>
            </c:numRef>
          </c:val>
          <c:extLst>
            <c:ext xmlns:c16="http://schemas.microsoft.com/office/drawing/2014/chart" uri="{C3380CC4-5D6E-409C-BE32-E72D297353CC}">
              <c16:uniqueId val="{00000002-B284-45AF-A3EA-693BE9AB51B7}"/>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65F6-4457-B260-5635CA0DCAEC}"/>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65F6-4457-B260-5635CA0DCAEC}"/>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43</c:v>
                </c:pt>
              </c:numCache>
            </c:numRef>
          </c:val>
          <c:extLst>
            <c:ext xmlns:c16="http://schemas.microsoft.com/office/drawing/2014/chart" uri="{C3380CC4-5D6E-409C-BE32-E72D297353CC}">
              <c16:uniqueId val="{00000002-65F6-4457-B260-5635CA0DCAEC}"/>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7511-45B7-8CA6-AF6431CD2D36}"/>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7511-45B7-8CA6-AF6431CD2D36}"/>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43</c:v>
                </c:pt>
              </c:numCache>
            </c:numRef>
          </c:val>
          <c:extLst>
            <c:ext xmlns:c16="http://schemas.microsoft.com/office/drawing/2014/chart" uri="{C3380CC4-5D6E-409C-BE32-E72D297353CC}">
              <c16:uniqueId val="{00000002-7511-45B7-8CA6-AF6431CD2D36}"/>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8B4D-4911-A5D6-FC78819F71D8}"/>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8B4D-4911-A5D6-FC78819F71D8}"/>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8B4D-4911-A5D6-FC78819F71D8}"/>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8B4D-4911-A5D6-FC78819F71D8}"/>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7581-4689-BD4E-6028F0870C22}"/>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mes2z2">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yywgwi">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41jhuo">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n0zh2x">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ctcllj">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bjaj43">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awahh0">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44">
  <autoFilter ref="A1:M44"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3"/>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210</v>
      </c>
    </row>
    <row r="3" spans="2:3" ht="15" customHeight="1" x14ac:dyDescent="0.35"/>
    <row r="4" spans="2:3" ht="58" x14ac:dyDescent="0.35">
      <c r="B4" s="18" t="s">
        <v>211</v>
      </c>
      <c r="C4" s="19" t="s">
        <v>212</v>
      </c>
    </row>
    <row r="5" spans="2:3" x14ac:dyDescent="0.35">
      <c r="C5" s="19" t="s">
        <v>213</v>
      </c>
    </row>
    <row r="6" spans="2:3" x14ac:dyDescent="0.35">
      <c r="C6" s="16" t="s">
        <v>214</v>
      </c>
    </row>
    <row r="7" spans="2:3" ht="10" customHeight="1" x14ac:dyDescent="0.35"/>
    <row r="8" spans="2:3" ht="232" x14ac:dyDescent="0.35">
      <c r="B8" s="20" t="s">
        <v>215</v>
      </c>
      <c r="C8" s="19" t="s">
        <v>216</v>
      </c>
    </row>
    <row r="9" spans="2:3" ht="10" customHeight="1" x14ac:dyDescent="0.35"/>
    <row r="10" spans="2:3" ht="35" customHeight="1" x14ac:dyDescent="0.35">
      <c r="B10" s="20" t="s">
        <v>217</v>
      </c>
      <c r="C10" s="19" t="s">
        <v>218</v>
      </c>
    </row>
    <row r="11" spans="2:3" ht="75" customHeight="1" x14ac:dyDescent="0.35">
      <c r="B11" s="16" t="s">
        <v>19</v>
      </c>
      <c r="C11" s="19" t="s">
        <v>219</v>
      </c>
    </row>
    <row r="12" spans="2:3" ht="47" customHeight="1" x14ac:dyDescent="0.35">
      <c r="B12" s="16" t="s">
        <v>19</v>
      </c>
      <c r="C12" s="19" t="s">
        <v>220</v>
      </c>
    </row>
    <row r="13" spans="2:3" ht="35" customHeight="1" x14ac:dyDescent="0.35">
      <c r="B13" s="16" t="s">
        <v>19</v>
      </c>
      <c r="C13" s="19" t="s">
        <v>221</v>
      </c>
    </row>
    <row r="14" spans="2:3" ht="32" customHeight="1" x14ac:dyDescent="0.35">
      <c r="B14" s="16" t="s">
        <v>19</v>
      </c>
      <c r="C14" s="19" t="s">
        <v>222</v>
      </c>
    </row>
    <row r="15" spans="2:3" ht="30" customHeight="1" x14ac:dyDescent="0.35">
      <c r="B15" s="16" t="s">
        <v>19</v>
      </c>
      <c r="C15" s="19" t="s">
        <v>223</v>
      </c>
    </row>
    <row r="16" spans="2:3" ht="10" customHeight="1" x14ac:dyDescent="0.35"/>
    <row r="17" spans="1:3" ht="145" customHeight="1" x14ac:dyDescent="0.35">
      <c r="B17" s="20" t="s">
        <v>224</v>
      </c>
      <c r="C17" s="19" t="s">
        <v>225</v>
      </c>
    </row>
    <row r="18" spans="1:3" ht="10" customHeight="1" x14ac:dyDescent="0.35"/>
    <row r="19" spans="1:3" ht="3" customHeight="1" x14ac:dyDescent="0.35">
      <c r="B19" s="21"/>
      <c r="C19" s="21"/>
    </row>
    <row r="20" spans="1:3" ht="12" customHeight="1" x14ac:dyDescent="0.35"/>
    <row r="21" spans="1:3" ht="35" customHeight="1" x14ac:dyDescent="0.35">
      <c r="A21" s="23"/>
      <c r="B21" s="24" t="s">
        <v>226</v>
      </c>
      <c r="C21" s="25" t="s">
        <v>227</v>
      </c>
    </row>
    <row r="22" spans="1:3" ht="18" customHeight="1" x14ac:dyDescent="0.35">
      <c r="A22" s="23"/>
      <c r="B22" s="23" t="s">
        <v>19</v>
      </c>
      <c r="C22" s="25" t="s">
        <v>228</v>
      </c>
    </row>
    <row r="23" spans="1:3" ht="18" customHeight="1" x14ac:dyDescent="0.35">
      <c r="A23" s="23"/>
      <c r="B23" s="23" t="s">
        <v>19</v>
      </c>
      <c r="C23" s="25" t="s">
        <v>229</v>
      </c>
    </row>
    <row r="24" spans="1:3" ht="18" customHeight="1" x14ac:dyDescent="0.35">
      <c r="A24" s="23"/>
      <c r="B24" s="23" t="s">
        <v>19</v>
      </c>
      <c r="C24" s="25" t="s">
        <v>230</v>
      </c>
    </row>
    <row r="25" spans="1:3" ht="18" customHeight="1" x14ac:dyDescent="0.35">
      <c r="A25" s="23"/>
      <c r="B25" s="23" t="s">
        <v>19</v>
      </c>
      <c r="C25" s="25" t="s">
        <v>231</v>
      </c>
    </row>
    <row r="26" spans="1:3" ht="18" customHeight="1" x14ac:dyDescent="0.35">
      <c r="A26" s="23"/>
      <c r="B26" s="23" t="s">
        <v>19</v>
      </c>
      <c r="C26" s="25" t="s">
        <v>232</v>
      </c>
    </row>
    <row r="27" spans="1:3" ht="18" customHeight="1" x14ac:dyDescent="0.35">
      <c r="A27" s="23"/>
      <c r="B27" s="23" t="s">
        <v>19</v>
      </c>
      <c r="C27" s="25" t="s">
        <v>233</v>
      </c>
    </row>
    <row r="28" spans="1:3" ht="18" customHeight="1" x14ac:dyDescent="0.35">
      <c r="A28" s="23"/>
      <c r="B28" s="23" t="s">
        <v>19</v>
      </c>
      <c r="C28" s="25" t="s">
        <v>234</v>
      </c>
    </row>
    <row r="29" spans="1:3" ht="18" customHeight="1" x14ac:dyDescent="0.35">
      <c r="A29" s="23"/>
      <c r="B29" s="23" t="s">
        <v>19</v>
      </c>
      <c r="C29" s="25" t="s">
        <v>235</v>
      </c>
    </row>
    <row r="30" spans="1:3" ht="44" customHeight="1" x14ac:dyDescent="0.35">
      <c r="A30" s="23"/>
      <c r="B30" s="23" t="s">
        <v>19</v>
      </c>
      <c r="C30" s="26" t="s">
        <v>236</v>
      </c>
    </row>
    <row r="31" spans="1:3" ht="10" customHeight="1" x14ac:dyDescent="0.35"/>
    <row r="32" spans="1:3" ht="3" customHeight="1" x14ac:dyDescent="0.35">
      <c r="B32" s="21"/>
      <c r="C32" s="21"/>
    </row>
    <row r="33" spans="2:3" ht="12" customHeight="1" x14ac:dyDescent="0.35"/>
    <row r="34" spans="2:3" ht="24" customHeight="1" x14ac:dyDescent="0.35">
      <c r="B34" s="27" t="s">
        <v>237</v>
      </c>
      <c r="C34" s="28" t="s">
        <v>238</v>
      </c>
    </row>
    <row r="35" spans="2:3" ht="18.5" x14ac:dyDescent="0.35">
      <c r="B35" s="27" t="s">
        <v>239</v>
      </c>
      <c r="C35" s="29" t="s">
        <v>240</v>
      </c>
    </row>
    <row r="36" spans="2:3" ht="27" customHeight="1" x14ac:dyDescent="0.35">
      <c r="B36" s="30" t="s">
        <v>241</v>
      </c>
      <c r="C36" s="22" t="s">
        <v>242</v>
      </c>
    </row>
    <row r="37" spans="2:3" x14ac:dyDescent="0.35">
      <c r="B37" s="27" t="s">
        <v>243</v>
      </c>
      <c r="C37" s="31" t="s">
        <v>244</v>
      </c>
    </row>
    <row r="38" spans="2:3" ht="10" customHeight="1" x14ac:dyDescent="0.35"/>
    <row r="39" spans="2:3" ht="87" x14ac:dyDescent="0.35">
      <c r="B39" s="27" t="s">
        <v>245</v>
      </c>
      <c r="C39" s="32" t="s">
        <v>246</v>
      </c>
    </row>
    <row r="40" spans="2:3" ht="10" customHeight="1" x14ac:dyDescent="0.35"/>
    <row r="41" spans="2:3" ht="43.5" x14ac:dyDescent="0.35">
      <c r="B41" s="27" t="s">
        <v>247</v>
      </c>
      <c r="C41" s="19" t="s">
        <v>248</v>
      </c>
    </row>
    <row r="42" spans="2:3" ht="10" customHeight="1" x14ac:dyDescent="0.35"/>
    <row r="43" spans="2:3" ht="15.5" x14ac:dyDescent="0.35">
      <c r="C43" s="33" t="s">
        <v>37</v>
      </c>
    </row>
    <row r="44" spans="2:3" ht="29" x14ac:dyDescent="0.35">
      <c r="C44" s="19" t="s">
        <v>249</v>
      </c>
    </row>
    <row r="45" spans="2:3" ht="10" customHeight="1" x14ac:dyDescent="0.35"/>
    <row r="46" spans="2:3" ht="15.5" x14ac:dyDescent="0.35">
      <c r="C46" s="34" t="s">
        <v>53</v>
      </c>
    </row>
    <row r="47" spans="2:3" ht="29" x14ac:dyDescent="0.35">
      <c r="C47" s="19" t="s">
        <v>250</v>
      </c>
    </row>
    <row r="48" spans="2:3" ht="10" customHeight="1" x14ac:dyDescent="0.35"/>
    <row r="49" spans="2:3" ht="15.5" x14ac:dyDescent="0.35">
      <c r="C49" s="35" t="s">
        <v>15</v>
      </c>
    </row>
    <row r="50" spans="2:3" ht="29" x14ac:dyDescent="0.35">
      <c r="C50" s="19" t="s">
        <v>251</v>
      </c>
    </row>
    <row r="51" spans="2:3" ht="10" customHeight="1" x14ac:dyDescent="0.35"/>
    <row r="52" spans="2:3" ht="3" customHeight="1" x14ac:dyDescent="0.35">
      <c r="B52" s="21"/>
      <c r="C52" s="21"/>
    </row>
    <row r="53" spans="2:3" ht="12" customHeight="1" x14ac:dyDescent="0.35"/>
    <row r="54" spans="2:3" ht="130.5" x14ac:dyDescent="0.35">
      <c r="B54" s="18" t="s">
        <v>252</v>
      </c>
      <c r="C54" s="19" t="s">
        <v>253</v>
      </c>
    </row>
    <row r="55" spans="2:3" ht="6" customHeight="1" x14ac:dyDescent="0.35"/>
    <row r="56" spans="2:3" ht="217.5" x14ac:dyDescent="0.35">
      <c r="C56" s="19" t="s">
        <v>254</v>
      </c>
    </row>
    <row r="57" spans="2:3" ht="6" customHeight="1" x14ac:dyDescent="0.35"/>
    <row r="58" spans="2:3" ht="43.5" x14ac:dyDescent="0.35">
      <c r="C58" s="19" t="s">
        <v>255</v>
      </c>
    </row>
    <row r="59" spans="2:3" ht="10" customHeight="1" x14ac:dyDescent="0.35"/>
    <row r="60" spans="2:3" ht="3" customHeight="1" x14ac:dyDescent="0.35">
      <c r="B60" s="21"/>
      <c r="C60" s="21"/>
    </row>
    <row r="61" spans="2:3" ht="12" customHeight="1" x14ac:dyDescent="0.35"/>
    <row r="62" spans="2:3" ht="145" x14ac:dyDescent="0.35">
      <c r="B62" s="18" t="s">
        <v>256</v>
      </c>
      <c r="C62" s="19" t="s">
        <v>257</v>
      </c>
    </row>
    <row r="63" spans="2:3" ht="6" customHeight="1" x14ac:dyDescent="0.35"/>
    <row r="64" spans="2:3" ht="203" x14ac:dyDescent="0.35">
      <c r="C64" s="19" t="s">
        <v>258</v>
      </c>
    </row>
    <row r="65" spans="2:3" ht="6" customHeight="1" x14ac:dyDescent="0.35"/>
    <row r="66" spans="2:3" ht="43.5" x14ac:dyDescent="0.35">
      <c r="C66" s="19" t="s">
        <v>259</v>
      </c>
    </row>
    <row r="67" spans="2:3" ht="10" customHeight="1" x14ac:dyDescent="0.35"/>
    <row r="68" spans="2:3" ht="3" customHeight="1" x14ac:dyDescent="0.35">
      <c r="B68" s="21"/>
      <c r="C68" s="21"/>
    </row>
    <row r="69" spans="2:3" ht="12" customHeight="1" x14ac:dyDescent="0.35"/>
    <row r="70" spans="2:3" ht="101.5" x14ac:dyDescent="0.35">
      <c r="B70" s="18" t="s">
        <v>260</v>
      </c>
      <c r="C70" s="19" t="s">
        <v>261</v>
      </c>
    </row>
    <row r="71" spans="2:3" ht="6" customHeight="1" x14ac:dyDescent="0.35"/>
    <row r="72" spans="2:3" ht="145" x14ac:dyDescent="0.35">
      <c r="C72" s="19" t="s">
        <v>262</v>
      </c>
    </row>
    <row r="73" spans="2:3" ht="6" customHeight="1" x14ac:dyDescent="0.35"/>
    <row r="74" spans="2:3" ht="43.5" x14ac:dyDescent="0.35">
      <c r="C74" s="19" t="s">
        <v>263</v>
      </c>
    </row>
    <row r="75" spans="2:3" ht="10" customHeight="1" x14ac:dyDescent="0.35"/>
    <row r="76" spans="2:3" ht="3" customHeight="1" x14ac:dyDescent="0.35">
      <c r="B76" s="21"/>
      <c r="C76" s="21"/>
    </row>
    <row r="77" spans="2:3" ht="12" customHeight="1" x14ac:dyDescent="0.35"/>
    <row r="78" spans="2:3" ht="26" customHeight="1" x14ac:dyDescent="0.35">
      <c r="B78" s="36" t="s">
        <v>264</v>
      </c>
    </row>
    <row r="79" spans="2:3" ht="8" customHeight="1" x14ac:dyDescent="0.35"/>
    <row r="80" spans="2:3" ht="20" customHeight="1" x14ac:dyDescent="0.35">
      <c r="B80" s="27" t="s">
        <v>265</v>
      </c>
      <c r="C80" s="37" t="s">
        <v>266</v>
      </c>
    </row>
    <row r="81" spans="2:3" ht="116" x14ac:dyDescent="0.35">
      <c r="C81" s="19" t="s">
        <v>267</v>
      </c>
    </row>
    <row r="82" spans="2:3" ht="10" customHeight="1" x14ac:dyDescent="0.35"/>
    <row r="83" spans="2:3" ht="20" customHeight="1" x14ac:dyDescent="0.35">
      <c r="B83" s="27" t="s">
        <v>268</v>
      </c>
      <c r="C83" s="37" t="s">
        <v>269</v>
      </c>
    </row>
    <row r="84" spans="2:3" ht="116" x14ac:dyDescent="0.35">
      <c r="C84" s="19" t="s">
        <v>270</v>
      </c>
    </row>
    <row r="85" spans="2:3" ht="10" customHeight="1" x14ac:dyDescent="0.35"/>
    <row r="86" spans="2:3" ht="20" customHeight="1" x14ac:dyDescent="0.35">
      <c r="B86" s="27" t="s">
        <v>271</v>
      </c>
      <c r="C86" s="37" t="s">
        <v>272</v>
      </c>
    </row>
    <row r="87" spans="2:3" ht="130.5" x14ac:dyDescent="0.35">
      <c r="C87" s="19" t="s">
        <v>273</v>
      </c>
    </row>
    <row r="88" spans="2:3" ht="10" customHeight="1" x14ac:dyDescent="0.35"/>
    <row r="89" spans="2:3" ht="20" customHeight="1" x14ac:dyDescent="0.35">
      <c r="B89" s="27" t="s">
        <v>274</v>
      </c>
      <c r="C89" s="37" t="s">
        <v>275</v>
      </c>
    </row>
    <row r="90" spans="2:3" ht="130.5" x14ac:dyDescent="0.35">
      <c r="C90" s="19" t="s">
        <v>276</v>
      </c>
    </row>
    <row r="91" spans="2:3" ht="10" customHeight="1" x14ac:dyDescent="0.35"/>
    <row r="92" spans="2:3" ht="20" customHeight="1" x14ac:dyDescent="0.35">
      <c r="B92" s="27" t="s">
        <v>277</v>
      </c>
      <c r="C92" s="37" t="s">
        <v>278</v>
      </c>
    </row>
    <row r="93" spans="2:3" ht="116" x14ac:dyDescent="0.35">
      <c r="C93" s="19" t="s">
        <v>279</v>
      </c>
    </row>
    <row r="94" spans="2:3" ht="10" customHeight="1" x14ac:dyDescent="0.35"/>
    <row r="95" spans="2:3" ht="20" customHeight="1" x14ac:dyDescent="0.35">
      <c r="B95" s="27" t="s">
        <v>280</v>
      </c>
      <c r="C95" s="37" t="s">
        <v>281</v>
      </c>
    </row>
    <row r="96" spans="2:3" ht="116" x14ac:dyDescent="0.35">
      <c r="C96" s="19" t="s">
        <v>282</v>
      </c>
    </row>
    <row r="97" spans="2:3" ht="10" customHeight="1" x14ac:dyDescent="0.35"/>
    <row r="98" spans="2:3" ht="20" customHeight="1" x14ac:dyDescent="0.35">
      <c r="B98" s="27" t="s">
        <v>283</v>
      </c>
      <c r="C98" s="37" t="s">
        <v>284</v>
      </c>
    </row>
    <row r="99" spans="2:3" ht="130.5" x14ac:dyDescent="0.35">
      <c r="C99" s="19" t="s">
        <v>285</v>
      </c>
    </row>
    <row r="100" spans="2:3" ht="10" customHeight="1" x14ac:dyDescent="0.35"/>
    <row r="103" spans="2:3" ht="32" customHeight="1" x14ac:dyDescent="0.35">
      <c r="B103" s="255" t="s">
        <v>209</v>
      </c>
      <c r="C103" s="255"/>
    </row>
  </sheetData>
  <sheetProtection password="90EA" sheet="1"/>
  <mergeCells count="1">
    <mergeCell ref="B103:C103"/>
  </mergeCells>
  <hyperlinks>
    <hyperlink ref="C5" r:id="rId1" xr:uid="{00000000-0004-0000-0000-000000000000}"/>
    <hyperlink ref="C6" r:id="rId2" xr:uid="{00000000-0004-0000-0000-000001000000}"/>
    <hyperlink ref="C37" r:id="rId3" xr:uid="{00000000-0004-0000-0000-000002000000}"/>
    <hyperlink ref="B103" r:id="rId4"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2968</v>
      </c>
      <c r="B1" s="230" t="s">
        <v>0</v>
      </c>
      <c r="C1" s="230" t="s">
        <v>445</v>
      </c>
      <c r="D1" s="230" t="s">
        <v>446</v>
      </c>
      <c r="E1" s="230" t="s">
        <v>451</v>
      </c>
      <c r="F1" s="230" t="s">
        <v>452</v>
      </c>
      <c r="G1" s="230" t="s">
        <v>453</v>
      </c>
      <c r="H1" s="230" t="s">
        <v>454</v>
      </c>
      <c r="I1" s="230" t="s">
        <v>455</v>
      </c>
      <c r="J1" s="230" t="s">
        <v>456</v>
      </c>
      <c r="K1" s="230" t="s">
        <v>457</v>
      </c>
      <c r="L1" s="230" t="s">
        <v>458</v>
      </c>
      <c r="M1" s="230" t="s">
        <v>459</v>
      </c>
      <c r="N1" s="230" t="s">
        <v>460</v>
      </c>
      <c r="O1" s="230" t="s">
        <v>461</v>
      </c>
      <c r="P1" s="230" t="s">
        <v>462</v>
      </c>
      <c r="Q1" s="230" t="s">
        <v>463</v>
      </c>
      <c r="R1" s="230" t="s">
        <v>464</v>
      </c>
      <c r="S1" s="230" t="s">
        <v>465</v>
      </c>
      <c r="T1" s="230" t="s">
        <v>466</v>
      </c>
      <c r="U1" s="230" t="s">
        <v>467</v>
      </c>
      <c r="V1" s="230" t="s">
        <v>468</v>
      </c>
      <c r="W1" s="230" t="s">
        <v>469</v>
      </c>
      <c r="X1" s="230" t="s">
        <v>470</v>
      </c>
      <c r="Y1" s="230" t="s">
        <v>471</v>
      </c>
      <c r="Z1" s="230" t="s">
        <v>472</v>
      </c>
      <c r="AA1" s="230" t="s">
        <v>473</v>
      </c>
      <c r="AB1" s="230" t="s">
        <v>474</v>
      </c>
      <c r="AC1" s="230" t="s">
        <v>475</v>
      </c>
      <c r="AD1" s="230" t="s">
        <v>476</v>
      </c>
      <c r="AE1" s="230" t="s">
        <v>477</v>
      </c>
      <c r="AF1" s="230" t="s">
        <v>478</v>
      </c>
      <c r="AG1" s="230" t="s">
        <v>479</v>
      </c>
      <c r="AH1" s="230" t="s">
        <v>480</v>
      </c>
      <c r="AI1" s="230" t="s">
        <v>481</v>
      </c>
      <c r="AJ1" s="230" t="s">
        <v>482</v>
      </c>
      <c r="AK1" s="230" t="s">
        <v>483</v>
      </c>
      <c r="AL1" s="230" t="s">
        <v>484</v>
      </c>
      <c r="AM1" s="230" t="s">
        <v>485</v>
      </c>
      <c r="AN1" s="230" t="s">
        <v>486</v>
      </c>
      <c r="AO1" s="230" t="s">
        <v>487</v>
      </c>
      <c r="AP1" s="230" t="s">
        <v>488</v>
      </c>
      <c r="AQ1" s="230" t="s">
        <v>489</v>
      </c>
      <c r="AR1" s="230" t="s">
        <v>490</v>
      </c>
      <c r="AS1" s="231" t="s">
        <v>491</v>
      </c>
    </row>
    <row r="2" spans="1:45" ht="60" customHeight="1" outlineLevel="1" x14ac:dyDescent="0.35">
      <c r="A2" s="223" t="s">
        <v>2969</v>
      </c>
      <c r="B2" s="210" t="s">
        <v>2970</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2969</v>
      </c>
      <c r="B3" s="211" t="s">
        <v>2971</v>
      </c>
      <c r="C3" s="212" t="s">
        <v>2972</v>
      </c>
      <c r="D3" s="214" t="s">
        <v>2973</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2969</v>
      </c>
      <c r="B4" s="211" t="s">
        <v>2974</v>
      </c>
      <c r="C4" s="212" t="s">
        <v>2975</v>
      </c>
      <c r="D4" s="214" t="s">
        <v>2976</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2969</v>
      </c>
      <c r="B5" s="211" t="s">
        <v>2977</v>
      </c>
      <c r="C5" s="212" t="s">
        <v>2978</v>
      </c>
      <c r="D5" s="214" t="s">
        <v>2979</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2969</v>
      </c>
      <c r="B6" s="211" t="s">
        <v>2980</v>
      </c>
      <c r="C6" s="212" t="s">
        <v>2981</v>
      </c>
      <c r="D6" s="214" t="s">
        <v>2982</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2969</v>
      </c>
      <c r="B7" s="211" t="s">
        <v>2983</v>
      </c>
      <c r="C7" s="212" t="s">
        <v>2984</v>
      </c>
      <c r="D7" s="214" t="s">
        <v>2985</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2969</v>
      </c>
      <c r="B8" s="211" t="s">
        <v>2986</v>
      </c>
      <c r="C8" s="212" t="s">
        <v>2987</v>
      </c>
      <c r="D8" s="214" t="s">
        <v>2988</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2969</v>
      </c>
      <c r="B9" s="211" t="s">
        <v>2989</v>
      </c>
      <c r="C9" s="212" t="s">
        <v>2990</v>
      </c>
      <c r="D9" s="214" t="s">
        <v>2991</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2969</v>
      </c>
      <c r="B10" s="211" t="s">
        <v>2992</v>
      </c>
      <c r="C10" s="212" t="s">
        <v>2993</v>
      </c>
      <c r="D10" s="214" t="s">
        <v>2994</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2969</v>
      </c>
      <c r="B11" s="211" t="s">
        <v>2995</v>
      </c>
      <c r="C11" s="212" t="s">
        <v>2996</v>
      </c>
      <c r="D11" s="214" t="s">
        <v>2997</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2969</v>
      </c>
      <c r="B12" s="211" t="s">
        <v>2998</v>
      </c>
      <c r="C12" s="212" t="s">
        <v>2999</v>
      </c>
      <c r="D12" s="214" t="s">
        <v>3000</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2969</v>
      </c>
      <c r="B13" s="211" t="s">
        <v>3001</v>
      </c>
      <c r="C13" s="212" t="s">
        <v>3002</v>
      </c>
      <c r="D13" s="214" t="s">
        <v>3003</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2969</v>
      </c>
      <c r="B14" s="211" t="s">
        <v>3004</v>
      </c>
      <c r="C14" s="212" t="s">
        <v>3005</v>
      </c>
      <c r="D14" s="214" t="s">
        <v>3006</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2969</v>
      </c>
      <c r="B15" s="211" t="s">
        <v>3007</v>
      </c>
      <c r="C15" s="212" t="s">
        <v>3008</v>
      </c>
      <c r="D15" s="214" t="s">
        <v>3009</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2969</v>
      </c>
      <c r="B16" s="211" t="s">
        <v>3010</v>
      </c>
      <c r="C16" s="212" t="s">
        <v>3011</v>
      </c>
      <c r="D16" s="214" t="s">
        <v>3012</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2969</v>
      </c>
      <c r="B17" s="211" t="s">
        <v>3013</v>
      </c>
      <c r="C17" s="212" t="s">
        <v>3014</v>
      </c>
      <c r="D17" s="214" t="s">
        <v>3015</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2969</v>
      </c>
      <c r="B18" s="211" t="s">
        <v>3016</v>
      </c>
      <c r="C18" s="212" t="s">
        <v>3017</v>
      </c>
      <c r="D18" s="214" t="s">
        <v>3018</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2969</v>
      </c>
      <c r="B19" s="211" t="s">
        <v>3019</v>
      </c>
      <c r="C19" s="212" t="s">
        <v>3020</v>
      </c>
      <c r="D19" s="214" t="s">
        <v>3021</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2969</v>
      </c>
      <c r="B20" s="211" t="s">
        <v>3022</v>
      </c>
      <c r="C20" s="212" t="s">
        <v>3023</v>
      </c>
      <c r="D20" s="214" t="s">
        <v>3024</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2969</v>
      </c>
      <c r="B21" s="211" t="s">
        <v>3025</v>
      </c>
      <c r="C21" s="212" t="s">
        <v>3026</v>
      </c>
      <c r="D21" s="214" t="s">
        <v>3027</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2969</v>
      </c>
      <c r="B22" s="211" t="s">
        <v>3028</v>
      </c>
      <c r="C22" s="212" t="s">
        <v>3029</v>
      </c>
      <c r="D22" s="214" t="s">
        <v>3030</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2969</v>
      </c>
      <c r="B23" s="211" t="s">
        <v>3031</v>
      </c>
      <c r="C23" s="212" t="s">
        <v>3032</v>
      </c>
      <c r="D23" s="214" t="s">
        <v>3033</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2969</v>
      </c>
      <c r="B24" s="211" t="s">
        <v>3034</v>
      </c>
      <c r="C24" s="212" t="s">
        <v>3035</v>
      </c>
      <c r="D24" s="214" t="s">
        <v>3036</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2969</v>
      </c>
      <c r="B25" s="211" t="s">
        <v>3037</v>
      </c>
      <c r="C25" s="212" t="s">
        <v>3038</v>
      </c>
      <c r="D25" s="214" t="s">
        <v>3039</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2969</v>
      </c>
      <c r="B26" s="211" t="s">
        <v>3040</v>
      </c>
      <c r="C26" s="212" t="s">
        <v>3041</v>
      </c>
      <c r="D26" s="214" t="s">
        <v>3042</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2969</v>
      </c>
      <c r="B27" s="211" t="s">
        <v>3043</v>
      </c>
      <c r="C27" s="212" t="s">
        <v>3044</v>
      </c>
      <c r="D27" s="214" t="s">
        <v>3045</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2969</v>
      </c>
      <c r="B28" s="211" t="s">
        <v>3046</v>
      </c>
      <c r="C28" s="212" t="s">
        <v>3047</v>
      </c>
      <c r="D28" s="214" t="s">
        <v>3048</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2969</v>
      </c>
      <c r="B29" s="211" t="s">
        <v>3049</v>
      </c>
      <c r="C29" s="212" t="s">
        <v>3050</v>
      </c>
      <c r="D29" s="214" t="s">
        <v>3051</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2969</v>
      </c>
      <c r="B30" s="211" t="s">
        <v>3052</v>
      </c>
      <c r="C30" s="212" t="s">
        <v>3053</v>
      </c>
      <c r="D30" s="214" t="s">
        <v>3054</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2969</v>
      </c>
      <c r="B31" s="211" t="s">
        <v>3055</v>
      </c>
      <c r="C31" s="212" t="s">
        <v>3056</v>
      </c>
      <c r="D31" s="214" t="s">
        <v>3057</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2969</v>
      </c>
      <c r="B32" s="211" t="s">
        <v>3058</v>
      </c>
      <c r="C32" s="212" t="s">
        <v>3059</v>
      </c>
      <c r="D32" s="214" t="s">
        <v>3060</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2969</v>
      </c>
      <c r="B33" s="211" t="s">
        <v>3061</v>
      </c>
      <c r="C33" s="212" t="s">
        <v>3062</v>
      </c>
      <c r="D33" s="214" t="s">
        <v>3063</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2969</v>
      </c>
      <c r="B34" s="211" t="s">
        <v>3064</v>
      </c>
      <c r="C34" s="212" t="s">
        <v>3065</v>
      </c>
      <c r="D34" s="214" t="s">
        <v>3066</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2969</v>
      </c>
      <c r="B35" s="211" t="s">
        <v>3067</v>
      </c>
      <c r="C35" s="212" t="s">
        <v>3068</v>
      </c>
      <c r="D35" s="214" t="s">
        <v>3069</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2969</v>
      </c>
      <c r="B36" s="211" t="s">
        <v>3070</v>
      </c>
      <c r="C36" s="212" t="s">
        <v>3071</v>
      </c>
      <c r="D36" s="214" t="s">
        <v>3072</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2969</v>
      </c>
      <c r="B37" s="211" t="s">
        <v>3073</v>
      </c>
      <c r="C37" s="212" t="s">
        <v>3074</v>
      </c>
      <c r="D37" s="214" t="s">
        <v>3075</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2969</v>
      </c>
      <c r="B38" s="211" t="s">
        <v>3076</v>
      </c>
      <c r="C38" s="212" t="s">
        <v>3077</v>
      </c>
      <c r="D38" s="214" t="s">
        <v>3078</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2969</v>
      </c>
      <c r="B39" s="211" t="s">
        <v>3079</v>
      </c>
      <c r="C39" s="212" t="s">
        <v>3080</v>
      </c>
      <c r="D39" s="214" t="s">
        <v>3081</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3082</v>
      </c>
      <c r="B40" s="210" t="s">
        <v>3083</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3082</v>
      </c>
      <c r="B41" s="211" t="s">
        <v>3084</v>
      </c>
      <c r="C41" s="212" t="s">
        <v>3085</v>
      </c>
      <c r="D41" s="214" t="s">
        <v>3086</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3082</v>
      </c>
      <c r="B42" s="211" t="s">
        <v>3087</v>
      </c>
      <c r="C42" s="212" t="s">
        <v>3088</v>
      </c>
      <c r="D42" s="214" t="s">
        <v>3089</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3082</v>
      </c>
      <c r="B43" s="211" t="s">
        <v>3090</v>
      </c>
      <c r="C43" s="212" t="s">
        <v>3091</v>
      </c>
      <c r="D43" s="214" t="s">
        <v>3092</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3082</v>
      </c>
      <c r="B44" s="211" t="s">
        <v>3093</v>
      </c>
      <c r="C44" s="212" t="s">
        <v>3094</v>
      </c>
      <c r="D44" s="214" t="s">
        <v>3095</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3082</v>
      </c>
      <c r="B45" s="211" t="s">
        <v>3096</v>
      </c>
      <c r="C45" s="212" t="s">
        <v>3097</v>
      </c>
      <c r="D45" s="214" t="s">
        <v>3098</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3082</v>
      </c>
      <c r="B46" s="211" t="s">
        <v>3099</v>
      </c>
      <c r="C46" s="212" t="s">
        <v>3100</v>
      </c>
      <c r="D46" s="214" t="s">
        <v>3101</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3082</v>
      </c>
      <c r="B47" s="211" t="s">
        <v>3102</v>
      </c>
      <c r="C47" s="212" t="s">
        <v>3103</v>
      </c>
      <c r="D47" s="214" t="s">
        <v>3104</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3082</v>
      </c>
      <c r="B48" s="211" t="s">
        <v>3105</v>
      </c>
      <c r="C48" s="212" t="s">
        <v>3106</v>
      </c>
      <c r="D48" s="214" t="s">
        <v>3107</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3108</v>
      </c>
      <c r="B49" s="210" t="s">
        <v>3109</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3108</v>
      </c>
      <c r="B50" s="211" t="s">
        <v>3110</v>
      </c>
      <c r="C50" s="212" t="s">
        <v>3111</v>
      </c>
      <c r="D50" s="214" t="s">
        <v>3112</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3108</v>
      </c>
      <c r="B51" s="211" t="s">
        <v>3113</v>
      </c>
      <c r="C51" s="212" t="s">
        <v>3114</v>
      </c>
      <c r="D51" s="214" t="s">
        <v>3115</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3108</v>
      </c>
      <c r="B52" s="211" t="s">
        <v>3116</v>
      </c>
      <c r="C52" s="212" t="s">
        <v>3117</v>
      </c>
      <c r="D52" s="214" t="s">
        <v>3118</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3108</v>
      </c>
      <c r="B53" s="211" t="s">
        <v>3119</v>
      </c>
      <c r="C53" s="212" t="s">
        <v>3120</v>
      </c>
      <c r="D53" s="214" t="s">
        <v>3121</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3108</v>
      </c>
      <c r="B54" s="211" t="s">
        <v>3122</v>
      </c>
      <c r="C54" s="212" t="s">
        <v>3123</v>
      </c>
      <c r="D54" s="214" t="s">
        <v>3124</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3108</v>
      </c>
      <c r="B55" s="211" t="s">
        <v>3125</v>
      </c>
      <c r="C55" s="212" t="s">
        <v>3126</v>
      </c>
      <c r="D55" s="214" t="s">
        <v>3127</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3108</v>
      </c>
      <c r="B56" s="211" t="s">
        <v>3128</v>
      </c>
      <c r="C56" s="212" t="s">
        <v>3129</v>
      </c>
      <c r="D56" s="214" t="s">
        <v>3130</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3108</v>
      </c>
      <c r="B57" s="211" t="s">
        <v>3131</v>
      </c>
      <c r="C57" s="212" t="s">
        <v>3132</v>
      </c>
      <c r="D57" s="214" t="s">
        <v>3133</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3108</v>
      </c>
      <c r="B58" s="211" t="s">
        <v>3134</v>
      </c>
      <c r="C58" s="212" t="s">
        <v>3135</v>
      </c>
      <c r="D58" s="214" t="s">
        <v>3136</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3108</v>
      </c>
      <c r="B59" s="211" t="s">
        <v>3137</v>
      </c>
      <c r="C59" s="212" t="s">
        <v>3138</v>
      </c>
      <c r="D59" s="214" t="s">
        <v>3139</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3108</v>
      </c>
      <c r="B60" s="211" t="s">
        <v>3140</v>
      </c>
      <c r="C60" s="212" t="s">
        <v>3141</v>
      </c>
      <c r="D60" s="214" t="s">
        <v>3142</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3108</v>
      </c>
      <c r="B61" s="211" t="s">
        <v>3143</v>
      </c>
      <c r="C61" s="212" t="s">
        <v>3144</v>
      </c>
      <c r="D61" s="214" t="s">
        <v>3145</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3108</v>
      </c>
      <c r="B62" s="211" t="s">
        <v>3146</v>
      </c>
      <c r="C62" s="212" t="s">
        <v>3147</v>
      </c>
      <c r="D62" s="214" t="s">
        <v>3148</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3108</v>
      </c>
      <c r="B63" s="211" t="s">
        <v>3149</v>
      </c>
      <c r="C63" s="212" t="s">
        <v>3150</v>
      </c>
      <c r="D63" s="214" t="s">
        <v>3151</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3152</v>
      </c>
      <c r="B64" s="210" t="s">
        <v>3153</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3152</v>
      </c>
      <c r="B65" s="211" t="s">
        <v>3154</v>
      </c>
      <c r="C65" s="212" t="s">
        <v>3155</v>
      </c>
      <c r="D65" s="214" t="s">
        <v>3156</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3152</v>
      </c>
      <c r="B66" s="211" t="s">
        <v>3157</v>
      </c>
      <c r="C66" s="212" t="s">
        <v>3158</v>
      </c>
      <c r="D66" s="214" t="s">
        <v>3159</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3152</v>
      </c>
      <c r="B67" s="211" t="s">
        <v>3160</v>
      </c>
      <c r="C67" s="212" t="s">
        <v>3161</v>
      </c>
      <c r="D67" s="214" t="s">
        <v>3162</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3152</v>
      </c>
      <c r="B68" s="211" t="s">
        <v>3163</v>
      </c>
      <c r="C68" s="212" t="s">
        <v>3164</v>
      </c>
      <c r="D68" s="214" t="s">
        <v>3165</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3152</v>
      </c>
      <c r="B69" s="211" t="s">
        <v>3166</v>
      </c>
      <c r="C69" s="212" t="s">
        <v>3167</v>
      </c>
      <c r="D69" s="214" t="s">
        <v>3168</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3152</v>
      </c>
      <c r="B70" s="211" t="s">
        <v>3169</v>
      </c>
      <c r="C70" s="212" t="s">
        <v>3170</v>
      </c>
      <c r="D70" s="214" t="s">
        <v>3171</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3152</v>
      </c>
      <c r="B71" s="211" t="s">
        <v>3172</v>
      </c>
      <c r="C71" s="212" t="s">
        <v>3173</v>
      </c>
      <c r="D71" s="214" t="s">
        <v>3174</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3152</v>
      </c>
      <c r="B72" s="211" t="s">
        <v>3175</v>
      </c>
      <c r="C72" s="212" t="s">
        <v>3176</v>
      </c>
      <c r="D72" s="214" t="s">
        <v>3177</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3152</v>
      </c>
      <c r="B73" s="211" t="s">
        <v>3178</v>
      </c>
      <c r="C73" s="212" t="s">
        <v>3179</v>
      </c>
      <c r="D73" s="214" t="s">
        <v>3180</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3152</v>
      </c>
      <c r="B74" s="211" t="s">
        <v>3181</v>
      </c>
      <c r="C74" s="212" t="s">
        <v>3182</v>
      </c>
      <c r="D74" s="214" t="s">
        <v>3183</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3152</v>
      </c>
      <c r="B75" s="211" t="s">
        <v>3184</v>
      </c>
      <c r="C75" s="212" t="s">
        <v>3185</v>
      </c>
      <c r="D75" s="214" t="s">
        <v>3186</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3152</v>
      </c>
      <c r="B76" s="211" t="s">
        <v>3187</v>
      </c>
      <c r="C76" s="212" t="s">
        <v>3188</v>
      </c>
      <c r="D76" s="214" t="s">
        <v>3189</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3152</v>
      </c>
      <c r="B77" s="211" t="s">
        <v>3190</v>
      </c>
      <c r="C77" s="212" t="s">
        <v>3191</v>
      </c>
      <c r="D77" s="214" t="s">
        <v>3192</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3152</v>
      </c>
      <c r="B78" s="211" t="s">
        <v>3193</v>
      </c>
      <c r="C78" s="212" t="s">
        <v>3194</v>
      </c>
      <c r="D78" s="214" t="s">
        <v>3195</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3152</v>
      </c>
      <c r="B79" s="211" t="s">
        <v>3196</v>
      </c>
      <c r="C79" s="212" t="s">
        <v>3197</v>
      </c>
      <c r="D79" s="214" t="s">
        <v>3198</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3152</v>
      </c>
      <c r="B80" s="211" t="s">
        <v>3199</v>
      </c>
      <c r="C80" s="212" t="s">
        <v>3200</v>
      </c>
      <c r="D80" s="214" t="s">
        <v>3201</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3152</v>
      </c>
      <c r="B81" s="211" t="s">
        <v>3202</v>
      </c>
      <c r="C81" s="212" t="s">
        <v>3203</v>
      </c>
      <c r="D81" s="214" t="s">
        <v>3204</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3152</v>
      </c>
      <c r="B82" s="211" t="s">
        <v>3205</v>
      </c>
      <c r="C82" s="212" t="s">
        <v>3206</v>
      </c>
      <c r="D82" s="214" t="s">
        <v>3207</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3152</v>
      </c>
      <c r="B83" s="211" t="s">
        <v>3208</v>
      </c>
      <c r="C83" s="212" t="s">
        <v>3209</v>
      </c>
      <c r="D83" s="214" t="s">
        <v>3210</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3152</v>
      </c>
      <c r="B84" s="211" t="s">
        <v>3211</v>
      </c>
      <c r="C84" s="212" t="s">
        <v>3212</v>
      </c>
      <c r="D84" s="214" t="s">
        <v>3213</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3152</v>
      </c>
      <c r="B85" s="211" t="s">
        <v>3214</v>
      </c>
      <c r="C85" s="212" t="s">
        <v>3215</v>
      </c>
      <c r="D85" s="214" t="s">
        <v>3216</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3152</v>
      </c>
      <c r="B86" s="211" t="s">
        <v>3217</v>
      </c>
      <c r="C86" s="212" t="s">
        <v>3218</v>
      </c>
      <c r="D86" s="214" t="s">
        <v>3219</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3152</v>
      </c>
      <c r="B87" s="211" t="s">
        <v>3220</v>
      </c>
      <c r="C87" s="212" t="s">
        <v>3221</v>
      </c>
      <c r="D87" s="214" t="s">
        <v>3222</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3152</v>
      </c>
      <c r="B88" s="211" t="s">
        <v>3223</v>
      </c>
      <c r="C88" s="212" t="s">
        <v>3224</v>
      </c>
      <c r="D88" s="214" t="s">
        <v>3225</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3152</v>
      </c>
      <c r="B89" s="211" t="s">
        <v>3226</v>
      </c>
      <c r="C89" s="212" t="s">
        <v>3227</v>
      </c>
      <c r="D89" s="214" t="s">
        <v>3228</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3152</v>
      </c>
      <c r="B90" s="211" t="s">
        <v>3229</v>
      </c>
      <c r="C90" s="212" t="s">
        <v>3230</v>
      </c>
      <c r="D90" s="214" t="s">
        <v>3231</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3152</v>
      </c>
      <c r="B91" s="211" t="s">
        <v>3232</v>
      </c>
      <c r="C91" s="212" t="s">
        <v>3233</v>
      </c>
      <c r="D91" s="214" t="s">
        <v>3234</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3152</v>
      </c>
      <c r="B92" s="211" t="s">
        <v>3235</v>
      </c>
      <c r="C92" s="212" t="s">
        <v>3236</v>
      </c>
      <c r="D92" s="214" t="s">
        <v>3237</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3152</v>
      </c>
      <c r="B93" s="211" t="s">
        <v>3238</v>
      </c>
      <c r="C93" s="212" t="s">
        <v>3239</v>
      </c>
      <c r="D93" s="214" t="s">
        <v>3240</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3152</v>
      </c>
      <c r="B94" s="211" t="s">
        <v>3241</v>
      </c>
      <c r="C94" s="212" t="s">
        <v>3242</v>
      </c>
      <c r="D94" s="214" t="s">
        <v>3243</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3152</v>
      </c>
      <c r="B95" s="211" t="s">
        <v>3244</v>
      </c>
      <c r="C95" s="212" t="s">
        <v>3245</v>
      </c>
      <c r="D95" s="214" t="s">
        <v>3246</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3152</v>
      </c>
      <c r="B96" s="211" t="s">
        <v>3247</v>
      </c>
      <c r="C96" s="212" t="s">
        <v>3248</v>
      </c>
      <c r="D96" s="214" t="s">
        <v>3249</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3152</v>
      </c>
      <c r="B97" s="211" t="s">
        <v>3250</v>
      </c>
      <c r="C97" s="212" t="s">
        <v>3251</v>
      </c>
      <c r="D97" s="214" t="s">
        <v>3252</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3152</v>
      </c>
      <c r="B98" s="218" t="s">
        <v>3253</v>
      </c>
      <c r="C98" s="219" t="s">
        <v>3254</v>
      </c>
      <c r="D98" s="220" t="s">
        <v>3255</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55" t="s">
        <v>209</v>
      </c>
      <c r="B102" s="255"/>
      <c r="C102" s="255"/>
      <c r="D102" s="255"/>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IFERROR(INDEX('Recommendations'!$G$2:$G$44, MATCH(F2,'Recommendations'!$A$2:$A$44,0))="Implemented", FALSE))</xm:f>
            <x14:dxf>
              <font>
                <color rgb="FF000000"/>
              </font>
              <fill>
                <patternFill>
                  <bgColor rgb="FF3C7D22"/>
                </patternFill>
              </fill>
            </x14:dxf>
          </x14:cfRule>
          <x14:cfRule type="expression" priority="2" id="{00000000-000E-0000-0900-000002000000}">
            <xm:f>AND(F2&lt;&gt;"", IFERROR(INDEX('Recommendations'!$G$2:$G$44, MATCH(F2,'Recommendations'!$A$2:$A$44,0))="Compensated", FALSE))</xm:f>
            <x14:dxf>
              <font>
                <color rgb="FF000000"/>
              </font>
              <fill>
                <patternFill>
                  <bgColor rgb="FFC6E0B4"/>
                </patternFill>
              </fill>
            </x14:dxf>
          </x14:cfRule>
          <x14:cfRule type="expression" priority="3" id="{00000000-000E-0000-0900-000003000000}">
            <xm:f>AND(F2&lt;&gt;"", IFERROR(INDEX('Recommendations'!$G$2:$G$44, MATCH(F2,'Recommendations'!$A$2:$A$44,0))="Testing", FALSE))</xm:f>
            <x14:dxf>
              <font>
                <color rgb="FF000000"/>
              </font>
              <fill>
                <patternFill>
                  <bgColor rgb="FFFFC000"/>
                </patternFill>
              </fill>
            </x14:dxf>
          </x14:cfRule>
          <x14:cfRule type="expression" priority="4" id="{00000000-000E-0000-0900-000004000000}">
            <xm:f>AND(F2&lt;&gt;"", IFERROR(INDEX('Recommendations'!$G$2:$G$44, MATCH(F2,'Recommendations'!$A$2:$A$44,0))="Failed", FALSE))</xm:f>
            <x14:dxf>
              <font>
                <color rgb="FF000000"/>
              </font>
              <fill>
                <patternFill>
                  <bgColor rgb="FFD82891"/>
                </patternFill>
              </fill>
            </x14:dxf>
          </x14:cfRule>
          <x14:cfRule type="expression" priority="5" id="{00000000-000E-0000-0900-000005000000}">
            <xm:f>AND(F2&lt;&gt;"", IFERROR(INDEX('Recommendations'!$G$2:$G$44, MATCH(F2,'Recommendations'!$A$2:$A$44,0))="Risk Accepted", FALSE))</xm:f>
            <x14:dxf>
              <font>
                <color rgb="FF000000"/>
              </font>
              <fill>
                <patternFill>
                  <bgColor rgb="FFD9D9D9"/>
                </patternFill>
              </fill>
            </x14:dxf>
          </x14:cfRule>
          <x14:cfRule type="expression" priority="6" id="{00000000-000E-0000-0900-000006000000}">
            <xm:f>AND(F2&lt;&gt;"", IFERROR(INDEX('Recommendations'!$G$2:$G$44, MATCH(F2,'Recommendations'!$A$2:$A$44,0))="N/A",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0</v>
      </c>
      <c r="B1" s="253" t="s">
        <v>3256</v>
      </c>
      <c r="C1" s="253" t="s">
        <v>3257</v>
      </c>
      <c r="D1" s="253" t="s">
        <v>3258</v>
      </c>
      <c r="E1" s="253" t="s">
        <v>3259</v>
      </c>
      <c r="F1" s="253" t="s">
        <v>2085</v>
      </c>
      <c r="G1" s="253" t="s">
        <v>3260</v>
      </c>
      <c r="H1" s="253" t="s">
        <v>3261</v>
      </c>
      <c r="I1" s="253" t="s">
        <v>3262</v>
      </c>
      <c r="J1" s="253" t="s">
        <v>10</v>
      </c>
      <c r="K1" s="253" t="s">
        <v>451</v>
      </c>
      <c r="L1" s="253" t="s">
        <v>452</v>
      </c>
      <c r="M1" s="253" t="s">
        <v>453</v>
      </c>
      <c r="N1" s="253" t="s">
        <v>454</v>
      </c>
      <c r="O1" s="253" t="s">
        <v>455</v>
      </c>
      <c r="P1" s="253" t="s">
        <v>456</v>
      </c>
      <c r="Q1" s="253" t="s">
        <v>457</v>
      </c>
      <c r="R1" s="253" t="s">
        <v>458</v>
      </c>
      <c r="S1" s="253" t="s">
        <v>459</v>
      </c>
      <c r="T1" s="253" t="s">
        <v>460</v>
      </c>
      <c r="U1" s="253" t="s">
        <v>461</v>
      </c>
      <c r="V1" s="253" t="s">
        <v>462</v>
      </c>
      <c r="W1" s="253" t="s">
        <v>463</v>
      </c>
      <c r="X1" s="253" t="s">
        <v>464</v>
      </c>
      <c r="Y1" s="253" t="s">
        <v>465</v>
      </c>
      <c r="Z1" s="253" t="s">
        <v>466</v>
      </c>
      <c r="AA1" s="253" t="s">
        <v>467</v>
      </c>
      <c r="AB1" s="253" t="s">
        <v>468</v>
      </c>
      <c r="AC1" s="253" t="s">
        <v>469</v>
      </c>
      <c r="AD1" s="253" t="s">
        <v>470</v>
      </c>
      <c r="AE1" s="253" t="s">
        <v>471</v>
      </c>
      <c r="AF1" s="253" t="s">
        <v>472</v>
      </c>
      <c r="AG1" s="253" t="s">
        <v>473</v>
      </c>
      <c r="AH1" s="253" t="s">
        <v>474</v>
      </c>
      <c r="AI1" s="253" t="s">
        <v>475</v>
      </c>
      <c r="AJ1" s="253" t="s">
        <v>476</v>
      </c>
      <c r="AK1" s="253" t="s">
        <v>477</v>
      </c>
      <c r="AL1" s="253" t="s">
        <v>478</v>
      </c>
      <c r="AM1" s="253" t="s">
        <v>479</v>
      </c>
      <c r="AN1" s="253" t="s">
        <v>480</v>
      </c>
      <c r="AO1" s="253" t="s">
        <v>481</v>
      </c>
      <c r="AP1" s="253" t="s">
        <v>482</v>
      </c>
      <c r="AQ1" s="253" t="s">
        <v>483</v>
      </c>
      <c r="AR1" s="253" t="s">
        <v>484</v>
      </c>
      <c r="AS1" s="253" t="s">
        <v>485</v>
      </c>
      <c r="AT1" s="253" t="s">
        <v>486</v>
      </c>
      <c r="AU1" s="253" t="s">
        <v>487</v>
      </c>
      <c r="AV1" s="253" t="s">
        <v>488</v>
      </c>
      <c r="AW1" s="253" t="s">
        <v>489</v>
      </c>
      <c r="AX1" s="253" t="s">
        <v>490</v>
      </c>
      <c r="AY1" s="254" t="s">
        <v>491</v>
      </c>
    </row>
    <row r="2" spans="1:51" ht="60" customHeight="1" outlineLevel="1" x14ac:dyDescent="0.35">
      <c r="A2" s="244" t="s">
        <v>3263</v>
      </c>
      <c r="B2" s="232" t="s">
        <v>3264</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494</v>
      </c>
      <c r="B3" s="233" t="s">
        <v>3265</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3266</v>
      </c>
      <c r="B4" s="234" t="s">
        <v>3267</v>
      </c>
      <c r="C4" s="234" t="s">
        <v>3268</v>
      </c>
      <c r="D4" s="234" t="s">
        <v>3269</v>
      </c>
      <c r="E4" s="234" t="s">
        <v>3270</v>
      </c>
      <c r="F4" s="234" t="s">
        <v>19</v>
      </c>
      <c r="G4" s="234" t="s">
        <v>19</v>
      </c>
      <c r="H4" s="234" t="s">
        <v>3271</v>
      </c>
      <c r="I4" s="234" t="s">
        <v>19</v>
      </c>
      <c r="J4" s="234" t="s">
        <v>3272</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3273</v>
      </c>
      <c r="B5" s="234" t="s">
        <v>3274</v>
      </c>
      <c r="C5" s="234" t="s">
        <v>3275</v>
      </c>
      <c r="D5" s="234" t="s">
        <v>3276</v>
      </c>
      <c r="E5" s="234" t="s">
        <v>3277</v>
      </c>
      <c r="F5" s="234" t="s">
        <v>3278</v>
      </c>
      <c r="G5" s="234" t="s">
        <v>19</v>
      </c>
      <c r="H5" s="234" t="s">
        <v>3279</v>
      </c>
      <c r="I5" s="234" t="s">
        <v>19</v>
      </c>
      <c r="J5" s="234" t="s">
        <v>3280</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500</v>
      </c>
      <c r="B6" s="233" t="s">
        <v>3281</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3282</v>
      </c>
      <c r="B7" s="234" t="s">
        <v>3283</v>
      </c>
      <c r="C7" s="234" t="s">
        <v>3284</v>
      </c>
      <c r="D7" s="234" t="s">
        <v>3285</v>
      </c>
      <c r="E7" s="234" t="s">
        <v>3277</v>
      </c>
      <c r="F7" s="234" t="s">
        <v>3286</v>
      </c>
      <c r="G7" s="234" t="s">
        <v>19</v>
      </c>
      <c r="H7" s="234" t="s">
        <v>3287</v>
      </c>
      <c r="I7" s="234" t="s">
        <v>19</v>
      </c>
      <c r="J7" s="234" t="s">
        <v>3288</v>
      </c>
      <c r="K7" s="237" t="str">
        <f>IF(COUNTIF(L7:AY7,"&lt;&gt;")=0,"",SUMPRODUCT(((Recommendations[ImplStatus]="Implemented")+(Recommendations[ImplStatus]="Compensated"))*ISNUMBER(MATCH(Recommendations[Id],L7:AY7,0)))/COUNTIF(L7:AY7,"&lt;&gt;"))</f>
        <v/>
      </c>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3289</v>
      </c>
      <c r="B8" s="234" t="s">
        <v>3290</v>
      </c>
      <c r="C8" s="234" t="s">
        <v>3291</v>
      </c>
      <c r="D8" s="234" t="s">
        <v>3292</v>
      </c>
      <c r="E8" s="234" t="s">
        <v>19</v>
      </c>
      <c r="F8" s="234" t="s">
        <v>19</v>
      </c>
      <c r="G8" s="234" t="s">
        <v>19</v>
      </c>
      <c r="H8" s="234" t="s">
        <v>3293</v>
      </c>
      <c r="I8" s="234" t="s">
        <v>3294</v>
      </c>
      <c r="J8" s="234" t="s">
        <v>3295</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3296</v>
      </c>
      <c r="B9" s="234" t="s">
        <v>3297</v>
      </c>
      <c r="C9" s="234" t="s">
        <v>3298</v>
      </c>
      <c r="D9" s="234" t="s">
        <v>3299</v>
      </c>
      <c r="E9" s="234" t="s">
        <v>19</v>
      </c>
      <c r="F9" s="234" t="s">
        <v>19</v>
      </c>
      <c r="G9" s="234" t="s">
        <v>19</v>
      </c>
      <c r="H9" s="234" t="s">
        <v>3300</v>
      </c>
      <c r="I9" s="234" t="s">
        <v>3301</v>
      </c>
      <c r="J9" s="234" t="s">
        <v>3302</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3303</v>
      </c>
      <c r="B10" s="234" t="s">
        <v>3304</v>
      </c>
      <c r="C10" s="234" t="s">
        <v>3305</v>
      </c>
      <c r="D10" s="234" t="s">
        <v>3306</v>
      </c>
      <c r="E10" s="234" t="s">
        <v>19</v>
      </c>
      <c r="F10" s="234" t="s">
        <v>19</v>
      </c>
      <c r="G10" s="234" t="s">
        <v>19</v>
      </c>
      <c r="H10" s="234" t="s">
        <v>3307</v>
      </c>
      <c r="I10" s="234" t="s">
        <v>3308</v>
      </c>
      <c r="J10" s="234" t="s">
        <v>3309</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3310</v>
      </c>
      <c r="B11" s="234" t="s">
        <v>3311</v>
      </c>
      <c r="C11" s="234" t="s">
        <v>3312</v>
      </c>
      <c r="D11" s="234" t="s">
        <v>3313</v>
      </c>
      <c r="E11" s="234" t="s">
        <v>19</v>
      </c>
      <c r="F11" s="234" t="s">
        <v>19</v>
      </c>
      <c r="G11" s="234" t="s">
        <v>19</v>
      </c>
      <c r="H11" s="234" t="s">
        <v>3314</v>
      </c>
      <c r="I11" s="234" t="s">
        <v>19</v>
      </c>
      <c r="J11" s="234" t="s">
        <v>3315</v>
      </c>
      <c r="K11" s="237" t="str">
        <f>IF(COUNTIF(L11:AY11,"&lt;&gt;")=0,"",SUMPRODUCT(((Recommendations[ImplStatus]="Implemented")+(Recommendations[ImplStatus]="Compensated"))*ISNUMBER(MATCH(Recommendations[Id],L11:AY11,0)))/COUNTIF(L11:AY11,"&lt;&gt;"))</f>
        <v/>
      </c>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3316</v>
      </c>
      <c r="B12" s="234" t="s">
        <v>3317</v>
      </c>
      <c r="C12" s="234" t="s">
        <v>3318</v>
      </c>
      <c r="D12" s="234" t="s">
        <v>3319</v>
      </c>
      <c r="E12" s="234" t="s">
        <v>19</v>
      </c>
      <c r="F12" s="234" t="s">
        <v>19</v>
      </c>
      <c r="G12" s="234" t="s">
        <v>3320</v>
      </c>
      <c r="H12" s="234" t="s">
        <v>3321</v>
      </c>
      <c r="I12" s="234" t="s">
        <v>19</v>
      </c>
      <c r="J12" s="234" t="s">
        <v>3322</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3323</v>
      </c>
      <c r="B13" s="234" t="s">
        <v>3324</v>
      </c>
      <c r="C13" s="234" t="s">
        <v>3325</v>
      </c>
      <c r="D13" s="234" t="s">
        <v>3326</v>
      </c>
      <c r="E13" s="234" t="s">
        <v>19</v>
      </c>
      <c r="F13" s="234" t="s">
        <v>19</v>
      </c>
      <c r="G13" s="234" t="s">
        <v>19</v>
      </c>
      <c r="H13" s="234" t="s">
        <v>3327</v>
      </c>
      <c r="I13" s="234" t="s">
        <v>19</v>
      </c>
      <c r="J13" s="234" t="s">
        <v>3328</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3329</v>
      </c>
      <c r="B14" s="234" t="s">
        <v>3330</v>
      </c>
      <c r="C14" s="234" t="s">
        <v>3331</v>
      </c>
      <c r="D14" s="234" t="s">
        <v>3332</v>
      </c>
      <c r="E14" s="234" t="s">
        <v>19</v>
      </c>
      <c r="F14" s="234" t="s">
        <v>3333</v>
      </c>
      <c r="G14" s="234" t="s">
        <v>19</v>
      </c>
      <c r="H14" s="234" t="s">
        <v>3334</v>
      </c>
      <c r="I14" s="234" t="s">
        <v>3335</v>
      </c>
      <c r="J14" s="234" t="s">
        <v>3336</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505</v>
      </c>
      <c r="B15" s="233" t="s">
        <v>3337</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3338</v>
      </c>
      <c r="B16" s="234" t="s">
        <v>3339</v>
      </c>
      <c r="C16" s="234" t="s">
        <v>3340</v>
      </c>
      <c r="D16" s="234" t="s">
        <v>3332</v>
      </c>
      <c r="E16" s="234" t="s">
        <v>19</v>
      </c>
      <c r="F16" s="234" t="s">
        <v>3341</v>
      </c>
      <c r="G16" s="234" t="s">
        <v>19</v>
      </c>
      <c r="H16" s="234" t="s">
        <v>3342</v>
      </c>
      <c r="I16" s="234" t="s">
        <v>19</v>
      </c>
      <c r="J16" s="234" t="s">
        <v>3343</v>
      </c>
      <c r="K16" s="237" t="str">
        <f>IF(COUNTIF(L16:AY16,"&lt;&gt;")=0,"",SUMPRODUCT(((Recommendations[ImplStatus]="Implemented")+(Recommendations[ImplStatus]="Compensated"))*ISNUMBER(MATCH(Recommendations[Id],L16:AY16,0)))/COUNTIF(L16:AY16,"&lt;&gt;"))</f>
        <v/>
      </c>
      <c r="L16" s="240"/>
      <c r="M16" s="240"/>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3344</v>
      </c>
      <c r="B17" s="234" t="s">
        <v>3345</v>
      </c>
      <c r="C17" s="234" t="s">
        <v>3346</v>
      </c>
      <c r="D17" s="234" t="s">
        <v>3347</v>
      </c>
      <c r="E17" s="234" t="s">
        <v>19</v>
      </c>
      <c r="F17" s="234" t="s">
        <v>3341</v>
      </c>
      <c r="G17" s="234" t="s">
        <v>19</v>
      </c>
      <c r="H17" s="234" t="s">
        <v>3348</v>
      </c>
      <c r="I17" s="234" t="s">
        <v>19</v>
      </c>
      <c r="J17" s="234" t="s">
        <v>3349</v>
      </c>
      <c r="K17" s="237" t="str">
        <f>IF(COUNTIF(L17:AY17,"&lt;&gt;")=0,"",SUMPRODUCT(((Recommendations[ImplStatus]="Implemented")+(Recommendations[ImplStatus]="Compensated"))*ISNUMBER(MATCH(Recommendations[Id],L17:AY17,0)))/COUNTIF(L17:AY17,"&lt;&gt;"))</f>
        <v/>
      </c>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3350</v>
      </c>
      <c r="B18" s="234" t="s">
        <v>3351</v>
      </c>
      <c r="C18" s="234" t="s">
        <v>3352</v>
      </c>
      <c r="D18" s="234" t="s">
        <v>19</v>
      </c>
      <c r="E18" s="234" t="s">
        <v>19</v>
      </c>
      <c r="F18" s="234" t="s">
        <v>19</v>
      </c>
      <c r="G18" s="234" t="s">
        <v>19</v>
      </c>
      <c r="H18" s="234" t="s">
        <v>3353</v>
      </c>
      <c r="I18" s="234" t="s">
        <v>19</v>
      </c>
      <c r="J18" s="234" t="s">
        <v>3354</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510</v>
      </c>
      <c r="B19" s="233" t="s">
        <v>3355</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3356</v>
      </c>
      <c r="B20" s="234" t="s">
        <v>3357</v>
      </c>
      <c r="C20" s="234" t="s">
        <v>3358</v>
      </c>
      <c r="D20" s="234" t="s">
        <v>3359</v>
      </c>
      <c r="E20" s="234" t="s">
        <v>19</v>
      </c>
      <c r="F20" s="234" t="s">
        <v>3360</v>
      </c>
      <c r="G20" s="234" t="s">
        <v>19</v>
      </c>
      <c r="H20" s="234" t="s">
        <v>3361</v>
      </c>
      <c r="I20" s="234" t="s">
        <v>19</v>
      </c>
      <c r="J20" s="234" t="s">
        <v>3362</v>
      </c>
      <c r="K20" s="237" t="str">
        <f>IF(COUNTIF(L20:AY20,"&lt;&gt;")=0,"",SUMPRODUCT(((Recommendations[ImplStatus]="Implemented")+(Recommendations[ImplStatus]="Compensated"))*ISNUMBER(MATCH(Recommendations[Id],L20:AY20,0)))/COUNTIF(L20:AY20,"&lt;&gt;"))</f>
        <v/>
      </c>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3363</v>
      </c>
      <c r="B21" s="234" t="s">
        <v>3364</v>
      </c>
      <c r="C21" s="234" t="s">
        <v>3365</v>
      </c>
      <c r="D21" s="234" t="s">
        <v>3366</v>
      </c>
      <c r="E21" s="234" t="s">
        <v>3367</v>
      </c>
      <c r="F21" s="234" t="s">
        <v>19</v>
      </c>
      <c r="G21" s="234" t="s">
        <v>19</v>
      </c>
      <c r="H21" s="234" t="s">
        <v>3368</v>
      </c>
      <c r="I21" s="234" t="s">
        <v>3369</v>
      </c>
      <c r="J21" s="234" t="s">
        <v>3370</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3371</v>
      </c>
      <c r="B22" s="234" t="s">
        <v>3372</v>
      </c>
      <c r="C22" s="234" t="s">
        <v>3373</v>
      </c>
      <c r="D22" s="234" t="s">
        <v>3374</v>
      </c>
      <c r="E22" s="234" t="s">
        <v>19</v>
      </c>
      <c r="F22" s="234" t="s">
        <v>3375</v>
      </c>
      <c r="G22" s="234" t="s">
        <v>19</v>
      </c>
      <c r="H22" s="234" t="s">
        <v>3376</v>
      </c>
      <c r="I22" s="234" t="s">
        <v>19</v>
      </c>
      <c r="J22" s="234" t="s">
        <v>3377</v>
      </c>
      <c r="K22" s="237" t="str">
        <f>IF(COUNTIF(L22:AY22,"&lt;&gt;")=0,"",SUMPRODUCT(((Recommendations[ImplStatus]="Implemented")+(Recommendations[ImplStatus]="Compensated"))*ISNUMBER(MATCH(Recommendations[Id],L22:AY22,0)))/COUNTIF(L22:AY22,"&lt;&gt;"))</f>
        <v/>
      </c>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3378</v>
      </c>
      <c r="B23" s="234" t="s">
        <v>3379</v>
      </c>
      <c r="C23" s="234" t="s">
        <v>3380</v>
      </c>
      <c r="D23" s="234" t="s">
        <v>3381</v>
      </c>
      <c r="E23" s="234" t="s">
        <v>19</v>
      </c>
      <c r="F23" s="234" t="s">
        <v>19</v>
      </c>
      <c r="G23" s="234" t="s">
        <v>19</v>
      </c>
      <c r="H23" s="234" t="s">
        <v>3382</v>
      </c>
      <c r="I23" s="234" t="s">
        <v>3383</v>
      </c>
      <c r="J23" s="234" t="s">
        <v>3384</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3385</v>
      </c>
      <c r="B24" s="234" t="s">
        <v>3386</v>
      </c>
      <c r="C24" s="234" t="s">
        <v>3387</v>
      </c>
      <c r="D24" s="234" t="s">
        <v>3381</v>
      </c>
      <c r="E24" s="234" t="s">
        <v>19</v>
      </c>
      <c r="F24" s="234" t="s">
        <v>3388</v>
      </c>
      <c r="G24" s="234" t="s">
        <v>19</v>
      </c>
      <c r="H24" s="234" t="s">
        <v>3389</v>
      </c>
      <c r="I24" s="234" t="s">
        <v>19</v>
      </c>
      <c r="J24" s="234" t="s">
        <v>3390</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514</v>
      </c>
      <c r="B25" s="233" t="s">
        <v>3391</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3392</v>
      </c>
      <c r="B26" s="234" t="s">
        <v>3393</v>
      </c>
      <c r="C26" s="234" t="s">
        <v>3394</v>
      </c>
      <c r="D26" s="234" t="s">
        <v>3395</v>
      </c>
      <c r="E26" s="234" t="s">
        <v>19</v>
      </c>
      <c r="F26" s="234" t="s">
        <v>3396</v>
      </c>
      <c r="G26" s="234" t="s">
        <v>19</v>
      </c>
      <c r="H26" s="234" t="s">
        <v>3397</v>
      </c>
      <c r="I26" s="234" t="s">
        <v>19</v>
      </c>
      <c r="J26" s="234" t="s">
        <v>3398</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3399</v>
      </c>
      <c r="B27" s="232" t="s">
        <v>3400</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520</v>
      </c>
      <c r="B28" s="233" t="s">
        <v>3401</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3402</v>
      </c>
      <c r="B29" s="234" t="s">
        <v>3403</v>
      </c>
      <c r="C29" s="234" t="s">
        <v>3404</v>
      </c>
      <c r="D29" s="234" t="s">
        <v>3405</v>
      </c>
      <c r="E29" s="234" t="s">
        <v>3406</v>
      </c>
      <c r="F29" s="234" t="s">
        <v>19</v>
      </c>
      <c r="G29" s="234" t="s">
        <v>19</v>
      </c>
      <c r="H29" s="234" t="s">
        <v>3407</v>
      </c>
      <c r="I29" s="234" t="s">
        <v>19</v>
      </c>
      <c r="J29" s="234" t="s">
        <v>3408</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3409</v>
      </c>
      <c r="B30" s="234" t="s">
        <v>3410</v>
      </c>
      <c r="C30" s="234" t="s">
        <v>3275</v>
      </c>
      <c r="D30" s="234" t="s">
        <v>3276</v>
      </c>
      <c r="E30" s="234" t="s">
        <v>19</v>
      </c>
      <c r="F30" s="234" t="s">
        <v>3278</v>
      </c>
      <c r="G30" s="234" t="s">
        <v>19</v>
      </c>
      <c r="H30" s="234" t="s">
        <v>3411</v>
      </c>
      <c r="I30" s="234" t="s">
        <v>19</v>
      </c>
      <c r="J30" s="234" t="s">
        <v>3412</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525</v>
      </c>
      <c r="B31" s="233" t="s">
        <v>3413</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3414</v>
      </c>
      <c r="B32" s="234" t="s">
        <v>3415</v>
      </c>
      <c r="C32" s="234" t="s">
        <v>3416</v>
      </c>
      <c r="D32" s="234" t="s">
        <v>3417</v>
      </c>
      <c r="E32" s="234" t="s">
        <v>19</v>
      </c>
      <c r="F32" s="234" t="s">
        <v>19</v>
      </c>
      <c r="G32" s="234" t="s">
        <v>3418</v>
      </c>
      <c r="H32" s="234" t="s">
        <v>3419</v>
      </c>
      <c r="I32" s="234" t="s">
        <v>19</v>
      </c>
      <c r="J32" s="234" t="s">
        <v>3420</v>
      </c>
      <c r="K32" s="237">
        <f>IF(COUNTIF(L32:AY32,"&lt;&gt;")=0,"",SUMPRODUCT(((Recommendations[ImplStatus]="Implemented")+(Recommendations[ImplStatus]="Compensated"))*ISNUMBER(MATCH(Recommendations[Id],L32:AY32,0)))/COUNTIF(L32:AY32,"&lt;&gt;"))</f>
        <v>0</v>
      </c>
      <c r="L32" s="240" t="s">
        <v>199</v>
      </c>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3421</v>
      </c>
      <c r="B33" s="234" t="s">
        <v>3422</v>
      </c>
      <c r="C33" s="234" t="s">
        <v>3423</v>
      </c>
      <c r="D33" s="234" t="s">
        <v>3424</v>
      </c>
      <c r="E33" s="234" t="s">
        <v>19</v>
      </c>
      <c r="F33" s="234" t="s">
        <v>3425</v>
      </c>
      <c r="G33" s="234" t="s">
        <v>19</v>
      </c>
      <c r="H33" s="234" t="s">
        <v>3426</v>
      </c>
      <c r="I33" s="234" t="s">
        <v>3427</v>
      </c>
      <c r="J33" s="234" t="s">
        <v>3428</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3429</v>
      </c>
      <c r="B34" s="234" t="s">
        <v>3430</v>
      </c>
      <c r="C34" s="234" t="s">
        <v>3431</v>
      </c>
      <c r="D34" s="234" t="s">
        <v>3432</v>
      </c>
      <c r="E34" s="234" t="s">
        <v>19</v>
      </c>
      <c r="F34" s="234" t="s">
        <v>19</v>
      </c>
      <c r="G34" s="234" t="s">
        <v>19</v>
      </c>
      <c r="H34" s="234" t="s">
        <v>3433</v>
      </c>
      <c r="I34" s="234" t="s">
        <v>19</v>
      </c>
      <c r="J34" s="234" t="s">
        <v>3434</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3435</v>
      </c>
      <c r="B35" s="234" t="s">
        <v>3436</v>
      </c>
      <c r="C35" s="234" t="s">
        <v>3437</v>
      </c>
      <c r="D35" s="234" t="s">
        <v>3438</v>
      </c>
      <c r="E35" s="234" t="s">
        <v>19</v>
      </c>
      <c r="F35" s="234" t="s">
        <v>3439</v>
      </c>
      <c r="G35" s="234" t="s">
        <v>19</v>
      </c>
      <c r="H35" s="234" t="s">
        <v>3440</v>
      </c>
      <c r="I35" s="234" t="s">
        <v>19</v>
      </c>
      <c r="J35" s="234" t="s">
        <v>3441</v>
      </c>
      <c r="K35" s="237">
        <f>IF(COUNTIF(L35:AY35,"&lt;&gt;")=0,"",SUMPRODUCT(((Recommendations[ImplStatus]="Implemented")+(Recommendations[ImplStatus]="Compensated"))*ISNUMBER(MATCH(Recommendations[Id],L35:AY35,0)))/COUNTIF(L35:AY35,"&lt;&gt;"))</f>
        <v>0</v>
      </c>
      <c r="L35" s="240" t="s">
        <v>161</v>
      </c>
      <c r="M35" s="240"/>
      <c r="N35" s="240"/>
      <c r="O35" s="240"/>
      <c r="P35" s="240"/>
      <c r="Q35" s="240"/>
      <c r="R35" s="240"/>
      <c r="S35" s="240"/>
      <c r="T35" s="240"/>
      <c r="U35" s="240"/>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50"/>
    </row>
    <row r="36" spans="1:51" ht="60" customHeight="1" x14ac:dyDescent="0.35">
      <c r="A36" s="246" t="s">
        <v>3442</v>
      </c>
      <c r="B36" s="234" t="s">
        <v>3443</v>
      </c>
      <c r="C36" s="234" t="s">
        <v>3444</v>
      </c>
      <c r="D36" s="234" t="s">
        <v>3445</v>
      </c>
      <c r="E36" s="234" t="s">
        <v>19</v>
      </c>
      <c r="F36" s="234" t="s">
        <v>19</v>
      </c>
      <c r="G36" s="234" t="s">
        <v>3446</v>
      </c>
      <c r="H36" s="234" t="s">
        <v>3447</v>
      </c>
      <c r="I36" s="234" t="s">
        <v>19</v>
      </c>
      <c r="J36" s="234" t="s">
        <v>3448</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3449</v>
      </c>
      <c r="B37" s="234" t="s">
        <v>3450</v>
      </c>
      <c r="C37" s="234" t="s">
        <v>3451</v>
      </c>
      <c r="D37" s="234" t="s">
        <v>3452</v>
      </c>
      <c r="E37" s="234" t="s">
        <v>19</v>
      </c>
      <c r="F37" s="234" t="s">
        <v>3453</v>
      </c>
      <c r="G37" s="234" t="s">
        <v>3454</v>
      </c>
      <c r="H37" s="234" t="s">
        <v>3455</v>
      </c>
      <c r="I37" s="234" t="s">
        <v>19</v>
      </c>
      <c r="J37" s="234" t="s">
        <v>3456</v>
      </c>
      <c r="K37" s="237" t="str">
        <f>IF(COUNTIF(L37:AY37,"&lt;&gt;")=0,"",SUMPRODUCT(((Recommendations[ImplStatus]="Implemented")+(Recommendations[ImplStatus]="Compensated"))*ISNUMBER(MATCH(Recommendations[Id],L37:AY37,0)))/COUNTIF(L37:AY37,"&lt;&gt;"))</f>
        <v/>
      </c>
      <c r="L37" s="240"/>
      <c r="M37" s="240"/>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50"/>
    </row>
    <row r="38" spans="1:51" ht="60" customHeight="1" x14ac:dyDescent="0.35">
      <c r="A38" s="246" t="s">
        <v>3457</v>
      </c>
      <c r="B38" s="234" t="s">
        <v>3458</v>
      </c>
      <c r="C38" s="234" t="s">
        <v>3459</v>
      </c>
      <c r="D38" s="234" t="s">
        <v>3460</v>
      </c>
      <c r="E38" s="234" t="s">
        <v>19</v>
      </c>
      <c r="F38" s="234" t="s">
        <v>3453</v>
      </c>
      <c r="G38" s="234" t="s">
        <v>3461</v>
      </c>
      <c r="H38" s="234" t="s">
        <v>3462</v>
      </c>
      <c r="I38" s="234" t="s">
        <v>3463</v>
      </c>
      <c r="J38" s="234" t="s">
        <v>3464</v>
      </c>
      <c r="K38" s="237" t="str">
        <f>IF(COUNTIF(L38:AY38,"&lt;&gt;")=0,"",SUMPRODUCT(((Recommendations[ImplStatus]="Implemented")+(Recommendations[ImplStatus]="Compensated"))*ISNUMBER(MATCH(Recommendations[Id],L38:AY38,0)))/COUNTIF(L38:AY38,"&lt;&gt;"))</f>
        <v/>
      </c>
      <c r="L38" s="240"/>
      <c r="M38" s="240"/>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529</v>
      </c>
      <c r="B39" s="233" t="s">
        <v>3465</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3466</v>
      </c>
      <c r="B40" s="234" t="s">
        <v>3467</v>
      </c>
      <c r="C40" s="234" t="s">
        <v>3468</v>
      </c>
      <c r="D40" s="234" t="s">
        <v>3469</v>
      </c>
      <c r="E40" s="234" t="s">
        <v>19</v>
      </c>
      <c r="F40" s="234" t="s">
        <v>19</v>
      </c>
      <c r="G40" s="234" t="s">
        <v>19</v>
      </c>
      <c r="H40" s="234" t="s">
        <v>3470</v>
      </c>
      <c r="I40" s="234" t="s">
        <v>3471</v>
      </c>
      <c r="J40" s="234" t="s">
        <v>3472</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3473</v>
      </c>
      <c r="B41" s="234" t="s">
        <v>3474</v>
      </c>
      <c r="C41" s="234" t="s">
        <v>3475</v>
      </c>
      <c r="D41" s="234" t="s">
        <v>19</v>
      </c>
      <c r="E41" s="234" t="s">
        <v>19</v>
      </c>
      <c r="F41" s="234" t="s">
        <v>19</v>
      </c>
      <c r="G41" s="234" t="s">
        <v>19</v>
      </c>
      <c r="H41" s="234" t="s">
        <v>3476</v>
      </c>
      <c r="I41" s="234" t="s">
        <v>19</v>
      </c>
      <c r="J41" s="234" t="s">
        <v>3477</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3478</v>
      </c>
      <c r="B42" s="232" t="s">
        <v>3479</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552</v>
      </c>
      <c r="B43" s="233" t="s">
        <v>3480</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3481</v>
      </c>
      <c r="B44" s="234" t="s">
        <v>3482</v>
      </c>
      <c r="C44" s="234" t="s">
        <v>3483</v>
      </c>
      <c r="D44" s="234" t="s">
        <v>3484</v>
      </c>
      <c r="E44" s="234" t="s">
        <v>3270</v>
      </c>
      <c r="F44" s="234" t="s">
        <v>19</v>
      </c>
      <c r="G44" s="234" t="s">
        <v>19</v>
      </c>
      <c r="H44" s="234" t="s">
        <v>3485</v>
      </c>
      <c r="I44" s="234" t="s">
        <v>19</v>
      </c>
      <c r="J44" s="234" t="s">
        <v>3486</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3487</v>
      </c>
      <c r="B45" s="234" t="s">
        <v>3488</v>
      </c>
      <c r="C45" s="234" t="s">
        <v>3489</v>
      </c>
      <c r="D45" s="234" t="s">
        <v>3276</v>
      </c>
      <c r="E45" s="234" t="s">
        <v>19</v>
      </c>
      <c r="F45" s="234" t="s">
        <v>3278</v>
      </c>
      <c r="G45" s="234" t="s">
        <v>19</v>
      </c>
      <c r="H45" s="234" t="s">
        <v>3490</v>
      </c>
      <c r="I45" s="234" t="s">
        <v>19</v>
      </c>
      <c r="J45" s="234" t="s">
        <v>3491</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558</v>
      </c>
      <c r="B46" s="233" t="s">
        <v>3492</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3493</v>
      </c>
      <c r="B47" s="234" t="s">
        <v>3494</v>
      </c>
      <c r="C47" s="234" t="s">
        <v>3495</v>
      </c>
      <c r="D47" s="234" t="s">
        <v>3496</v>
      </c>
      <c r="E47" s="234" t="s">
        <v>19</v>
      </c>
      <c r="F47" s="234" t="s">
        <v>3497</v>
      </c>
      <c r="G47" s="234" t="s">
        <v>3498</v>
      </c>
      <c r="H47" s="234" t="s">
        <v>3499</v>
      </c>
      <c r="I47" s="234" t="s">
        <v>3500</v>
      </c>
      <c r="J47" s="234" t="s">
        <v>3501</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562</v>
      </c>
      <c r="B48" s="233" t="s">
        <v>3502</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3503</v>
      </c>
      <c r="B49" s="234" t="s">
        <v>3504</v>
      </c>
      <c r="C49" s="234" t="s">
        <v>3505</v>
      </c>
      <c r="D49" s="234" t="s">
        <v>3506</v>
      </c>
      <c r="E49" s="234" t="s">
        <v>3507</v>
      </c>
      <c r="F49" s="234" t="s">
        <v>19</v>
      </c>
      <c r="G49" s="234" t="s">
        <v>19</v>
      </c>
      <c r="H49" s="234" t="s">
        <v>3508</v>
      </c>
      <c r="I49" s="234" t="s">
        <v>3509</v>
      </c>
      <c r="J49" s="234" t="s">
        <v>3510</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3511</v>
      </c>
      <c r="B50" s="234" t="s">
        <v>3512</v>
      </c>
      <c r="C50" s="234" t="s">
        <v>3513</v>
      </c>
      <c r="D50" s="234" t="s">
        <v>19</v>
      </c>
      <c r="E50" s="234" t="s">
        <v>3514</v>
      </c>
      <c r="F50" s="234" t="s">
        <v>3515</v>
      </c>
      <c r="G50" s="234" t="s">
        <v>19</v>
      </c>
      <c r="H50" s="234" t="s">
        <v>3508</v>
      </c>
      <c r="I50" s="234" t="s">
        <v>3516</v>
      </c>
      <c r="J50" s="234" t="s">
        <v>3517</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3518</v>
      </c>
      <c r="B51" s="234" t="s">
        <v>3519</v>
      </c>
      <c r="C51" s="234" t="s">
        <v>3520</v>
      </c>
      <c r="D51" s="234" t="s">
        <v>19</v>
      </c>
      <c r="E51" s="234" t="s">
        <v>19</v>
      </c>
      <c r="F51" s="234" t="s">
        <v>3521</v>
      </c>
      <c r="G51" s="234" t="s">
        <v>19</v>
      </c>
      <c r="H51" s="234" t="s">
        <v>3508</v>
      </c>
      <c r="I51" s="234" t="s">
        <v>3522</v>
      </c>
      <c r="J51" s="234" t="s">
        <v>3523</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3524</v>
      </c>
      <c r="B52" s="234" t="s">
        <v>3525</v>
      </c>
      <c r="C52" s="234" t="s">
        <v>3526</v>
      </c>
      <c r="D52" s="234" t="s">
        <v>19</v>
      </c>
      <c r="E52" s="234" t="s">
        <v>19</v>
      </c>
      <c r="F52" s="234" t="s">
        <v>3527</v>
      </c>
      <c r="G52" s="234" t="s">
        <v>19</v>
      </c>
      <c r="H52" s="234" t="s">
        <v>3508</v>
      </c>
      <c r="I52" s="234" t="s">
        <v>3528</v>
      </c>
      <c r="J52" s="234" t="s">
        <v>3529</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3530</v>
      </c>
      <c r="B53" s="234" t="s">
        <v>3531</v>
      </c>
      <c r="C53" s="234" t="s">
        <v>3532</v>
      </c>
      <c r="D53" s="234" t="s">
        <v>3533</v>
      </c>
      <c r="E53" s="234" t="s">
        <v>3534</v>
      </c>
      <c r="F53" s="234" t="s">
        <v>19</v>
      </c>
      <c r="G53" s="234" t="s">
        <v>19</v>
      </c>
      <c r="H53" s="234" t="s">
        <v>3535</v>
      </c>
      <c r="I53" s="234" t="s">
        <v>19</v>
      </c>
      <c r="J53" s="234" t="s">
        <v>3536</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3537</v>
      </c>
      <c r="B54" s="234" t="s">
        <v>3538</v>
      </c>
      <c r="C54" s="234" t="s">
        <v>3532</v>
      </c>
      <c r="D54" s="234" t="s">
        <v>3533</v>
      </c>
      <c r="E54" s="234" t="s">
        <v>19</v>
      </c>
      <c r="F54" s="234" t="s">
        <v>19</v>
      </c>
      <c r="G54" s="234" t="s">
        <v>19</v>
      </c>
      <c r="H54" s="234" t="s">
        <v>3539</v>
      </c>
      <c r="I54" s="234" t="s">
        <v>3540</v>
      </c>
      <c r="J54" s="234" t="s">
        <v>3541</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566</v>
      </c>
      <c r="B55" s="233" t="s">
        <v>3542</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3543</v>
      </c>
      <c r="B56" s="234" t="s">
        <v>3544</v>
      </c>
      <c r="C56" s="234" t="s">
        <v>3545</v>
      </c>
      <c r="D56" s="234" t="s">
        <v>3546</v>
      </c>
      <c r="E56" s="234" t="s">
        <v>3547</v>
      </c>
      <c r="F56" s="234" t="s">
        <v>19</v>
      </c>
      <c r="G56" s="234" t="s">
        <v>3548</v>
      </c>
      <c r="H56" s="234" t="s">
        <v>19</v>
      </c>
      <c r="I56" s="234" t="s">
        <v>19</v>
      </c>
      <c r="J56" s="234" t="s">
        <v>3549</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3550</v>
      </c>
      <c r="B57" s="234" t="s">
        <v>3551</v>
      </c>
      <c r="C57" s="234" t="s">
        <v>3552</v>
      </c>
      <c r="D57" s="234" t="s">
        <v>3553</v>
      </c>
      <c r="E57" s="234" t="s">
        <v>3554</v>
      </c>
      <c r="F57" s="234" t="s">
        <v>19</v>
      </c>
      <c r="G57" s="234" t="s">
        <v>3555</v>
      </c>
      <c r="H57" s="234" t="s">
        <v>3556</v>
      </c>
      <c r="I57" s="234" t="s">
        <v>19</v>
      </c>
      <c r="J57" s="234" t="s">
        <v>3557</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570</v>
      </c>
      <c r="B58" s="233" t="s">
        <v>3558</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3559</v>
      </c>
      <c r="B59" s="234" t="s">
        <v>3560</v>
      </c>
      <c r="C59" s="234" t="s">
        <v>3561</v>
      </c>
      <c r="D59" s="234" t="s">
        <v>3562</v>
      </c>
      <c r="E59" s="234" t="s">
        <v>19</v>
      </c>
      <c r="F59" s="234" t="s">
        <v>19</v>
      </c>
      <c r="G59" s="234" t="s">
        <v>3563</v>
      </c>
      <c r="H59" s="234" t="s">
        <v>3564</v>
      </c>
      <c r="I59" s="234" t="s">
        <v>3565</v>
      </c>
      <c r="J59" s="234" t="s">
        <v>3566</v>
      </c>
      <c r="K59" s="237" t="str">
        <f>IF(COUNTIF(L59:AY59,"&lt;&gt;")=0,"",SUMPRODUCT(((Recommendations[ImplStatus]="Implemented")+(Recommendations[ImplStatus]="Compensated"))*ISNUMBER(MATCH(Recommendations[Id],L59:AY59,0)))/COUNTIF(L59:AY59,"&lt;&gt;"))</f>
        <v/>
      </c>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3567</v>
      </c>
      <c r="B60" s="234" t="s">
        <v>3568</v>
      </c>
      <c r="C60" s="234" t="s">
        <v>3569</v>
      </c>
      <c r="D60" s="234" t="s">
        <v>19</v>
      </c>
      <c r="E60" s="234" t="s">
        <v>3570</v>
      </c>
      <c r="F60" s="234" t="s">
        <v>3571</v>
      </c>
      <c r="G60" s="234" t="s">
        <v>19</v>
      </c>
      <c r="H60" s="234" t="s">
        <v>3572</v>
      </c>
      <c r="I60" s="234" t="s">
        <v>3573</v>
      </c>
      <c r="J60" s="234" t="s">
        <v>3574</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3575</v>
      </c>
      <c r="B61" s="234" t="s">
        <v>3576</v>
      </c>
      <c r="C61" s="234" t="s">
        <v>3577</v>
      </c>
      <c r="D61" s="234" t="s">
        <v>19</v>
      </c>
      <c r="E61" s="234" t="s">
        <v>19</v>
      </c>
      <c r="F61" s="234" t="s">
        <v>19</v>
      </c>
      <c r="G61" s="234" t="s">
        <v>3578</v>
      </c>
      <c r="H61" s="234" t="s">
        <v>3579</v>
      </c>
      <c r="I61" s="234" t="s">
        <v>3580</v>
      </c>
      <c r="J61" s="234" t="s">
        <v>3581</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3582</v>
      </c>
      <c r="B62" s="234" t="s">
        <v>3583</v>
      </c>
      <c r="C62" s="234" t="s">
        <v>3584</v>
      </c>
      <c r="D62" s="234" t="s">
        <v>3585</v>
      </c>
      <c r="E62" s="234" t="s">
        <v>19</v>
      </c>
      <c r="F62" s="234" t="s">
        <v>19</v>
      </c>
      <c r="G62" s="234" t="s">
        <v>19</v>
      </c>
      <c r="H62" s="234" t="s">
        <v>3586</v>
      </c>
      <c r="I62" s="234" t="s">
        <v>3587</v>
      </c>
      <c r="J62" s="234" t="s">
        <v>3588</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574</v>
      </c>
      <c r="B63" s="233" t="s">
        <v>3589</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3590</v>
      </c>
      <c r="B64" s="234" t="s">
        <v>3591</v>
      </c>
      <c r="C64" s="234" t="s">
        <v>3592</v>
      </c>
      <c r="D64" s="234" t="s">
        <v>3593</v>
      </c>
      <c r="E64" s="234" t="s">
        <v>19</v>
      </c>
      <c r="F64" s="234" t="s">
        <v>19</v>
      </c>
      <c r="G64" s="234" t="s">
        <v>3594</v>
      </c>
      <c r="H64" s="234" t="s">
        <v>3595</v>
      </c>
      <c r="I64" s="234" t="s">
        <v>3596</v>
      </c>
      <c r="J64" s="234" t="s">
        <v>3597</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3598</v>
      </c>
      <c r="B65" s="234" t="s">
        <v>3599</v>
      </c>
      <c r="C65" s="234" t="s">
        <v>3600</v>
      </c>
      <c r="D65" s="234" t="s">
        <v>3601</v>
      </c>
      <c r="E65" s="234" t="s">
        <v>19</v>
      </c>
      <c r="F65" s="234" t="s">
        <v>19</v>
      </c>
      <c r="G65" s="234" t="s">
        <v>19</v>
      </c>
      <c r="H65" s="234" t="s">
        <v>3602</v>
      </c>
      <c r="I65" s="234" t="s">
        <v>3603</v>
      </c>
      <c r="J65" s="234" t="s">
        <v>3604</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3605</v>
      </c>
      <c r="B66" s="234" t="s">
        <v>3606</v>
      </c>
      <c r="C66" s="234" t="s">
        <v>3607</v>
      </c>
      <c r="D66" s="234" t="s">
        <v>3608</v>
      </c>
      <c r="E66" s="234" t="s">
        <v>19</v>
      </c>
      <c r="F66" s="234" t="s">
        <v>19</v>
      </c>
      <c r="G66" s="234" t="s">
        <v>19</v>
      </c>
      <c r="H66" s="234" t="s">
        <v>3609</v>
      </c>
      <c r="I66" s="234" t="s">
        <v>3610</v>
      </c>
      <c r="J66" s="234" t="s">
        <v>3611</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3612</v>
      </c>
      <c r="B67" s="234" t="s">
        <v>3613</v>
      </c>
      <c r="C67" s="234" t="s">
        <v>3614</v>
      </c>
      <c r="D67" s="234" t="s">
        <v>3615</v>
      </c>
      <c r="E67" s="234" t="s">
        <v>19</v>
      </c>
      <c r="F67" s="234" t="s">
        <v>19</v>
      </c>
      <c r="G67" s="234" t="s">
        <v>19</v>
      </c>
      <c r="H67" s="234" t="s">
        <v>3616</v>
      </c>
      <c r="I67" s="234" t="s">
        <v>19</v>
      </c>
      <c r="J67" s="234" t="s">
        <v>3617</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3618</v>
      </c>
      <c r="B68" s="234" t="s">
        <v>3619</v>
      </c>
      <c r="C68" s="234" t="s">
        <v>3620</v>
      </c>
      <c r="D68" s="234" t="s">
        <v>19</v>
      </c>
      <c r="E68" s="234" t="s">
        <v>19</v>
      </c>
      <c r="F68" s="234" t="s">
        <v>19</v>
      </c>
      <c r="G68" s="234" t="s">
        <v>19</v>
      </c>
      <c r="H68" s="234" t="s">
        <v>3621</v>
      </c>
      <c r="I68" s="234" t="s">
        <v>19</v>
      </c>
      <c r="J68" s="234" t="s">
        <v>3622</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578</v>
      </c>
      <c r="B69" s="233" t="s">
        <v>3623</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3624</v>
      </c>
      <c r="B70" s="234" t="s">
        <v>3625</v>
      </c>
      <c r="C70" s="234" t="s">
        <v>3626</v>
      </c>
      <c r="D70" s="234" t="s">
        <v>19</v>
      </c>
      <c r="E70" s="234" t="s">
        <v>19</v>
      </c>
      <c r="F70" s="234" t="s">
        <v>19</v>
      </c>
      <c r="G70" s="234" t="s">
        <v>3627</v>
      </c>
      <c r="H70" s="234" t="s">
        <v>3628</v>
      </c>
      <c r="I70" s="234" t="s">
        <v>19</v>
      </c>
      <c r="J70" s="234" t="s">
        <v>3629</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3630</v>
      </c>
      <c r="B71" s="234" t="s">
        <v>3631</v>
      </c>
      <c r="C71" s="234" t="s">
        <v>3632</v>
      </c>
      <c r="D71" s="234" t="s">
        <v>19</v>
      </c>
      <c r="E71" s="234" t="s">
        <v>19</v>
      </c>
      <c r="F71" s="234" t="s">
        <v>19</v>
      </c>
      <c r="G71" s="234" t="s">
        <v>19</v>
      </c>
      <c r="H71" s="234" t="s">
        <v>3633</v>
      </c>
      <c r="I71" s="234" t="s">
        <v>19</v>
      </c>
      <c r="J71" s="234" t="s">
        <v>3634</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3635</v>
      </c>
      <c r="B72" s="234" t="s">
        <v>3636</v>
      </c>
      <c r="C72" s="234" t="s">
        <v>3637</v>
      </c>
      <c r="D72" s="234" t="s">
        <v>3638</v>
      </c>
      <c r="E72" s="234" t="s">
        <v>3639</v>
      </c>
      <c r="F72" s="234" t="s">
        <v>19</v>
      </c>
      <c r="G72" s="234" t="s">
        <v>19</v>
      </c>
      <c r="H72" s="234" t="s">
        <v>3640</v>
      </c>
      <c r="I72" s="234" t="s">
        <v>19</v>
      </c>
      <c r="J72" s="234" t="s">
        <v>3641</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3642</v>
      </c>
      <c r="B73" s="234" t="s">
        <v>3643</v>
      </c>
      <c r="C73" s="234" t="s">
        <v>3644</v>
      </c>
      <c r="D73" s="234" t="s">
        <v>3645</v>
      </c>
      <c r="E73" s="234" t="s">
        <v>3639</v>
      </c>
      <c r="F73" s="234" t="s">
        <v>19</v>
      </c>
      <c r="G73" s="234" t="s">
        <v>3646</v>
      </c>
      <c r="H73" s="234" t="s">
        <v>3647</v>
      </c>
      <c r="I73" s="234" t="s">
        <v>19</v>
      </c>
      <c r="J73" s="234" t="s">
        <v>3648</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3649</v>
      </c>
      <c r="B74" s="234" t="s">
        <v>3650</v>
      </c>
      <c r="C74" s="234" t="s">
        <v>3651</v>
      </c>
      <c r="D74" s="234" t="s">
        <v>3645</v>
      </c>
      <c r="E74" s="234" t="s">
        <v>3652</v>
      </c>
      <c r="F74" s="234" t="s">
        <v>19</v>
      </c>
      <c r="G74" s="234" t="s">
        <v>3653</v>
      </c>
      <c r="H74" s="234" t="s">
        <v>3654</v>
      </c>
      <c r="I74" s="234" t="s">
        <v>3655</v>
      </c>
      <c r="J74" s="234" t="s">
        <v>3656</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3657</v>
      </c>
      <c r="B75" s="234" t="s">
        <v>3658</v>
      </c>
      <c r="C75" s="234" t="s">
        <v>3659</v>
      </c>
      <c r="D75" s="234" t="s">
        <v>3660</v>
      </c>
      <c r="E75" s="234" t="s">
        <v>3652</v>
      </c>
      <c r="F75" s="234" t="s">
        <v>3661</v>
      </c>
      <c r="G75" s="234" t="s">
        <v>3662</v>
      </c>
      <c r="H75" s="234" t="s">
        <v>3663</v>
      </c>
      <c r="I75" s="234" t="s">
        <v>3664</v>
      </c>
      <c r="J75" s="234" t="s">
        <v>3665</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3666</v>
      </c>
      <c r="B76" s="234" t="s">
        <v>3667</v>
      </c>
      <c r="C76" s="234" t="s">
        <v>3668</v>
      </c>
      <c r="D76" s="234" t="s">
        <v>3669</v>
      </c>
      <c r="E76" s="234" t="s">
        <v>19</v>
      </c>
      <c r="F76" s="234" t="s">
        <v>19</v>
      </c>
      <c r="G76" s="234" t="s">
        <v>19</v>
      </c>
      <c r="H76" s="234" t="s">
        <v>3670</v>
      </c>
      <c r="I76" s="234" t="s">
        <v>19</v>
      </c>
      <c r="J76" s="234" t="s">
        <v>19</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3671</v>
      </c>
      <c r="B77" s="234" t="s">
        <v>3672</v>
      </c>
      <c r="C77" s="234" t="s">
        <v>3673</v>
      </c>
      <c r="D77" s="234" t="s">
        <v>19</v>
      </c>
      <c r="E77" s="234" t="s">
        <v>19</v>
      </c>
      <c r="F77" s="234" t="s">
        <v>19</v>
      </c>
      <c r="G77" s="234" t="s">
        <v>3674</v>
      </c>
      <c r="H77" s="234" t="s">
        <v>3675</v>
      </c>
      <c r="I77" s="234" t="s">
        <v>19</v>
      </c>
      <c r="J77" s="234" t="s">
        <v>3676</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3677</v>
      </c>
      <c r="B78" s="234" t="s">
        <v>3678</v>
      </c>
      <c r="C78" s="234" t="s">
        <v>3679</v>
      </c>
      <c r="D78" s="234" t="s">
        <v>19</v>
      </c>
      <c r="E78" s="234" t="s">
        <v>19</v>
      </c>
      <c r="F78" s="234" t="s">
        <v>19</v>
      </c>
      <c r="G78" s="234" t="s">
        <v>3680</v>
      </c>
      <c r="H78" s="234" t="s">
        <v>3681</v>
      </c>
      <c r="I78" s="234" t="s">
        <v>3682</v>
      </c>
      <c r="J78" s="234" t="s">
        <v>3683</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3684</v>
      </c>
      <c r="B79" s="232" t="s">
        <v>3685</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612</v>
      </c>
      <c r="B80" s="233" t="s">
        <v>3686</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3687</v>
      </c>
      <c r="B81" s="234" t="s">
        <v>3688</v>
      </c>
      <c r="C81" s="234" t="s">
        <v>3689</v>
      </c>
      <c r="D81" s="234" t="s">
        <v>3484</v>
      </c>
      <c r="E81" s="234" t="s">
        <v>3690</v>
      </c>
      <c r="F81" s="234" t="s">
        <v>19</v>
      </c>
      <c r="G81" s="234" t="s">
        <v>19</v>
      </c>
      <c r="H81" s="234" t="s">
        <v>3691</v>
      </c>
      <c r="I81" s="234" t="s">
        <v>19</v>
      </c>
      <c r="J81" s="234" t="s">
        <v>3692</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3693</v>
      </c>
      <c r="B82" s="234" t="s">
        <v>3694</v>
      </c>
      <c r="C82" s="234" t="s">
        <v>3275</v>
      </c>
      <c r="D82" s="234" t="s">
        <v>3276</v>
      </c>
      <c r="E82" s="234" t="s">
        <v>19</v>
      </c>
      <c r="F82" s="234" t="s">
        <v>3278</v>
      </c>
      <c r="G82" s="234" t="s">
        <v>19</v>
      </c>
      <c r="H82" s="234" t="s">
        <v>3695</v>
      </c>
      <c r="I82" s="234" t="s">
        <v>19</v>
      </c>
      <c r="J82" s="234" t="s">
        <v>3696</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617</v>
      </c>
      <c r="B83" s="233" t="s">
        <v>3697</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3698</v>
      </c>
      <c r="B84" s="234" t="s">
        <v>3699</v>
      </c>
      <c r="C84" s="234" t="s">
        <v>3700</v>
      </c>
      <c r="D84" s="234" t="s">
        <v>3701</v>
      </c>
      <c r="E84" s="234" t="s">
        <v>19</v>
      </c>
      <c r="F84" s="234" t="s">
        <v>3702</v>
      </c>
      <c r="G84" s="234" t="s">
        <v>3703</v>
      </c>
      <c r="H84" s="234" t="s">
        <v>3704</v>
      </c>
      <c r="I84" s="234" t="s">
        <v>3705</v>
      </c>
      <c r="J84" s="234" t="s">
        <v>3706</v>
      </c>
      <c r="K84" s="237" t="str">
        <f>IF(COUNTIF(L84:AY84,"&lt;&gt;")=0,"",SUMPRODUCT(((Recommendations[ImplStatus]="Implemented")+(Recommendations[ImplStatus]="Compensated"))*ISNUMBER(MATCH(Recommendations[Id],L84:AY84,0)))/COUNTIF(L84:AY84,"&lt;&gt;"))</f>
        <v/>
      </c>
      <c r="L84" s="240"/>
      <c r="M84" s="240"/>
      <c r="N84" s="240"/>
      <c r="O84" s="240"/>
      <c r="P84" s="240"/>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3707</v>
      </c>
      <c r="B85" s="234" t="s">
        <v>3708</v>
      </c>
      <c r="C85" s="234" t="s">
        <v>3709</v>
      </c>
      <c r="D85" s="234" t="s">
        <v>3710</v>
      </c>
      <c r="E85" s="234" t="s">
        <v>19</v>
      </c>
      <c r="F85" s="234" t="s">
        <v>19</v>
      </c>
      <c r="G85" s="234" t="s">
        <v>19</v>
      </c>
      <c r="H85" s="234" t="s">
        <v>3711</v>
      </c>
      <c r="I85" s="234" t="s">
        <v>3712</v>
      </c>
      <c r="J85" s="234" t="s">
        <v>3713</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3714</v>
      </c>
      <c r="B86" s="234" t="s">
        <v>3715</v>
      </c>
      <c r="C86" s="234" t="s">
        <v>3716</v>
      </c>
      <c r="D86" s="234" t="s">
        <v>3717</v>
      </c>
      <c r="E86" s="234" t="s">
        <v>19</v>
      </c>
      <c r="F86" s="234" t="s">
        <v>19</v>
      </c>
      <c r="G86" s="234" t="s">
        <v>3718</v>
      </c>
      <c r="H86" s="234" t="s">
        <v>3719</v>
      </c>
      <c r="I86" s="234" t="s">
        <v>19</v>
      </c>
      <c r="J86" s="234" t="s">
        <v>3720</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3721</v>
      </c>
      <c r="B87" s="234" t="s">
        <v>3722</v>
      </c>
      <c r="C87" s="234" t="s">
        <v>3723</v>
      </c>
      <c r="D87" s="234" t="s">
        <v>3724</v>
      </c>
      <c r="E87" s="234" t="s">
        <v>19</v>
      </c>
      <c r="F87" s="234" t="s">
        <v>3725</v>
      </c>
      <c r="G87" s="234" t="s">
        <v>19</v>
      </c>
      <c r="H87" s="234" t="s">
        <v>3726</v>
      </c>
      <c r="I87" s="234" t="s">
        <v>3727</v>
      </c>
      <c r="J87" s="234" t="s">
        <v>3728</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3729</v>
      </c>
      <c r="B88" s="232" t="s">
        <v>3730</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664</v>
      </c>
      <c r="B89" s="233" t="s">
        <v>3731</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3732</v>
      </c>
      <c r="B90" s="234" t="s">
        <v>3733</v>
      </c>
      <c r="C90" s="234" t="s">
        <v>3734</v>
      </c>
      <c r="D90" s="234" t="s">
        <v>3484</v>
      </c>
      <c r="E90" s="234" t="s">
        <v>3270</v>
      </c>
      <c r="F90" s="234" t="s">
        <v>19</v>
      </c>
      <c r="G90" s="234" t="s">
        <v>19</v>
      </c>
      <c r="H90" s="234" t="s">
        <v>3735</v>
      </c>
      <c r="I90" s="234" t="s">
        <v>19</v>
      </c>
      <c r="J90" s="234" t="s">
        <v>3736</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3737</v>
      </c>
      <c r="B91" s="234" t="s">
        <v>3738</v>
      </c>
      <c r="C91" s="234" t="s">
        <v>3739</v>
      </c>
      <c r="D91" s="234" t="s">
        <v>3276</v>
      </c>
      <c r="E91" s="234" t="s">
        <v>19</v>
      </c>
      <c r="F91" s="234" t="s">
        <v>3278</v>
      </c>
      <c r="G91" s="234" t="s">
        <v>19</v>
      </c>
      <c r="H91" s="234" t="s">
        <v>3740</v>
      </c>
      <c r="I91" s="234" t="s">
        <v>19</v>
      </c>
      <c r="J91" s="234" t="s">
        <v>3741</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668</v>
      </c>
      <c r="B92" s="233" t="s">
        <v>3742</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3743</v>
      </c>
      <c r="B93" s="234" t="s">
        <v>3744</v>
      </c>
      <c r="C93" s="234" t="s">
        <v>3745</v>
      </c>
      <c r="D93" s="234" t="s">
        <v>3746</v>
      </c>
      <c r="E93" s="234" t="s">
        <v>3747</v>
      </c>
      <c r="F93" s="234" t="s">
        <v>19</v>
      </c>
      <c r="G93" s="234" t="s">
        <v>19</v>
      </c>
      <c r="H93" s="234" t="s">
        <v>3748</v>
      </c>
      <c r="I93" s="234" t="s">
        <v>19</v>
      </c>
      <c r="J93" s="234" t="s">
        <v>3749</v>
      </c>
      <c r="K93" s="237" t="str">
        <f>IF(COUNTIF(L93:AY93,"&lt;&gt;")=0,"",SUMPRODUCT(((Recommendations[ImplStatus]="Implemented")+(Recommendations[ImplStatus]="Compensated"))*ISNUMBER(MATCH(Recommendations[Id],L93:AY93,0)))/COUNTIF(L93:AY93,"&lt;&gt;"))</f>
        <v/>
      </c>
      <c r="L93" s="240"/>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3750</v>
      </c>
      <c r="B94" s="234" t="s">
        <v>3751</v>
      </c>
      <c r="C94" s="234" t="s">
        <v>3752</v>
      </c>
      <c r="D94" s="234" t="s">
        <v>3753</v>
      </c>
      <c r="E94" s="234" t="s">
        <v>19</v>
      </c>
      <c r="F94" s="234" t="s">
        <v>3754</v>
      </c>
      <c r="G94" s="234" t="s">
        <v>19</v>
      </c>
      <c r="H94" s="234" t="s">
        <v>3755</v>
      </c>
      <c r="I94" s="234" t="s">
        <v>19</v>
      </c>
      <c r="J94" s="234" t="s">
        <v>19</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3756</v>
      </c>
      <c r="B95" s="234" t="s">
        <v>3757</v>
      </c>
      <c r="C95" s="234" t="s">
        <v>3758</v>
      </c>
      <c r="D95" s="234" t="s">
        <v>3759</v>
      </c>
      <c r="E95" s="234" t="s">
        <v>19</v>
      </c>
      <c r="F95" s="234" t="s">
        <v>19</v>
      </c>
      <c r="G95" s="234" t="s">
        <v>19</v>
      </c>
      <c r="H95" s="234" t="s">
        <v>3760</v>
      </c>
      <c r="I95" s="234" t="s">
        <v>3761</v>
      </c>
      <c r="J95" s="234" t="s">
        <v>3762</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3763</v>
      </c>
      <c r="B96" s="234" t="s">
        <v>3764</v>
      </c>
      <c r="C96" s="234" t="s">
        <v>3765</v>
      </c>
      <c r="D96" s="234" t="s">
        <v>19</v>
      </c>
      <c r="E96" s="234" t="s">
        <v>19</v>
      </c>
      <c r="F96" s="234" t="s">
        <v>19</v>
      </c>
      <c r="G96" s="234" t="s">
        <v>19</v>
      </c>
      <c r="H96" s="234" t="s">
        <v>3766</v>
      </c>
      <c r="I96" s="234" t="s">
        <v>3712</v>
      </c>
      <c r="J96" s="234" t="s">
        <v>3767</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672</v>
      </c>
      <c r="B97" s="233" t="s">
        <v>3768</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3769</v>
      </c>
      <c r="B98" s="234" t="s">
        <v>3770</v>
      </c>
      <c r="C98" s="234" t="s">
        <v>3771</v>
      </c>
      <c r="D98" s="234" t="s">
        <v>3772</v>
      </c>
      <c r="E98" s="234" t="s">
        <v>19</v>
      </c>
      <c r="F98" s="234" t="s">
        <v>19</v>
      </c>
      <c r="G98" s="234" t="s">
        <v>19</v>
      </c>
      <c r="H98" s="234" t="s">
        <v>3773</v>
      </c>
      <c r="I98" s="234" t="s">
        <v>19</v>
      </c>
      <c r="J98" s="234" t="s">
        <v>3774</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3775</v>
      </c>
      <c r="B99" s="234" t="s">
        <v>3776</v>
      </c>
      <c r="C99" s="234" t="s">
        <v>3777</v>
      </c>
      <c r="D99" s="234" t="s">
        <v>3778</v>
      </c>
      <c r="E99" s="234" t="s">
        <v>3779</v>
      </c>
      <c r="F99" s="234" t="s">
        <v>19</v>
      </c>
      <c r="G99" s="234" t="s">
        <v>19</v>
      </c>
      <c r="H99" s="234" t="s">
        <v>3780</v>
      </c>
      <c r="I99" s="234" t="s">
        <v>19</v>
      </c>
      <c r="J99" s="234" t="s">
        <v>3781</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3782</v>
      </c>
      <c r="B100" s="234" t="s">
        <v>3783</v>
      </c>
      <c r="C100" s="234" t="s">
        <v>3784</v>
      </c>
      <c r="D100" s="234" t="s">
        <v>19</v>
      </c>
      <c r="E100" s="234" t="s">
        <v>19</v>
      </c>
      <c r="F100" s="234" t="s">
        <v>19</v>
      </c>
      <c r="G100" s="234" t="s">
        <v>19</v>
      </c>
      <c r="H100" s="234" t="s">
        <v>3785</v>
      </c>
      <c r="I100" s="234" t="s">
        <v>3786</v>
      </c>
      <c r="J100" s="234" t="s">
        <v>3787</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3788</v>
      </c>
      <c r="B101" s="234" t="s">
        <v>3789</v>
      </c>
      <c r="C101" s="234" t="s">
        <v>3790</v>
      </c>
      <c r="D101" s="234" t="s">
        <v>19</v>
      </c>
      <c r="E101" s="234" t="s">
        <v>19</v>
      </c>
      <c r="F101" s="234" t="s">
        <v>19</v>
      </c>
      <c r="G101" s="234" t="s">
        <v>19</v>
      </c>
      <c r="H101" s="234" t="s">
        <v>3791</v>
      </c>
      <c r="I101" s="234" t="s">
        <v>3712</v>
      </c>
      <c r="J101" s="234" t="s">
        <v>3792</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3793</v>
      </c>
      <c r="B102" s="234" t="s">
        <v>3794</v>
      </c>
      <c r="C102" s="234" t="s">
        <v>3795</v>
      </c>
      <c r="D102" s="234" t="s">
        <v>3796</v>
      </c>
      <c r="E102" s="234" t="s">
        <v>19</v>
      </c>
      <c r="F102" s="234" t="s">
        <v>19</v>
      </c>
      <c r="G102" s="234" t="s">
        <v>19</v>
      </c>
      <c r="H102" s="234" t="s">
        <v>3797</v>
      </c>
      <c r="I102" s="234" t="s">
        <v>19</v>
      </c>
      <c r="J102" s="234" t="s">
        <v>3798</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3799</v>
      </c>
      <c r="B103" s="234" t="s">
        <v>3800</v>
      </c>
      <c r="C103" s="234" t="s">
        <v>3801</v>
      </c>
      <c r="D103" s="234" t="s">
        <v>3796</v>
      </c>
      <c r="E103" s="234" t="s">
        <v>19</v>
      </c>
      <c r="F103" s="234" t="s">
        <v>3802</v>
      </c>
      <c r="G103" s="234" t="s">
        <v>19</v>
      </c>
      <c r="H103" s="234" t="s">
        <v>3803</v>
      </c>
      <c r="I103" s="234" t="s">
        <v>3804</v>
      </c>
      <c r="J103" s="234" t="s">
        <v>3805</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676</v>
      </c>
      <c r="B104" s="233" t="s">
        <v>3806</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3807</v>
      </c>
      <c r="B105" s="234" t="s">
        <v>3808</v>
      </c>
      <c r="C105" s="234" t="s">
        <v>3809</v>
      </c>
      <c r="D105" s="234" t="s">
        <v>3810</v>
      </c>
      <c r="E105" s="234" t="s">
        <v>3811</v>
      </c>
      <c r="F105" s="234" t="s">
        <v>19</v>
      </c>
      <c r="G105" s="234" t="s">
        <v>19</v>
      </c>
      <c r="H105" s="234" t="s">
        <v>3812</v>
      </c>
      <c r="I105" s="234" t="s">
        <v>3813</v>
      </c>
      <c r="J105" s="234" t="s">
        <v>3814</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3815</v>
      </c>
      <c r="B106" s="232" t="s">
        <v>3816</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690</v>
      </c>
      <c r="B107" s="233" t="s">
        <v>3817</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3818</v>
      </c>
      <c r="B108" s="234" t="s">
        <v>3819</v>
      </c>
      <c r="C108" s="234" t="s">
        <v>3820</v>
      </c>
      <c r="D108" s="234" t="s">
        <v>3484</v>
      </c>
      <c r="E108" s="234" t="s">
        <v>3270</v>
      </c>
      <c r="F108" s="234" t="s">
        <v>19</v>
      </c>
      <c r="G108" s="234" t="s">
        <v>19</v>
      </c>
      <c r="H108" s="234" t="s">
        <v>3821</v>
      </c>
      <c r="I108" s="234" t="s">
        <v>19</v>
      </c>
      <c r="J108" s="234" t="s">
        <v>3822</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3823</v>
      </c>
      <c r="B109" s="234" t="s">
        <v>3824</v>
      </c>
      <c r="C109" s="234" t="s">
        <v>3825</v>
      </c>
      <c r="D109" s="234" t="s">
        <v>3276</v>
      </c>
      <c r="E109" s="234" t="s">
        <v>19</v>
      </c>
      <c r="F109" s="234" t="s">
        <v>3278</v>
      </c>
      <c r="G109" s="234" t="s">
        <v>19</v>
      </c>
      <c r="H109" s="234" t="s">
        <v>3826</v>
      </c>
      <c r="I109" s="234" t="s">
        <v>19</v>
      </c>
      <c r="J109" s="234" t="s">
        <v>3827</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694</v>
      </c>
      <c r="B110" s="233" t="s">
        <v>3828</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3829</v>
      </c>
      <c r="B111" s="234" t="s">
        <v>3830</v>
      </c>
      <c r="C111" s="234" t="s">
        <v>3831</v>
      </c>
      <c r="D111" s="234" t="s">
        <v>3832</v>
      </c>
      <c r="E111" s="234" t="s">
        <v>19</v>
      </c>
      <c r="F111" s="234" t="s">
        <v>3833</v>
      </c>
      <c r="G111" s="234" t="s">
        <v>19</v>
      </c>
      <c r="H111" s="234" t="s">
        <v>3834</v>
      </c>
      <c r="I111" s="234" t="s">
        <v>3835</v>
      </c>
      <c r="J111" s="234" t="s">
        <v>3836</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3837</v>
      </c>
      <c r="B112" s="234" t="s">
        <v>3838</v>
      </c>
      <c r="C112" s="234" t="s">
        <v>3839</v>
      </c>
      <c r="D112" s="234" t="s">
        <v>3840</v>
      </c>
      <c r="E112" s="234" t="s">
        <v>19</v>
      </c>
      <c r="F112" s="234" t="s">
        <v>19</v>
      </c>
      <c r="G112" s="234" t="s">
        <v>19</v>
      </c>
      <c r="H112" s="234" t="s">
        <v>3841</v>
      </c>
      <c r="I112" s="234" t="s">
        <v>19</v>
      </c>
      <c r="J112" s="234" t="s">
        <v>3842</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3843</v>
      </c>
      <c r="B113" s="234" t="s">
        <v>3844</v>
      </c>
      <c r="C113" s="234" t="s">
        <v>3845</v>
      </c>
      <c r="D113" s="234" t="s">
        <v>3846</v>
      </c>
      <c r="E113" s="234" t="s">
        <v>19</v>
      </c>
      <c r="F113" s="234" t="s">
        <v>19</v>
      </c>
      <c r="G113" s="234" t="s">
        <v>19</v>
      </c>
      <c r="H113" s="234" t="s">
        <v>3847</v>
      </c>
      <c r="I113" s="234" t="s">
        <v>3848</v>
      </c>
      <c r="J113" s="234" t="s">
        <v>3849</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3850</v>
      </c>
      <c r="B114" s="234" t="s">
        <v>3851</v>
      </c>
      <c r="C114" s="234" t="s">
        <v>3852</v>
      </c>
      <c r="D114" s="234" t="s">
        <v>3853</v>
      </c>
      <c r="E114" s="234" t="s">
        <v>19</v>
      </c>
      <c r="F114" s="234" t="s">
        <v>19</v>
      </c>
      <c r="G114" s="234" t="s">
        <v>3854</v>
      </c>
      <c r="H114" s="234" t="s">
        <v>3855</v>
      </c>
      <c r="I114" s="234" t="s">
        <v>3856</v>
      </c>
      <c r="J114" s="234" t="s">
        <v>3857</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3858</v>
      </c>
      <c r="B115" s="234" t="s">
        <v>3859</v>
      </c>
      <c r="C115" s="234" t="s">
        <v>3860</v>
      </c>
      <c r="D115" s="234" t="s">
        <v>3861</v>
      </c>
      <c r="E115" s="234" t="s">
        <v>19</v>
      </c>
      <c r="F115" s="234" t="s">
        <v>3862</v>
      </c>
      <c r="G115" s="234" t="s">
        <v>19</v>
      </c>
      <c r="H115" s="234" t="s">
        <v>3863</v>
      </c>
      <c r="I115" s="234" t="s">
        <v>3863</v>
      </c>
      <c r="J115" s="234" t="s">
        <v>3864</v>
      </c>
      <c r="K115" s="237" t="str">
        <f>IF(COUNTIF(L115:AY115,"&lt;&gt;")=0,"",SUMPRODUCT(((Recommendations[ImplStatus]="Implemented")+(Recommendations[ImplStatus]="Compensated"))*ISNUMBER(MATCH(Recommendations[Id],L115:AY115,0)))/COUNTIF(L115:AY115,"&lt;&gt;"))</f>
        <v/>
      </c>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698</v>
      </c>
      <c r="B116" s="233" t="s">
        <v>3865</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3866</v>
      </c>
      <c r="B117" s="234" t="s">
        <v>3867</v>
      </c>
      <c r="C117" s="234" t="s">
        <v>3868</v>
      </c>
      <c r="D117" s="234" t="s">
        <v>3869</v>
      </c>
      <c r="E117" s="234" t="s">
        <v>19</v>
      </c>
      <c r="F117" s="234" t="s">
        <v>3870</v>
      </c>
      <c r="G117" s="234" t="s">
        <v>3871</v>
      </c>
      <c r="H117" s="234" t="s">
        <v>3872</v>
      </c>
      <c r="I117" s="234" t="s">
        <v>3873</v>
      </c>
      <c r="J117" s="234" t="s">
        <v>3874</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3875</v>
      </c>
      <c r="B118" s="234" t="s">
        <v>3876</v>
      </c>
      <c r="C118" s="234" t="s">
        <v>3877</v>
      </c>
      <c r="D118" s="234" t="s">
        <v>3878</v>
      </c>
      <c r="E118" s="234" t="s">
        <v>19</v>
      </c>
      <c r="F118" s="234" t="s">
        <v>19</v>
      </c>
      <c r="G118" s="234" t="s">
        <v>19</v>
      </c>
      <c r="H118" s="234" t="s">
        <v>3879</v>
      </c>
      <c r="I118" s="234" t="s">
        <v>3712</v>
      </c>
      <c r="J118" s="234" t="s">
        <v>3880</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3881</v>
      </c>
      <c r="B119" s="234" t="s">
        <v>3882</v>
      </c>
      <c r="C119" s="234" t="s">
        <v>3883</v>
      </c>
      <c r="D119" s="234" t="s">
        <v>3884</v>
      </c>
      <c r="E119" s="234" t="s">
        <v>19</v>
      </c>
      <c r="F119" s="234" t="s">
        <v>3885</v>
      </c>
      <c r="G119" s="234" t="s">
        <v>19</v>
      </c>
      <c r="H119" s="234" t="s">
        <v>3886</v>
      </c>
      <c r="I119" s="234" t="s">
        <v>3887</v>
      </c>
      <c r="J119" s="234" t="s">
        <v>3888</v>
      </c>
      <c r="K119" s="237" t="str">
        <f>IF(COUNTIF(L119:AY119,"&lt;&gt;")=0,"",SUMPRODUCT(((Recommendations[ImplStatus]="Implemented")+(Recommendations[ImplStatus]="Compensated"))*ISNUMBER(MATCH(Recommendations[Id],L119:AY119,0)))/COUNTIF(L119:AY119,"&lt;&gt;"))</f>
        <v/>
      </c>
      <c r="L119" s="240"/>
      <c r="M119" s="240"/>
      <c r="N119" s="240"/>
      <c r="O119" s="240"/>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702</v>
      </c>
      <c r="B120" s="233" t="s">
        <v>3889</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3890</v>
      </c>
      <c r="B121" s="234" t="s">
        <v>3891</v>
      </c>
      <c r="C121" s="234" t="s">
        <v>19</v>
      </c>
      <c r="D121" s="234" t="s">
        <v>19</v>
      </c>
      <c r="E121" s="234" t="s">
        <v>19</v>
      </c>
      <c r="F121" s="234" t="s">
        <v>19</v>
      </c>
      <c r="G121" s="234" t="s">
        <v>19</v>
      </c>
      <c r="H121" s="234" t="s">
        <v>19</v>
      </c>
      <c r="I121" s="234" t="s">
        <v>19</v>
      </c>
      <c r="J121" s="234" t="s">
        <v>19</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3892</v>
      </c>
      <c r="B122" s="234" t="s">
        <v>3893</v>
      </c>
      <c r="C122" s="234" t="s">
        <v>3894</v>
      </c>
      <c r="D122" s="234" t="s">
        <v>3895</v>
      </c>
      <c r="E122" s="234" t="s">
        <v>19</v>
      </c>
      <c r="F122" s="234" t="s">
        <v>3896</v>
      </c>
      <c r="G122" s="234" t="s">
        <v>19</v>
      </c>
      <c r="H122" s="234" t="s">
        <v>3897</v>
      </c>
      <c r="I122" s="234" t="s">
        <v>3898</v>
      </c>
      <c r="J122" s="234" t="s">
        <v>3899</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3900</v>
      </c>
      <c r="B123" s="234" t="s">
        <v>3901</v>
      </c>
      <c r="C123" s="234" t="s">
        <v>3902</v>
      </c>
      <c r="D123" s="234" t="s">
        <v>3903</v>
      </c>
      <c r="E123" s="234" t="s">
        <v>19</v>
      </c>
      <c r="F123" s="234" t="s">
        <v>3904</v>
      </c>
      <c r="G123" s="234" t="s">
        <v>19</v>
      </c>
      <c r="H123" s="234" t="s">
        <v>3905</v>
      </c>
      <c r="I123" s="234" t="s">
        <v>19</v>
      </c>
      <c r="J123" s="234" t="s">
        <v>3906</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706</v>
      </c>
      <c r="B124" s="233" t="s">
        <v>3907</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3908</v>
      </c>
      <c r="B125" s="234" t="s">
        <v>3909</v>
      </c>
      <c r="C125" s="234" t="s">
        <v>3910</v>
      </c>
      <c r="D125" s="234" t="s">
        <v>3911</v>
      </c>
      <c r="E125" s="234" t="s">
        <v>19</v>
      </c>
      <c r="F125" s="234" t="s">
        <v>19</v>
      </c>
      <c r="G125" s="234" t="s">
        <v>19</v>
      </c>
      <c r="H125" s="234" t="s">
        <v>3912</v>
      </c>
      <c r="I125" s="234" t="s">
        <v>19</v>
      </c>
      <c r="J125" s="234" t="s">
        <v>3913</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3914</v>
      </c>
      <c r="B126" s="234" t="s">
        <v>3915</v>
      </c>
      <c r="C126" s="234" t="s">
        <v>3916</v>
      </c>
      <c r="D126" s="234" t="s">
        <v>3917</v>
      </c>
      <c r="E126" s="234" t="s">
        <v>19</v>
      </c>
      <c r="F126" s="234" t="s">
        <v>3918</v>
      </c>
      <c r="G126" s="234" t="s">
        <v>19</v>
      </c>
      <c r="H126" s="234" t="s">
        <v>3919</v>
      </c>
      <c r="I126" s="234" t="s">
        <v>3920</v>
      </c>
      <c r="J126" s="234" t="s">
        <v>3921</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3922</v>
      </c>
      <c r="B127" s="234" t="s">
        <v>3923</v>
      </c>
      <c r="C127" s="234" t="s">
        <v>3924</v>
      </c>
      <c r="D127" s="234" t="s">
        <v>3925</v>
      </c>
      <c r="E127" s="234" t="s">
        <v>3926</v>
      </c>
      <c r="F127" s="234" t="s">
        <v>19</v>
      </c>
      <c r="G127" s="234" t="s">
        <v>19</v>
      </c>
      <c r="H127" s="234" t="s">
        <v>3927</v>
      </c>
      <c r="I127" s="234" t="s">
        <v>19</v>
      </c>
      <c r="J127" s="234" t="s">
        <v>3928</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3929</v>
      </c>
      <c r="B128" s="234" t="s">
        <v>3930</v>
      </c>
      <c r="C128" s="234" t="s">
        <v>3931</v>
      </c>
      <c r="D128" s="234" t="s">
        <v>19</v>
      </c>
      <c r="E128" s="234" t="s">
        <v>19</v>
      </c>
      <c r="F128" s="234" t="s">
        <v>19</v>
      </c>
      <c r="G128" s="234" t="s">
        <v>19</v>
      </c>
      <c r="H128" s="234" t="s">
        <v>3932</v>
      </c>
      <c r="I128" s="234" t="s">
        <v>3933</v>
      </c>
      <c r="J128" s="234" t="s">
        <v>3934</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3935</v>
      </c>
      <c r="B129" s="234" t="s">
        <v>3936</v>
      </c>
      <c r="C129" s="234" t="s">
        <v>3937</v>
      </c>
      <c r="D129" s="234" t="s">
        <v>19</v>
      </c>
      <c r="E129" s="234" t="s">
        <v>3938</v>
      </c>
      <c r="F129" s="234" t="s">
        <v>19</v>
      </c>
      <c r="G129" s="234" t="s">
        <v>19</v>
      </c>
      <c r="H129" s="234" t="s">
        <v>3939</v>
      </c>
      <c r="I129" s="234" t="s">
        <v>19</v>
      </c>
      <c r="J129" s="234" t="s">
        <v>3940</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3941</v>
      </c>
      <c r="B130" s="234" t="s">
        <v>3942</v>
      </c>
      <c r="C130" s="234" t="s">
        <v>3943</v>
      </c>
      <c r="D130" s="234" t="s">
        <v>19</v>
      </c>
      <c r="E130" s="234" t="s">
        <v>19</v>
      </c>
      <c r="F130" s="234" t="s">
        <v>19</v>
      </c>
      <c r="G130" s="234" t="s">
        <v>19</v>
      </c>
      <c r="H130" s="234" t="s">
        <v>3944</v>
      </c>
      <c r="I130" s="234" t="s">
        <v>19</v>
      </c>
      <c r="J130" s="234" t="s">
        <v>3945</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3946</v>
      </c>
      <c r="B131" s="232" t="s">
        <v>3947</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724</v>
      </c>
      <c r="B132" s="233" t="s">
        <v>3948</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3949</v>
      </c>
      <c r="B133" s="234" t="s">
        <v>3950</v>
      </c>
      <c r="C133" s="234" t="s">
        <v>3951</v>
      </c>
      <c r="D133" s="234" t="s">
        <v>3484</v>
      </c>
      <c r="E133" s="234" t="s">
        <v>3270</v>
      </c>
      <c r="F133" s="234" t="s">
        <v>19</v>
      </c>
      <c r="G133" s="234" t="s">
        <v>19</v>
      </c>
      <c r="H133" s="234" t="s">
        <v>3952</v>
      </c>
      <c r="I133" s="234" t="s">
        <v>19</v>
      </c>
      <c r="J133" s="234" t="s">
        <v>3953</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3954</v>
      </c>
      <c r="B134" s="234" t="s">
        <v>3955</v>
      </c>
      <c r="C134" s="234" t="s">
        <v>3489</v>
      </c>
      <c r="D134" s="234" t="s">
        <v>3276</v>
      </c>
      <c r="E134" s="234" t="s">
        <v>19</v>
      </c>
      <c r="F134" s="234" t="s">
        <v>3278</v>
      </c>
      <c r="G134" s="234" t="s">
        <v>19</v>
      </c>
      <c r="H134" s="234" t="s">
        <v>3956</v>
      </c>
      <c r="I134" s="234" t="s">
        <v>19</v>
      </c>
      <c r="J134" s="234" t="s">
        <v>3957</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728</v>
      </c>
      <c r="B135" s="233" t="s">
        <v>3958</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3959</v>
      </c>
      <c r="B136" s="234" t="s">
        <v>3960</v>
      </c>
      <c r="C136" s="234" t="s">
        <v>3961</v>
      </c>
      <c r="D136" s="234" t="s">
        <v>3962</v>
      </c>
      <c r="E136" s="234" t="s">
        <v>3963</v>
      </c>
      <c r="F136" s="234" t="s">
        <v>3964</v>
      </c>
      <c r="G136" s="234" t="s">
        <v>19</v>
      </c>
      <c r="H136" s="234" t="s">
        <v>3965</v>
      </c>
      <c r="I136" s="234" t="s">
        <v>19</v>
      </c>
      <c r="J136" s="234" t="s">
        <v>3966</v>
      </c>
      <c r="K136" s="237" t="str">
        <f>IF(COUNTIF(L136:AY136,"&lt;&gt;")=0,"",SUMPRODUCT(((Recommendations[ImplStatus]="Implemented")+(Recommendations[ImplStatus]="Compensated"))*ISNUMBER(MATCH(Recommendations[Id],L136:AY136,0)))/COUNTIF(L136:AY136,"&lt;&gt;"))</f>
        <v/>
      </c>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3967</v>
      </c>
      <c r="B137" s="234" t="s">
        <v>3968</v>
      </c>
      <c r="C137" s="234" t="s">
        <v>3969</v>
      </c>
      <c r="D137" s="234" t="s">
        <v>3970</v>
      </c>
      <c r="E137" s="234" t="s">
        <v>19</v>
      </c>
      <c r="F137" s="234" t="s">
        <v>19</v>
      </c>
      <c r="G137" s="234" t="s">
        <v>19</v>
      </c>
      <c r="H137" s="234" t="s">
        <v>3971</v>
      </c>
      <c r="I137" s="234" t="s">
        <v>19</v>
      </c>
      <c r="J137" s="234" t="s">
        <v>3972</v>
      </c>
      <c r="K137" s="237" t="str">
        <f>IF(COUNTIF(L137:AY137,"&lt;&gt;")=0,"",SUMPRODUCT(((Recommendations[ImplStatus]="Implemented")+(Recommendations[ImplStatus]="Compensated"))*ISNUMBER(MATCH(Recommendations[Id],L137:AY137,0)))/COUNTIF(L137:AY137,"&lt;&gt;"))</f>
        <v/>
      </c>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3973</v>
      </c>
      <c r="B138" s="234" t="s">
        <v>3974</v>
      </c>
      <c r="C138" s="234" t="s">
        <v>3975</v>
      </c>
      <c r="D138" s="234" t="s">
        <v>19</v>
      </c>
      <c r="E138" s="234" t="s">
        <v>19</v>
      </c>
      <c r="F138" s="234" t="s">
        <v>19</v>
      </c>
      <c r="G138" s="234" t="s">
        <v>19</v>
      </c>
      <c r="H138" s="234" t="s">
        <v>3976</v>
      </c>
      <c r="I138" s="234" t="s">
        <v>19</v>
      </c>
      <c r="J138" s="234" t="s">
        <v>3977</v>
      </c>
      <c r="K138" s="237" t="str">
        <f>IF(COUNTIF(L138:AY138,"&lt;&gt;")=0,"",SUMPRODUCT(((Recommendations[ImplStatus]="Implemented")+(Recommendations[ImplStatus]="Compensated"))*ISNUMBER(MATCH(Recommendations[Id],L138:AY138,0)))/COUNTIF(L138:AY138,"&lt;&gt;"))</f>
        <v/>
      </c>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3978</v>
      </c>
      <c r="B139" s="234" t="s">
        <v>3979</v>
      </c>
      <c r="C139" s="234" t="s">
        <v>3980</v>
      </c>
      <c r="D139" s="234" t="s">
        <v>3981</v>
      </c>
      <c r="E139" s="234" t="s">
        <v>19</v>
      </c>
      <c r="F139" s="234" t="s">
        <v>19</v>
      </c>
      <c r="G139" s="234" t="s">
        <v>19</v>
      </c>
      <c r="H139" s="234" t="s">
        <v>3982</v>
      </c>
      <c r="I139" s="234" t="s">
        <v>3983</v>
      </c>
      <c r="J139" s="234" t="s">
        <v>3984</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3985</v>
      </c>
      <c r="B140" s="234" t="s">
        <v>3986</v>
      </c>
      <c r="C140" s="234" t="s">
        <v>3987</v>
      </c>
      <c r="D140" s="234" t="s">
        <v>3988</v>
      </c>
      <c r="E140" s="234" t="s">
        <v>19</v>
      </c>
      <c r="F140" s="234" t="s">
        <v>19</v>
      </c>
      <c r="G140" s="234" t="s">
        <v>19</v>
      </c>
      <c r="H140" s="234" t="s">
        <v>3989</v>
      </c>
      <c r="I140" s="234" t="s">
        <v>3712</v>
      </c>
      <c r="J140" s="234" t="s">
        <v>3990</v>
      </c>
      <c r="K140" s="237" t="str">
        <f>IF(COUNTIF(L140:AY140,"&lt;&gt;")=0,"",SUMPRODUCT(((Recommendations[ImplStatus]="Implemented")+(Recommendations[ImplStatus]="Compensated"))*ISNUMBER(MATCH(Recommendations[Id],L140:AY140,0)))/COUNTIF(L140:AY140,"&lt;&gt;"))</f>
        <v/>
      </c>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3991</v>
      </c>
      <c r="B141" s="234" t="s">
        <v>3992</v>
      </c>
      <c r="C141" s="234" t="s">
        <v>3993</v>
      </c>
      <c r="D141" s="234" t="s">
        <v>19</v>
      </c>
      <c r="E141" s="234" t="s">
        <v>3994</v>
      </c>
      <c r="F141" s="234" t="s">
        <v>19</v>
      </c>
      <c r="G141" s="234" t="s">
        <v>19</v>
      </c>
      <c r="H141" s="234" t="s">
        <v>3995</v>
      </c>
      <c r="I141" s="234" t="s">
        <v>3712</v>
      </c>
      <c r="J141" s="234" t="s">
        <v>3996</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3997</v>
      </c>
      <c r="B142" s="234" t="s">
        <v>3998</v>
      </c>
      <c r="C142" s="234" t="s">
        <v>3999</v>
      </c>
      <c r="D142" s="234" t="s">
        <v>4000</v>
      </c>
      <c r="E142" s="234" t="s">
        <v>3994</v>
      </c>
      <c r="F142" s="234" t="s">
        <v>19</v>
      </c>
      <c r="G142" s="234" t="s">
        <v>19</v>
      </c>
      <c r="H142" s="234" t="s">
        <v>4001</v>
      </c>
      <c r="I142" s="234" t="s">
        <v>4002</v>
      </c>
      <c r="J142" s="234" t="s">
        <v>4003</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732</v>
      </c>
      <c r="B143" s="233" t="s">
        <v>4004</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4005</v>
      </c>
      <c r="B144" s="234" t="s">
        <v>4006</v>
      </c>
      <c r="C144" s="234" t="s">
        <v>4007</v>
      </c>
      <c r="D144" s="234" t="s">
        <v>19</v>
      </c>
      <c r="E144" s="234" t="s">
        <v>19</v>
      </c>
      <c r="F144" s="234" t="s">
        <v>19</v>
      </c>
      <c r="G144" s="234" t="s">
        <v>19</v>
      </c>
      <c r="H144" s="234" t="s">
        <v>4008</v>
      </c>
      <c r="I144" s="234" t="s">
        <v>19</v>
      </c>
      <c r="J144" s="234" t="s">
        <v>4009</v>
      </c>
      <c r="K144" s="237" t="str">
        <f>IF(COUNTIF(L144:AY144,"&lt;&gt;")=0,"",SUMPRODUCT(((Recommendations[ImplStatus]="Implemented")+(Recommendations[ImplStatus]="Compensated"))*ISNUMBER(MATCH(Recommendations[Id],L144:AY144,0)))/COUNTIF(L144:AY144,"&lt;&gt;"))</f>
        <v/>
      </c>
      <c r="L144" s="240"/>
      <c r="M144" s="240"/>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4010</v>
      </c>
      <c r="B145" s="234" t="s">
        <v>4011</v>
      </c>
      <c r="C145" s="234" t="s">
        <v>4012</v>
      </c>
      <c r="D145" s="234" t="s">
        <v>19</v>
      </c>
      <c r="E145" s="234" t="s">
        <v>19</v>
      </c>
      <c r="F145" s="234" t="s">
        <v>19</v>
      </c>
      <c r="G145" s="234" t="s">
        <v>19</v>
      </c>
      <c r="H145" s="234" t="s">
        <v>4013</v>
      </c>
      <c r="I145" s="234" t="s">
        <v>19</v>
      </c>
      <c r="J145" s="234" t="s">
        <v>4014</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4015</v>
      </c>
      <c r="B146" s="234" t="s">
        <v>4016</v>
      </c>
      <c r="C146" s="234" t="s">
        <v>4017</v>
      </c>
      <c r="D146" s="234" t="s">
        <v>4018</v>
      </c>
      <c r="E146" s="234" t="s">
        <v>19</v>
      </c>
      <c r="F146" s="234" t="s">
        <v>19</v>
      </c>
      <c r="G146" s="234" t="s">
        <v>19</v>
      </c>
      <c r="H146" s="234" t="s">
        <v>4019</v>
      </c>
      <c r="I146" s="234" t="s">
        <v>19</v>
      </c>
      <c r="J146" s="234" t="s">
        <v>4020</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4021</v>
      </c>
      <c r="B147" s="232" t="s">
        <v>4022</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754</v>
      </c>
      <c r="B148" s="233" t="s">
        <v>4023</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4024</v>
      </c>
      <c r="B149" s="234" t="s">
        <v>4025</v>
      </c>
      <c r="C149" s="234" t="s">
        <v>4026</v>
      </c>
      <c r="D149" s="234" t="s">
        <v>3484</v>
      </c>
      <c r="E149" s="234" t="s">
        <v>3270</v>
      </c>
      <c r="F149" s="234" t="s">
        <v>19</v>
      </c>
      <c r="G149" s="234" t="s">
        <v>19</v>
      </c>
      <c r="H149" s="234" t="s">
        <v>4027</v>
      </c>
      <c r="I149" s="234" t="s">
        <v>19</v>
      </c>
      <c r="J149" s="234" t="s">
        <v>4028</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4029</v>
      </c>
      <c r="B150" s="234" t="s">
        <v>4030</v>
      </c>
      <c r="C150" s="234" t="s">
        <v>3275</v>
      </c>
      <c r="D150" s="234" t="s">
        <v>3276</v>
      </c>
      <c r="E150" s="234" t="s">
        <v>19</v>
      </c>
      <c r="F150" s="234" t="s">
        <v>3278</v>
      </c>
      <c r="G150" s="234" t="s">
        <v>19</v>
      </c>
      <c r="H150" s="234" t="s">
        <v>4031</v>
      </c>
      <c r="I150" s="234" t="s">
        <v>19</v>
      </c>
      <c r="J150" s="234" t="s">
        <v>4032</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758</v>
      </c>
      <c r="B151" s="233" t="s">
        <v>4033</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4034</v>
      </c>
      <c r="B152" s="234" t="s">
        <v>4035</v>
      </c>
      <c r="C152" s="234" t="s">
        <v>4036</v>
      </c>
      <c r="D152" s="234" t="s">
        <v>19</v>
      </c>
      <c r="E152" s="234" t="s">
        <v>19</v>
      </c>
      <c r="F152" s="234" t="s">
        <v>19</v>
      </c>
      <c r="G152" s="234" t="s">
        <v>19</v>
      </c>
      <c r="H152" s="234" t="s">
        <v>4037</v>
      </c>
      <c r="I152" s="234" t="s">
        <v>4038</v>
      </c>
      <c r="J152" s="234" t="s">
        <v>4039</v>
      </c>
      <c r="K152" s="237" t="str">
        <f>IF(COUNTIF(L152:AY152,"&lt;&gt;")=0,"",SUMPRODUCT(((Recommendations[ImplStatus]="Implemented")+(Recommendations[ImplStatus]="Compensated"))*ISNUMBER(MATCH(Recommendations[Id],L152:AY152,0)))/COUNTIF(L152:AY152,"&lt;&gt;"))</f>
        <v/>
      </c>
      <c r="L152" s="240"/>
      <c r="M152" s="240"/>
      <c r="N152" s="240"/>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4040</v>
      </c>
      <c r="B153" s="234" t="s">
        <v>4041</v>
      </c>
      <c r="C153" s="234" t="s">
        <v>4042</v>
      </c>
      <c r="D153" s="234" t="s">
        <v>4043</v>
      </c>
      <c r="E153" s="234" t="s">
        <v>19</v>
      </c>
      <c r="F153" s="234" t="s">
        <v>4044</v>
      </c>
      <c r="G153" s="234" t="s">
        <v>19</v>
      </c>
      <c r="H153" s="234" t="s">
        <v>4045</v>
      </c>
      <c r="I153" s="234" t="s">
        <v>4046</v>
      </c>
      <c r="J153" s="234" t="s">
        <v>4047</v>
      </c>
      <c r="K153" s="237" t="str">
        <f>IF(COUNTIF(L153:AY153,"&lt;&gt;")=0,"",SUMPRODUCT(((Recommendations[ImplStatus]="Implemented")+(Recommendations[ImplStatus]="Compensated"))*ISNUMBER(MATCH(Recommendations[Id],L153:AY153,0)))/COUNTIF(L153:AY153,"&lt;&gt;"))</f>
        <v/>
      </c>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4048</v>
      </c>
      <c r="B154" s="234" t="s">
        <v>4049</v>
      </c>
      <c r="C154" s="234" t="s">
        <v>4050</v>
      </c>
      <c r="D154" s="234" t="s">
        <v>19</v>
      </c>
      <c r="E154" s="234" t="s">
        <v>19</v>
      </c>
      <c r="F154" s="234" t="s">
        <v>4051</v>
      </c>
      <c r="G154" s="234" t="s">
        <v>19</v>
      </c>
      <c r="H154" s="234" t="s">
        <v>4052</v>
      </c>
      <c r="I154" s="234" t="s">
        <v>19</v>
      </c>
      <c r="J154" s="234" t="s">
        <v>4053</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4054</v>
      </c>
      <c r="B155" s="234" t="s">
        <v>4055</v>
      </c>
      <c r="C155" s="234" t="s">
        <v>4056</v>
      </c>
      <c r="D155" s="234" t="s">
        <v>19</v>
      </c>
      <c r="E155" s="234" t="s">
        <v>19</v>
      </c>
      <c r="F155" s="234" t="s">
        <v>19</v>
      </c>
      <c r="G155" s="234" t="s">
        <v>19</v>
      </c>
      <c r="H155" s="234" t="s">
        <v>4057</v>
      </c>
      <c r="I155" s="234" t="s">
        <v>4058</v>
      </c>
      <c r="J155" s="234" t="s">
        <v>4059</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4060</v>
      </c>
      <c r="B156" s="234" t="s">
        <v>4061</v>
      </c>
      <c r="C156" s="234" t="s">
        <v>4062</v>
      </c>
      <c r="D156" s="234" t="s">
        <v>19</v>
      </c>
      <c r="E156" s="234" t="s">
        <v>19</v>
      </c>
      <c r="F156" s="234" t="s">
        <v>19</v>
      </c>
      <c r="G156" s="234" t="s">
        <v>19</v>
      </c>
      <c r="H156" s="234" t="s">
        <v>4063</v>
      </c>
      <c r="I156" s="234" t="s">
        <v>19</v>
      </c>
      <c r="J156" s="234" t="s">
        <v>4064</v>
      </c>
      <c r="K156" s="237" t="str">
        <f>IF(COUNTIF(L156:AY156,"&lt;&gt;")=0,"",SUMPRODUCT(((Recommendations[ImplStatus]="Implemented")+(Recommendations[ImplStatus]="Compensated"))*ISNUMBER(MATCH(Recommendations[Id],L156:AY156,0)))/COUNTIF(L156:AY156,"&lt;&gt;"))</f>
        <v/>
      </c>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4065</v>
      </c>
      <c r="B157" s="234" t="s">
        <v>4066</v>
      </c>
      <c r="C157" s="234" t="s">
        <v>4067</v>
      </c>
      <c r="D157" s="234" t="s">
        <v>4068</v>
      </c>
      <c r="E157" s="234" t="s">
        <v>19</v>
      </c>
      <c r="F157" s="234" t="s">
        <v>19</v>
      </c>
      <c r="G157" s="234" t="s">
        <v>19</v>
      </c>
      <c r="H157" s="234" t="s">
        <v>4069</v>
      </c>
      <c r="I157" s="234" t="s">
        <v>19</v>
      </c>
      <c r="J157" s="234" t="s">
        <v>4070</v>
      </c>
      <c r="K157" s="237" t="str">
        <f>IF(COUNTIF(L157:AY157,"&lt;&gt;")=0,"",SUMPRODUCT(((Recommendations[ImplStatus]="Implemented")+(Recommendations[ImplStatus]="Compensated"))*ISNUMBER(MATCH(Recommendations[Id],L157:AY157,0)))/COUNTIF(L157:AY157,"&lt;&gt;"))</f>
        <v/>
      </c>
      <c r="L157" s="240"/>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4071</v>
      </c>
      <c r="B158" s="234" t="s">
        <v>4072</v>
      </c>
      <c r="C158" s="234" t="s">
        <v>4073</v>
      </c>
      <c r="D158" s="234" t="s">
        <v>4074</v>
      </c>
      <c r="E158" s="234" t="s">
        <v>19</v>
      </c>
      <c r="F158" s="234" t="s">
        <v>19</v>
      </c>
      <c r="G158" s="234" t="s">
        <v>19</v>
      </c>
      <c r="H158" s="234" t="s">
        <v>19</v>
      </c>
      <c r="I158" s="234" t="s">
        <v>19</v>
      </c>
      <c r="J158" s="234" t="s">
        <v>4075</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4076</v>
      </c>
      <c r="B159" s="234" t="s">
        <v>4077</v>
      </c>
      <c r="C159" s="234" t="s">
        <v>4078</v>
      </c>
      <c r="D159" s="234" t="s">
        <v>4079</v>
      </c>
      <c r="E159" s="234" t="s">
        <v>19</v>
      </c>
      <c r="F159" s="234" t="s">
        <v>4080</v>
      </c>
      <c r="G159" s="234" t="s">
        <v>19</v>
      </c>
      <c r="H159" s="234" t="s">
        <v>4081</v>
      </c>
      <c r="I159" s="234" t="s">
        <v>4082</v>
      </c>
      <c r="J159" s="234" t="s">
        <v>4083</v>
      </c>
      <c r="K159" s="237" t="str">
        <f>IF(COUNTIF(L159:AY159,"&lt;&gt;")=0,"",SUMPRODUCT(((Recommendations[ImplStatus]="Implemented")+(Recommendations[ImplStatus]="Compensated"))*ISNUMBER(MATCH(Recommendations[Id],L159:AY159,0)))/COUNTIF(L159:AY159,"&lt;&gt;"))</f>
        <v/>
      </c>
      <c r="L159" s="240"/>
      <c r="M159" s="240"/>
      <c r="N159" s="240"/>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762</v>
      </c>
      <c r="B160" s="233" t="s">
        <v>4084</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4085</v>
      </c>
      <c r="B161" s="234" t="s">
        <v>4086</v>
      </c>
      <c r="C161" s="234" t="s">
        <v>4087</v>
      </c>
      <c r="D161" s="234" t="s">
        <v>4088</v>
      </c>
      <c r="E161" s="234" t="s">
        <v>19</v>
      </c>
      <c r="F161" s="234" t="s">
        <v>19</v>
      </c>
      <c r="G161" s="234" t="s">
        <v>4089</v>
      </c>
      <c r="H161" s="234" t="s">
        <v>4090</v>
      </c>
      <c r="I161" s="234" t="s">
        <v>4091</v>
      </c>
      <c r="J161" s="234" t="s">
        <v>4092</v>
      </c>
      <c r="K161" s="237" t="str">
        <f>IF(COUNTIF(L161:AY161,"&lt;&gt;")=0,"",SUMPRODUCT(((Recommendations[ImplStatus]="Implemented")+(Recommendations[ImplStatus]="Compensated"))*ISNUMBER(MATCH(Recommendations[Id],L161:AY161,0)))/COUNTIF(L161:AY161,"&lt;&gt;"))</f>
        <v/>
      </c>
      <c r="L161" s="240"/>
      <c r="M161" s="240"/>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4093</v>
      </c>
      <c r="B162" s="234" t="s">
        <v>4094</v>
      </c>
      <c r="C162" s="234" t="s">
        <v>4095</v>
      </c>
      <c r="D162" s="234" t="s">
        <v>4096</v>
      </c>
      <c r="E162" s="234" t="s">
        <v>19</v>
      </c>
      <c r="F162" s="234" t="s">
        <v>19</v>
      </c>
      <c r="G162" s="234" t="s">
        <v>19</v>
      </c>
      <c r="H162" s="234" t="s">
        <v>4097</v>
      </c>
      <c r="I162" s="234" t="s">
        <v>19</v>
      </c>
      <c r="J162" s="234" t="s">
        <v>4098</v>
      </c>
      <c r="K162" s="237" t="str">
        <f>IF(COUNTIF(L162:AY162,"&lt;&gt;")=0,"",SUMPRODUCT(((Recommendations[ImplStatus]="Implemented")+(Recommendations[ImplStatus]="Compensated"))*ISNUMBER(MATCH(Recommendations[Id],L162:AY162,0)))/COUNTIF(L162:AY162,"&lt;&gt;"))</f>
        <v/>
      </c>
      <c r="L162" s="240"/>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4099</v>
      </c>
      <c r="B163" s="234" t="s">
        <v>4100</v>
      </c>
      <c r="C163" s="234" t="s">
        <v>4101</v>
      </c>
      <c r="D163" s="234" t="s">
        <v>4096</v>
      </c>
      <c r="E163" s="234" t="s">
        <v>19</v>
      </c>
      <c r="F163" s="234" t="s">
        <v>4102</v>
      </c>
      <c r="G163" s="234" t="s">
        <v>19</v>
      </c>
      <c r="H163" s="234" t="s">
        <v>4103</v>
      </c>
      <c r="I163" s="234" t="s">
        <v>19</v>
      </c>
      <c r="J163" s="234" t="s">
        <v>4104</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4105</v>
      </c>
      <c r="B164" s="234" t="s">
        <v>4106</v>
      </c>
      <c r="C164" s="234" t="s">
        <v>4107</v>
      </c>
      <c r="D164" s="234" t="s">
        <v>4108</v>
      </c>
      <c r="E164" s="234" t="s">
        <v>19</v>
      </c>
      <c r="F164" s="234" t="s">
        <v>19</v>
      </c>
      <c r="G164" s="234" t="s">
        <v>19</v>
      </c>
      <c r="H164" s="234" t="s">
        <v>4109</v>
      </c>
      <c r="I164" s="234" t="s">
        <v>4110</v>
      </c>
      <c r="J164" s="234" t="s">
        <v>4111</v>
      </c>
      <c r="K164" s="237" t="str">
        <f>IF(COUNTIF(L164:AY164,"&lt;&gt;")=0,"",SUMPRODUCT(((Recommendations[ImplStatus]="Implemented")+(Recommendations[ImplStatus]="Compensated"))*ISNUMBER(MATCH(Recommendations[Id],L164:AY164,0)))/COUNTIF(L164:AY164,"&lt;&gt;"))</f>
        <v/>
      </c>
      <c r="L164" s="240"/>
      <c r="M164" s="240"/>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4112</v>
      </c>
      <c r="B165" s="234" t="s">
        <v>4113</v>
      </c>
      <c r="C165" s="234" t="s">
        <v>4114</v>
      </c>
      <c r="D165" s="234" t="s">
        <v>19</v>
      </c>
      <c r="E165" s="234" t="s">
        <v>19</v>
      </c>
      <c r="F165" s="234" t="s">
        <v>19</v>
      </c>
      <c r="G165" s="234" t="s">
        <v>19</v>
      </c>
      <c r="H165" s="234" t="s">
        <v>4115</v>
      </c>
      <c r="I165" s="234" t="s">
        <v>19</v>
      </c>
      <c r="J165" s="234" t="s">
        <v>4116</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4117</v>
      </c>
      <c r="B166" s="234" t="s">
        <v>4118</v>
      </c>
      <c r="C166" s="234" t="s">
        <v>4119</v>
      </c>
      <c r="D166" s="234" t="s">
        <v>4120</v>
      </c>
      <c r="E166" s="234" t="s">
        <v>19</v>
      </c>
      <c r="F166" s="234" t="s">
        <v>19</v>
      </c>
      <c r="G166" s="234" t="s">
        <v>19</v>
      </c>
      <c r="H166" s="234" t="s">
        <v>4121</v>
      </c>
      <c r="I166" s="234" t="s">
        <v>4122</v>
      </c>
      <c r="J166" s="234" t="s">
        <v>4123</v>
      </c>
      <c r="K166" s="237" t="str">
        <f>IF(COUNTIF(L166:AY166,"&lt;&gt;")=0,"",SUMPRODUCT(((Recommendations[ImplStatus]="Implemented")+(Recommendations[ImplStatus]="Compensated"))*ISNUMBER(MATCH(Recommendations[Id],L166:AY166,0)))/COUNTIF(L166:AY166,"&lt;&gt;"))</f>
        <v/>
      </c>
      <c r="L166" s="240"/>
      <c r="M166" s="240"/>
      <c r="N166" s="240"/>
      <c r="O166" s="240"/>
      <c r="P166" s="240"/>
      <c r="Q166" s="240"/>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4124</v>
      </c>
      <c r="B167" s="234" t="s">
        <v>4125</v>
      </c>
      <c r="C167" s="234" t="s">
        <v>4126</v>
      </c>
      <c r="D167" s="234" t="s">
        <v>19</v>
      </c>
      <c r="E167" s="234" t="s">
        <v>19</v>
      </c>
      <c r="F167" s="234" t="s">
        <v>19</v>
      </c>
      <c r="G167" s="234" t="s">
        <v>19</v>
      </c>
      <c r="H167" s="234" t="s">
        <v>4127</v>
      </c>
      <c r="I167" s="234" t="s">
        <v>4128</v>
      </c>
      <c r="J167" s="234" t="s">
        <v>4129</v>
      </c>
      <c r="K167" s="237" t="str">
        <f>IF(COUNTIF(L167:AY167,"&lt;&gt;")=0,"",SUMPRODUCT(((Recommendations[ImplStatus]="Implemented")+(Recommendations[ImplStatus]="Compensated"))*ISNUMBER(MATCH(Recommendations[Id],L167:AY167,0)))/COUNTIF(L167:AY167,"&lt;&gt;"))</f>
        <v/>
      </c>
      <c r="L167" s="240"/>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4130</v>
      </c>
      <c r="B168" s="234" t="s">
        <v>4131</v>
      </c>
      <c r="C168" s="234" t="s">
        <v>4132</v>
      </c>
      <c r="D168" s="234" t="s">
        <v>4133</v>
      </c>
      <c r="E168" s="234" t="s">
        <v>19</v>
      </c>
      <c r="F168" s="234" t="s">
        <v>19</v>
      </c>
      <c r="G168" s="234" t="s">
        <v>19</v>
      </c>
      <c r="H168" s="234" t="s">
        <v>4134</v>
      </c>
      <c r="I168" s="234" t="s">
        <v>19</v>
      </c>
      <c r="J168" s="234" t="s">
        <v>4135</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4136</v>
      </c>
      <c r="B169" s="234" t="s">
        <v>4137</v>
      </c>
      <c r="C169" s="234" t="s">
        <v>4138</v>
      </c>
      <c r="D169" s="234" t="s">
        <v>4139</v>
      </c>
      <c r="E169" s="234" t="s">
        <v>19</v>
      </c>
      <c r="F169" s="234" t="s">
        <v>19</v>
      </c>
      <c r="G169" s="234" t="s">
        <v>4140</v>
      </c>
      <c r="H169" s="234" t="s">
        <v>4141</v>
      </c>
      <c r="I169" s="234" t="s">
        <v>4142</v>
      </c>
      <c r="J169" s="234" t="s">
        <v>4143</v>
      </c>
      <c r="K169" s="237" t="str">
        <f>IF(COUNTIF(L169:AY169,"&lt;&gt;")=0,"",SUMPRODUCT(((Recommendations[ImplStatus]="Implemented")+(Recommendations[ImplStatus]="Compensated"))*ISNUMBER(MATCH(Recommendations[Id],L169:AY169,0)))/COUNTIF(L169:AY169,"&lt;&gt;"))</f>
        <v/>
      </c>
      <c r="L169" s="240"/>
      <c r="M169" s="240"/>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4144</v>
      </c>
      <c r="B170" s="234" t="s">
        <v>4145</v>
      </c>
      <c r="C170" s="234" t="s">
        <v>4146</v>
      </c>
      <c r="D170" s="234" t="s">
        <v>4147</v>
      </c>
      <c r="E170" s="234" t="s">
        <v>19</v>
      </c>
      <c r="F170" s="234" t="s">
        <v>19</v>
      </c>
      <c r="G170" s="234" t="s">
        <v>19</v>
      </c>
      <c r="H170" s="234" t="s">
        <v>4148</v>
      </c>
      <c r="I170" s="234" t="s">
        <v>4149</v>
      </c>
      <c r="J170" s="234" t="s">
        <v>4150</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4151</v>
      </c>
      <c r="B171" s="234" t="s">
        <v>4152</v>
      </c>
      <c r="C171" s="234" t="s">
        <v>4146</v>
      </c>
      <c r="D171" s="234" t="s">
        <v>4153</v>
      </c>
      <c r="E171" s="234" t="s">
        <v>19</v>
      </c>
      <c r="F171" s="234" t="s">
        <v>19</v>
      </c>
      <c r="G171" s="234" t="s">
        <v>4154</v>
      </c>
      <c r="H171" s="234" t="s">
        <v>4148</v>
      </c>
      <c r="I171" s="234" t="s">
        <v>4155</v>
      </c>
      <c r="J171" s="234" t="s">
        <v>4156</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4157</v>
      </c>
      <c r="B172" s="234" t="s">
        <v>4158</v>
      </c>
      <c r="C172" s="234" t="s">
        <v>4159</v>
      </c>
      <c r="D172" s="234" t="s">
        <v>4160</v>
      </c>
      <c r="E172" s="234" t="s">
        <v>19</v>
      </c>
      <c r="F172" s="234" t="s">
        <v>19</v>
      </c>
      <c r="G172" s="234" t="s">
        <v>19</v>
      </c>
      <c r="H172" s="234" t="s">
        <v>4161</v>
      </c>
      <c r="I172" s="234" t="s">
        <v>19</v>
      </c>
      <c r="J172" s="234" t="s">
        <v>4162</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766</v>
      </c>
      <c r="B173" s="233" t="s">
        <v>4163</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4164</v>
      </c>
      <c r="B174" s="234" t="s">
        <v>4165</v>
      </c>
      <c r="C174" s="234" t="s">
        <v>4166</v>
      </c>
      <c r="D174" s="234" t="s">
        <v>4167</v>
      </c>
      <c r="E174" s="234" t="s">
        <v>4168</v>
      </c>
      <c r="F174" s="234" t="s">
        <v>19</v>
      </c>
      <c r="G174" s="234" t="s">
        <v>19</v>
      </c>
      <c r="H174" s="234" t="s">
        <v>4169</v>
      </c>
      <c r="I174" s="234" t="s">
        <v>4170</v>
      </c>
      <c r="J174" s="234" t="s">
        <v>4171</v>
      </c>
      <c r="K174" s="237" t="str">
        <f>IF(COUNTIF(L174:AY174,"&lt;&gt;")=0,"",SUMPRODUCT(((Recommendations[ImplStatus]="Implemented")+(Recommendations[ImplStatus]="Compensated"))*ISNUMBER(MATCH(Recommendations[Id],L174:AY174,0)))/COUNTIF(L174:AY174,"&lt;&gt;"))</f>
        <v/>
      </c>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4172</v>
      </c>
      <c r="B175" s="234" t="s">
        <v>4173</v>
      </c>
      <c r="C175" s="234" t="s">
        <v>4174</v>
      </c>
      <c r="D175" s="234" t="s">
        <v>19</v>
      </c>
      <c r="E175" s="234" t="s">
        <v>4175</v>
      </c>
      <c r="F175" s="234" t="s">
        <v>19</v>
      </c>
      <c r="G175" s="234" t="s">
        <v>19</v>
      </c>
      <c r="H175" s="234" t="s">
        <v>4176</v>
      </c>
      <c r="I175" s="234" t="s">
        <v>19</v>
      </c>
      <c r="J175" s="234" t="s">
        <v>4177</v>
      </c>
      <c r="K175" s="237" t="str">
        <f>IF(COUNTIF(L175:AY175,"&lt;&gt;")=0,"",SUMPRODUCT(((Recommendations[ImplStatus]="Implemented")+(Recommendations[ImplStatus]="Compensated"))*ISNUMBER(MATCH(Recommendations[Id],L175:AY175,0)))/COUNTIF(L175:AY175,"&lt;&gt;"))</f>
        <v/>
      </c>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4178</v>
      </c>
      <c r="B176" s="234" t="s">
        <v>4179</v>
      </c>
      <c r="C176" s="234" t="s">
        <v>4180</v>
      </c>
      <c r="D176" s="234" t="s">
        <v>19</v>
      </c>
      <c r="E176" s="234" t="s">
        <v>4181</v>
      </c>
      <c r="F176" s="234" t="s">
        <v>19</v>
      </c>
      <c r="G176" s="234" t="s">
        <v>19</v>
      </c>
      <c r="H176" s="234" t="s">
        <v>4182</v>
      </c>
      <c r="I176" s="234" t="s">
        <v>4183</v>
      </c>
      <c r="J176" s="234" t="s">
        <v>4184</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771</v>
      </c>
      <c r="B177" s="233" t="s">
        <v>4185</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4186</v>
      </c>
      <c r="B178" s="234" t="s">
        <v>4187</v>
      </c>
      <c r="C178" s="234" t="s">
        <v>4188</v>
      </c>
      <c r="D178" s="234" t="s">
        <v>4189</v>
      </c>
      <c r="E178" s="234" t="s">
        <v>4190</v>
      </c>
      <c r="F178" s="234" t="s">
        <v>4191</v>
      </c>
      <c r="G178" s="234" t="s">
        <v>19</v>
      </c>
      <c r="H178" s="234" t="s">
        <v>4192</v>
      </c>
      <c r="I178" s="234" t="s">
        <v>4193</v>
      </c>
      <c r="J178" s="234" t="s">
        <v>4194</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775</v>
      </c>
      <c r="B179" s="233" t="s">
        <v>4195</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4196</v>
      </c>
      <c r="B180" s="234" t="s">
        <v>4197</v>
      </c>
      <c r="C180" s="234" t="s">
        <v>4198</v>
      </c>
      <c r="D180" s="234" t="s">
        <v>4189</v>
      </c>
      <c r="E180" s="234" t="s">
        <v>4199</v>
      </c>
      <c r="F180" s="234" t="s">
        <v>19</v>
      </c>
      <c r="G180" s="234" t="s">
        <v>19</v>
      </c>
      <c r="H180" s="234" t="s">
        <v>4200</v>
      </c>
      <c r="I180" s="234" t="s">
        <v>3712</v>
      </c>
      <c r="J180" s="234" t="s">
        <v>4201</v>
      </c>
      <c r="K180" s="237" t="str">
        <f>IF(COUNTIF(L180:AY180,"&lt;&gt;")=0,"",SUMPRODUCT(((Recommendations[ImplStatus]="Implemented")+(Recommendations[ImplStatus]="Compensated"))*ISNUMBER(MATCH(Recommendations[Id],L180:AY180,0)))/COUNTIF(L180:AY180,"&lt;&gt;"))</f>
        <v/>
      </c>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4202</v>
      </c>
      <c r="B181" s="234" t="s">
        <v>4203</v>
      </c>
      <c r="C181" s="234" t="s">
        <v>4204</v>
      </c>
      <c r="D181" s="234" t="s">
        <v>4205</v>
      </c>
      <c r="E181" s="234" t="s">
        <v>19</v>
      </c>
      <c r="F181" s="234" t="s">
        <v>19</v>
      </c>
      <c r="G181" s="234" t="s">
        <v>19</v>
      </c>
      <c r="H181" s="234" t="s">
        <v>4206</v>
      </c>
      <c r="I181" s="234" t="s">
        <v>4207</v>
      </c>
      <c r="J181" s="234" t="s">
        <v>4208</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4209</v>
      </c>
      <c r="B182" s="234" t="s">
        <v>4210</v>
      </c>
      <c r="C182" s="234" t="s">
        <v>4211</v>
      </c>
      <c r="D182" s="234" t="s">
        <v>4212</v>
      </c>
      <c r="E182" s="234" t="s">
        <v>19</v>
      </c>
      <c r="F182" s="234" t="s">
        <v>19</v>
      </c>
      <c r="G182" s="234" t="s">
        <v>19</v>
      </c>
      <c r="H182" s="234" t="s">
        <v>4213</v>
      </c>
      <c r="I182" s="234" t="s">
        <v>3712</v>
      </c>
      <c r="J182" s="234" t="s">
        <v>4214</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4215</v>
      </c>
      <c r="B183" s="232" t="s">
        <v>4216</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805</v>
      </c>
      <c r="B184" s="233" t="s">
        <v>4217</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4218</v>
      </c>
      <c r="B185" s="234" t="s">
        <v>4219</v>
      </c>
      <c r="C185" s="234" t="s">
        <v>4220</v>
      </c>
      <c r="D185" s="234" t="s">
        <v>3484</v>
      </c>
      <c r="E185" s="234" t="s">
        <v>4221</v>
      </c>
      <c r="F185" s="234" t="s">
        <v>19</v>
      </c>
      <c r="G185" s="234" t="s">
        <v>19</v>
      </c>
      <c r="H185" s="234" t="s">
        <v>4222</v>
      </c>
      <c r="I185" s="234" t="s">
        <v>19</v>
      </c>
      <c r="J185" s="234" t="s">
        <v>4223</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4224</v>
      </c>
      <c r="B186" s="234" t="s">
        <v>4225</v>
      </c>
      <c r="C186" s="234" t="s">
        <v>3489</v>
      </c>
      <c r="D186" s="234" t="s">
        <v>4226</v>
      </c>
      <c r="E186" s="234" t="s">
        <v>19</v>
      </c>
      <c r="F186" s="234" t="s">
        <v>19</v>
      </c>
      <c r="G186" s="234" t="s">
        <v>19</v>
      </c>
      <c r="H186" s="234" t="s">
        <v>4227</v>
      </c>
      <c r="I186" s="234" t="s">
        <v>19</v>
      </c>
      <c r="J186" s="234" t="s">
        <v>4228</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809</v>
      </c>
      <c r="B187" s="233" t="s">
        <v>4229</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4230</v>
      </c>
      <c r="B188" s="234" t="s">
        <v>4231</v>
      </c>
      <c r="C188" s="234" t="s">
        <v>4232</v>
      </c>
      <c r="D188" s="234" t="s">
        <v>4233</v>
      </c>
      <c r="E188" s="234" t="s">
        <v>19</v>
      </c>
      <c r="F188" s="234" t="s">
        <v>4234</v>
      </c>
      <c r="G188" s="234" t="s">
        <v>19</v>
      </c>
      <c r="H188" s="234" t="s">
        <v>4235</v>
      </c>
      <c r="I188" s="234" t="s">
        <v>4236</v>
      </c>
      <c r="J188" s="234" t="s">
        <v>4237</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4238</v>
      </c>
      <c r="B189" s="234" t="s">
        <v>4239</v>
      </c>
      <c r="C189" s="234" t="s">
        <v>4240</v>
      </c>
      <c r="D189" s="234" t="s">
        <v>4241</v>
      </c>
      <c r="E189" s="234" t="s">
        <v>19</v>
      </c>
      <c r="F189" s="234" t="s">
        <v>19</v>
      </c>
      <c r="G189" s="234" t="s">
        <v>19</v>
      </c>
      <c r="H189" s="234" t="s">
        <v>4242</v>
      </c>
      <c r="I189" s="234" t="s">
        <v>19</v>
      </c>
      <c r="J189" s="234" t="s">
        <v>4243</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4244</v>
      </c>
      <c r="B190" s="234" t="s">
        <v>4245</v>
      </c>
      <c r="C190" s="234" t="s">
        <v>4246</v>
      </c>
      <c r="D190" s="234" t="s">
        <v>4247</v>
      </c>
      <c r="E190" s="234" t="s">
        <v>19</v>
      </c>
      <c r="F190" s="234" t="s">
        <v>4248</v>
      </c>
      <c r="G190" s="234" t="s">
        <v>19</v>
      </c>
      <c r="H190" s="234" t="s">
        <v>4249</v>
      </c>
      <c r="I190" s="234" t="s">
        <v>19</v>
      </c>
      <c r="J190" s="234" t="s">
        <v>4250</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4251</v>
      </c>
      <c r="B191" s="234" t="s">
        <v>4252</v>
      </c>
      <c r="C191" s="234" t="s">
        <v>4253</v>
      </c>
      <c r="D191" s="234" t="s">
        <v>19</v>
      </c>
      <c r="E191" s="234" t="s">
        <v>19</v>
      </c>
      <c r="F191" s="234" t="s">
        <v>19</v>
      </c>
      <c r="G191" s="234" t="s">
        <v>19</v>
      </c>
      <c r="H191" s="234" t="s">
        <v>4254</v>
      </c>
      <c r="I191" s="234" t="s">
        <v>19</v>
      </c>
      <c r="J191" s="234" t="s">
        <v>4255</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4256</v>
      </c>
      <c r="B192" s="234" t="s">
        <v>4257</v>
      </c>
      <c r="C192" s="234" t="s">
        <v>4258</v>
      </c>
      <c r="D192" s="234" t="s">
        <v>4259</v>
      </c>
      <c r="E192" s="234" t="s">
        <v>4260</v>
      </c>
      <c r="F192" s="234" t="s">
        <v>19</v>
      </c>
      <c r="G192" s="234" t="s">
        <v>19</v>
      </c>
      <c r="H192" s="234" t="s">
        <v>4261</v>
      </c>
      <c r="I192" s="234" t="s">
        <v>19</v>
      </c>
      <c r="J192" s="234" t="s">
        <v>4262</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813</v>
      </c>
      <c r="B193" s="233" t="s">
        <v>4263</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4264</v>
      </c>
      <c r="B194" s="234" t="s">
        <v>4265</v>
      </c>
      <c r="C194" s="234" t="s">
        <v>4266</v>
      </c>
      <c r="D194" s="234" t="s">
        <v>4259</v>
      </c>
      <c r="E194" s="234" t="s">
        <v>4260</v>
      </c>
      <c r="F194" s="234" t="s">
        <v>4267</v>
      </c>
      <c r="G194" s="234" t="s">
        <v>19</v>
      </c>
      <c r="H194" s="234" t="s">
        <v>4268</v>
      </c>
      <c r="I194" s="234" t="s">
        <v>19</v>
      </c>
      <c r="J194" s="234" t="s">
        <v>4269</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4270</v>
      </c>
      <c r="B195" s="234" t="s">
        <v>4271</v>
      </c>
      <c r="C195" s="234" t="s">
        <v>4272</v>
      </c>
      <c r="D195" s="234" t="s">
        <v>4273</v>
      </c>
      <c r="E195" s="234" t="s">
        <v>19</v>
      </c>
      <c r="F195" s="234" t="s">
        <v>19</v>
      </c>
      <c r="G195" s="234" t="s">
        <v>19</v>
      </c>
      <c r="H195" s="234" t="s">
        <v>4274</v>
      </c>
      <c r="I195" s="234" t="s">
        <v>19</v>
      </c>
      <c r="J195" s="234" t="s">
        <v>4275</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4276</v>
      </c>
      <c r="B196" s="234" t="s">
        <v>4277</v>
      </c>
      <c r="C196" s="234" t="s">
        <v>4278</v>
      </c>
      <c r="D196" s="234" t="s">
        <v>19</v>
      </c>
      <c r="E196" s="234" t="s">
        <v>4279</v>
      </c>
      <c r="F196" s="234" t="s">
        <v>19</v>
      </c>
      <c r="G196" s="234" t="s">
        <v>19</v>
      </c>
      <c r="H196" s="234" t="s">
        <v>4280</v>
      </c>
      <c r="I196" s="234" t="s">
        <v>19</v>
      </c>
      <c r="J196" s="234" t="s">
        <v>4281</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4282</v>
      </c>
      <c r="B197" s="234" t="s">
        <v>4283</v>
      </c>
      <c r="C197" s="234" t="s">
        <v>4284</v>
      </c>
      <c r="D197" s="234" t="s">
        <v>19</v>
      </c>
      <c r="E197" s="234" t="s">
        <v>19</v>
      </c>
      <c r="F197" s="234" t="s">
        <v>19</v>
      </c>
      <c r="G197" s="234" t="s">
        <v>19</v>
      </c>
      <c r="H197" s="234" t="s">
        <v>4285</v>
      </c>
      <c r="I197" s="234" t="s">
        <v>19</v>
      </c>
      <c r="J197" s="234" t="s">
        <v>4286</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4287</v>
      </c>
      <c r="B198" s="234" t="s">
        <v>4288</v>
      </c>
      <c r="C198" s="234" t="s">
        <v>4289</v>
      </c>
      <c r="D198" s="234" t="s">
        <v>4290</v>
      </c>
      <c r="E198" s="234" t="s">
        <v>19</v>
      </c>
      <c r="F198" s="234" t="s">
        <v>19</v>
      </c>
      <c r="G198" s="234" t="s">
        <v>19</v>
      </c>
      <c r="H198" s="234" t="s">
        <v>4291</v>
      </c>
      <c r="I198" s="234" t="s">
        <v>19</v>
      </c>
      <c r="J198" s="234" t="s">
        <v>4292</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817</v>
      </c>
      <c r="B199" s="233" t="s">
        <v>4293</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4294</v>
      </c>
      <c r="B200" s="234" t="s">
        <v>4295</v>
      </c>
      <c r="C200" s="234" t="s">
        <v>4296</v>
      </c>
      <c r="D200" s="234" t="s">
        <v>19</v>
      </c>
      <c r="E200" s="234" t="s">
        <v>19</v>
      </c>
      <c r="F200" s="234" t="s">
        <v>19</v>
      </c>
      <c r="G200" s="234" t="s">
        <v>19</v>
      </c>
      <c r="H200" s="234" t="s">
        <v>4297</v>
      </c>
      <c r="I200" s="234" t="s">
        <v>19</v>
      </c>
      <c r="J200" s="234" t="s">
        <v>19</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4298</v>
      </c>
      <c r="B201" s="234" t="s">
        <v>4299</v>
      </c>
      <c r="C201" s="234" t="s">
        <v>4300</v>
      </c>
      <c r="D201" s="234" t="s">
        <v>4301</v>
      </c>
      <c r="E201" s="234" t="s">
        <v>19</v>
      </c>
      <c r="F201" s="234" t="s">
        <v>19</v>
      </c>
      <c r="G201" s="234" t="s">
        <v>19</v>
      </c>
      <c r="H201" s="234" t="s">
        <v>4302</v>
      </c>
      <c r="I201" s="234" t="s">
        <v>19</v>
      </c>
      <c r="J201" s="234" t="s">
        <v>4303</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4304</v>
      </c>
      <c r="B202" s="234" t="s">
        <v>4305</v>
      </c>
      <c r="C202" s="234" t="s">
        <v>4306</v>
      </c>
      <c r="D202" s="234" t="s">
        <v>19</v>
      </c>
      <c r="E202" s="234" t="s">
        <v>19</v>
      </c>
      <c r="F202" s="234" t="s">
        <v>19</v>
      </c>
      <c r="G202" s="234" t="s">
        <v>19</v>
      </c>
      <c r="H202" s="234" t="s">
        <v>4307</v>
      </c>
      <c r="I202" s="234" t="s">
        <v>19</v>
      </c>
      <c r="J202" s="234" t="s">
        <v>4308</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4309</v>
      </c>
      <c r="B203" s="234" t="s">
        <v>4310</v>
      </c>
      <c r="C203" s="234" t="s">
        <v>4311</v>
      </c>
      <c r="D203" s="234" t="s">
        <v>4312</v>
      </c>
      <c r="E203" s="234" t="s">
        <v>19</v>
      </c>
      <c r="F203" s="234" t="s">
        <v>19</v>
      </c>
      <c r="G203" s="234" t="s">
        <v>19</v>
      </c>
      <c r="H203" s="234" t="s">
        <v>4313</v>
      </c>
      <c r="I203" s="234" t="s">
        <v>19</v>
      </c>
      <c r="J203" s="234" t="s">
        <v>4314</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4315</v>
      </c>
      <c r="B204" s="234" t="s">
        <v>4316</v>
      </c>
      <c r="C204" s="234" t="s">
        <v>4317</v>
      </c>
      <c r="D204" s="234" t="s">
        <v>19</v>
      </c>
      <c r="E204" s="234" t="s">
        <v>19</v>
      </c>
      <c r="F204" s="234" t="s">
        <v>19</v>
      </c>
      <c r="G204" s="234" t="s">
        <v>19</v>
      </c>
      <c r="H204" s="234" t="s">
        <v>4318</v>
      </c>
      <c r="I204" s="234" t="s">
        <v>19</v>
      </c>
      <c r="J204" s="234" t="s">
        <v>4319</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4320</v>
      </c>
      <c r="B205" s="234" t="s">
        <v>4321</v>
      </c>
      <c r="C205" s="234" t="s">
        <v>4322</v>
      </c>
      <c r="D205" s="234" t="s">
        <v>19</v>
      </c>
      <c r="E205" s="234" t="s">
        <v>19</v>
      </c>
      <c r="F205" s="234" t="s">
        <v>19</v>
      </c>
      <c r="G205" s="234" t="s">
        <v>19</v>
      </c>
      <c r="H205" s="234" t="s">
        <v>4323</v>
      </c>
      <c r="I205" s="234" t="s">
        <v>4324</v>
      </c>
      <c r="J205" s="234" t="s">
        <v>4325</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4326</v>
      </c>
      <c r="B206" s="234" t="s">
        <v>4327</v>
      </c>
      <c r="C206" s="234" t="s">
        <v>4328</v>
      </c>
      <c r="D206" s="234" t="s">
        <v>19</v>
      </c>
      <c r="E206" s="234" t="s">
        <v>19</v>
      </c>
      <c r="F206" s="234" t="s">
        <v>19</v>
      </c>
      <c r="G206" s="234" t="s">
        <v>19</v>
      </c>
      <c r="H206" s="234" t="s">
        <v>4329</v>
      </c>
      <c r="I206" s="234" t="s">
        <v>19</v>
      </c>
      <c r="J206" s="234" t="s">
        <v>4330</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4331</v>
      </c>
      <c r="B207" s="234" t="s">
        <v>4332</v>
      </c>
      <c r="C207" s="234" t="s">
        <v>4328</v>
      </c>
      <c r="D207" s="234" t="s">
        <v>4333</v>
      </c>
      <c r="E207" s="234" t="s">
        <v>19</v>
      </c>
      <c r="F207" s="234" t="s">
        <v>19</v>
      </c>
      <c r="G207" s="234" t="s">
        <v>19</v>
      </c>
      <c r="H207" s="234" t="s">
        <v>4334</v>
      </c>
      <c r="I207" s="234" t="s">
        <v>19</v>
      </c>
      <c r="J207" s="234" t="s">
        <v>4335</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4336</v>
      </c>
      <c r="B208" s="234" t="s">
        <v>4337</v>
      </c>
      <c r="C208" s="234" t="s">
        <v>4338</v>
      </c>
      <c r="D208" s="234" t="s">
        <v>4333</v>
      </c>
      <c r="E208" s="234" t="s">
        <v>19</v>
      </c>
      <c r="F208" s="234" t="s">
        <v>4339</v>
      </c>
      <c r="G208" s="234" t="s">
        <v>4340</v>
      </c>
      <c r="H208" s="234" t="s">
        <v>4341</v>
      </c>
      <c r="I208" s="234" t="s">
        <v>4342</v>
      </c>
      <c r="J208" s="234" t="s">
        <v>4343</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4344</v>
      </c>
      <c r="B209" s="234" t="s">
        <v>4345</v>
      </c>
      <c r="C209" s="234" t="s">
        <v>4346</v>
      </c>
      <c r="D209" s="234" t="s">
        <v>4347</v>
      </c>
      <c r="E209" s="234" t="s">
        <v>19</v>
      </c>
      <c r="F209" s="234" t="s">
        <v>4339</v>
      </c>
      <c r="G209" s="234" t="s">
        <v>4348</v>
      </c>
      <c r="H209" s="234" t="s">
        <v>4349</v>
      </c>
      <c r="I209" s="234" t="s">
        <v>4342</v>
      </c>
      <c r="J209" s="234" t="s">
        <v>4350</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821</v>
      </c>
      <c r="B210" s="233" t="s">
        <v>4351</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4352</v>
      </c>
      <c r="B211" s="234" t="s">
        <v>4353</v>
      </c>
      <c r="C211" s="234" t="s">
        <v>4354</v>
      </c>
      <c r="D211" s="234" t="s">
        <v>4355</v>
      </c>
      <c r="E211" s="234" t="s">
        <v>19</v>
      </c>
      <c r="F211" s="234" t="s">
        <v>19</v>
      </c>
      <c r="G211" s="234" t="s">
        <v>4356</v>
      </c>
      <c r="H211" s="234" t="s">
        <v>4357</v>
      </c>
      <c r="I211" s="234" t="s">
        <v>4358</v>
      </c>
      <c r="J211" s="234" t="s">
        <v>4359</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4360</v>
      </c>
      <c r="B212" s="234" t="s">
        <v>4361</v>
      </c>
      <c r="C212" s="234" t="s">
        <v>4362</v>
      </c>
      <c r="D212" s="234" t="s">
        <v>4363</v>
      </c>
      <c r="E212" s="234" t="s">
        <v>19</v>
      </c>
      <c r="F212" s="234" t="s">
        <v>4364</v>
      </c>
      <c r="G212" s="234" t="s">
        <v>19</v>
      </c>
      <c r="H212" s="234" t="s">
        <v>19</v>
      </c>
      <c r="I212" s="234" t="s">
        <v>19</v>
      </c>
      <c r="J212" s="234" t="s">
        <v>4365</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4366</v>
      </c>
      <c r="B213" s="234" t="s">
        <v>4367</v>
      </c>
      <c r="C213" s="234" t="s">
        <v>4368</v>
      </c>
      <c r="D213" s="234" t="s">
        <v>4369</v>
      </c>
      <c r="E213" s="234" t="s">
        <v>19</v>
      </c>
      <c r="F213" s="234" t="s">
        <v>4370</v>
      </c>
      <c r="G213" s="234" t="s">
        <v>19</v>
      </c>
      <c r="H213" s="234" t="s">
        <v>4371</v>
      </c>
      <c r="I213" s="234" t="s">
        <v>19</v>
      </c>
      <c r="J213" s="234" t="s">
        <v>4372</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4373</v>
      </c>
      <c r="B214" s="234" t="s">
        <v>4374</v>
      </c>
      <c r="C214" s="234" t="s">
        <v>4375</v>
      </c>
      <c r="D214" s="234" t="s">
        <v>4376</v>
      </c>
      <c r="E214" s="234" t="s">
        <v>19</v>
      </c>
      <c r="F214" s="234" t="s">
        <v>19</v>
      </c>
      <c r="G214" s="234" t="s">
        <v>19</v>
      </c>
      <c r="H214" s="234" t="s">
        <v>4377</v>
      </c>
      <c r="I214" s="234" t="s">
        <v>3712</v>
      </c>
      <c r="J214" s="234" t="s">
        <v>4378</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4379</v>
      </c>
      <c r="B215" s="234" t="s">
        <v>4380</v>
      </c>
      <c r="C215" s="234" t="s">
        <v>4381</v>
      </c>
      <c r="D215" s="234" t="s">
        <v>4382</v>
      </c>
      <c r="E215" s="234" t="s">
        <v>19</v>
      </c>
      <c r="F215" s="234" t="s">
        <v>19</v>
      </c>
      <c r="G215" s="234" t="s">
        <v>19</v>
      </c>
      <c r="H215" s="234" t="s">
        <v>4383</v>
      </c>
      <c r="I215" s="234" t="s">
        <v>19</v>
      </c>
      <c r="J215" s="234" t="s">
        <v>4384</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4385</v>
      </c>
      <c r="B216" s="232" t="s">
        <v>4386</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835</v>
      </c>
      <c r="B217" s="233" t="s">
        <v>4387</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4388</v>
      </c>
      <c r="B218" s="234" t="s">
        <v>4389</v>
      </c>
      <c r="C218" s="234" t="s">
        <v>4390</v>
      </c>
      <c r="D218" s="234" t="s">
        <v>3484</v>
      </c>
      <c r="E218" s="234" t="s">
        <v>3270</v>
      </c>
      <c r="F218" s="234" t="s">
        <v>19</v>
      </c>
      <c r="G218" s="234" t="s">
        <v>19</v>
      </c>
      <c r="H218" s="234" t="s">
        <v>4391</v>
      </c>
      <c r="I218" s="234" t="s">
        <v>19</v>
      </c>
      <c r="J218" s="234" t="s">
        <v>4392</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4393</v>
      </c>
      <c r="B219" s="234" t="s">
        <v>4394</v>
      </c>
      <c r="C219" s="234" t="s">
        <v>3275</v>
      </c>
      <c r="D219" s="234" t="s">
        <v>3276</v>
      </c>
      <c r="E219" s="234" t="s">
        <v>19</v>
      </c>
      <c r="F219" s="234" t="s">
        <v>3278</v>
      </c>
      <c r="G219" s="234" t="s">
        <v>19</v>
      </c>
      <c r="H219" s="234" t="s">
        <v>4395</v>
      </c>
      <c r="I219" s="234" t="s">
        <v>19</v>
      </c>
      <c r="J219" s="234" t="s">
        <v>4396</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839</v>
      </c>
      <c r="B220" s="233" t="s">
        <v>4397</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4398</v>
      </c>
      <c r="B221" s="234" t="s">
        <v>4399</v>
      </c>
      <c r="C221" s="234" t="s">
        <v>4400</v>
      </c>
      <c r="D221" s="234" t="s">
        <v>4401</v>
      </c>
      <c r="E221" s="234" t="s">
        <v>19</v>
      </c>
      <c r="F221" s="234" t="s">
        <v>19</v>
      </c>
      <c r="G221" s="234" t="s">
        <v>19</v>
      </c>
      <c r="H221" s="234" t="s">
        <v>4402</v>
      </c>
      <c r="I221" s="234" t="s">
        <v>19</v>
      </c>
      <c r="J221" s="234" t="s">
        <v>4403</v>
      </c>
      <c r="K221" s="237" t="str">
        <f>IF(COUNTIF(L221:AY221,"&lt;&gt;")=0,"",SUMPRODUCT(((Recommendations[ImplStatus]="Implemented")+(Recommendations[ImplStatus]="Compensated"))*ISNUMBER(MATCH(Recommendations[Id],L221:AY221,0)))/COUNTIF(L221:AY221,"&lt;&gt;"))</f>
        <v/>
      </c>
      <c r="L221" s="240"/>
      <c r="M221" s="240"/>
      <c r="N221" s="240"/>
      <c r="O221" s="240"/>
      <c r="P221" s="240"/>
      <c r="Q221" s="240"/>
      <c r="R221" s="240"/>
      <c r="S221" s="240"/>
      <c r="T221" s="240"/>
      <c r="U221" s="240"/>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4404</v>
      </c>
      <c r="B222" s="234" t="s">
        <v>4405</v>
      </c>
      <c r="C222" s="234" t="s">
        <v>4406</v>
      </c>
      <c r="D222" s="234" t="s">
        <v>4407</v>
      </c>
      <c r="E222" s="234" t="s">
        <v>19</v>
      </c>
      <c r="F222" s="234" t="s">
        <v>19</v>
      </c>
      <c r="G222" s="234" t="s">
        <v>19</v>
      </c>
      <c r="H222" s="234" t="s">
        <v>4408</v>
      </c>
      <c r="I222" s="234" t="s">
        <v>19</v>
      </c>
      <c r="J222" s="234" t="s">
        <v>4409</v>
      </c>
      <c r="K222" s="237" t="str">
        <f>IF(COUNTIF(L222:AY222,"&lt;&gt;")=0,"",SUMPRODUCT(((Recommendations[ImplStatus]="Implemented")+(Recommendations[ImplStatus]="Compensated"))*ISNUMBER(MATCH(Recommendations[Id],L222:AY222,0)))/COUNTIF(L222:AY222,"&lt;&gt;"))</f>
        <v/>
      </c>
      <c r="L222" s="240"/>
      <c r="M222" s="240"/>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4410</v>
      </c>
      <c r="B223" s="234" t="s">
        <v>4411</v>
      </c>
      <c r="C223" s="234" t="s">
        <v>4412</v>
      </c>
      <c r="D223" s="234" t="s">
        <v>19</v>
      </c>
      <c r="E223" s="234" t="s">
        <v>4413</v>
      </c>
      <c r="F223" s="234" t="s">
        <v>19</v>
      </c>
      <c r="G223" s="234" t="s">
        <v>19</v>
      </c>
      <c r="H223" s="234" t="s">
        <v>4414</v>
      </c>
      <c r="I223" s="234" t="s">
        <v>19</v>
      </c>
      <c r="J223" s="234" t="s">
        <v>4415</v>
      </c>
      <c r="K223" s="237" t="str">
        <f>IF(COUNTIF(L223:AY223,"&lt;&gt;")=0,"",SUMPRODUCT(((Recommendations[ImplStatus]="Implemented")+(Recommendations[ImplStatus]="Compensated"))*ISNUMBER(MATCH(Recommendations[Id],L223:AY223,0)))/COUNTIF(L223:AY223,"&lt;&gt;"))</f>
        <v/>
      </c>
      <c r="L223" s="240"/>
      <c r="M223" s="240"/>
      <c r="N223" s="240"/>
      <c r="O223" s="240"/>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4416</v>
      </c>
      <c r="B224" s="234" t="s">
        <v>4417</v>
      </c>
      <c r="C224" s="234" t="s">
        <v>4418</v>
      </c>
      <c r="D224" s="234" t="s">
        <v>19</v>
      </c>
      <c r="E224" s="234" t="s">
        <v>19</v>
      </c>
      <c r="F224" s="234" t="s">
        <v>19</v>
      </c>
      <c r="G224" s="234" t="s">
        <v>19</v>
      </c>
      <c r="H224" s="234" t="s">
        <v>4419</v>
      </c>
      <c r="I224" s="234" t="s">
        <v>19</v>
      </c>
      <c r="J224" s="234" t="s">
        <v>4420</v>
      </c>
      <c r="K224" s="237" t="str">
        <f>IF(COUNTIF(L224:AY224,"&lt;&gt;")=0,"",SUMPRODUCT(((Recommendations[ImplStatus]="Implemented")+(Recommendations[ImplStatus]="Compensated"))*ISNUMBER(MATCH(Recommendations[Id],L224:AY224,0)))/COUNTIF(L224:AY224,"&lt;&gt;"))</f>
        <v/>
      </c>
      <c r="L224" s="240"/>
      <c r="M224" s="240"/>
      <c r="N224" s="240"/>
      <c r="O224" s="240"/>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4421</v>
      </c>
      <c r="B225" s="234" t="s">
        <v>4422</v>
      </c>
      <c r="C225" s="234" t="s">
        <v>4423</v>
      </c>
      <c r="D225" s="234" t="s">
        <v>19</v>
      </c>
      <c r="E225" s="234" t="s">
        <v>19</v>
      </c>
      <c r="F225" s="234" t="s">
        <v>19</v>
      </c>
      <c r="G225" s="234" t="s">
        <v>19</v>
      </c>
      <c r="H225" s="234" t="s">
        <v>4424</v>
      </c>
      <c r="I225" s="234" t="s">
        <v>19</v>
      </c>
      <c r="J225" s="234" t="s">
        <v>19</v>
      </c>
      <c r="K225" s="237" t="str">
        <f>IF(COUNTIF(L225:AY225,"&lt;&gt;")=0,"",SUMPRODUCT(((Recommendations[ImplStatus]="Implemented")+(Recommendations[ImplStatus]="Compensated"))*ISNUMBER(MATCH(Recommendations[Id],L225:AY225,0)))/COUNTIF(L225:AY225,"&lt;&gt;"))</f>
        <v/>
      </c>
      <c r="L225" s="240"/>
      <c r="M225" s="240"/>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4425</v>
      </c>
      <c r="B226" s="234" t="s">
        <v>4426</v>
      </c>
      <c r="C226" s="234" t="s">
        <v>4427</v>
      </c>
      <c r="D226" s="234" t="s">
        <v>19</v>
      </c>
      <c r="E226" s="234" t="s">
        <v>19</v>
      </c>
      <c r="F226" s="234" t="s">
        <v>19</v>
      </c>
      <c r="G226" s="234" t="s">
        <v>19</v>
      </c>
      <c r="H226" s="234" t="s">
        <v>4428</v>
      </c>
      <c r="I226" s="234" t="s">
        <v>19</v>
      </c>
      <c r="J226" s="234" t="s">
        <v>4429</v>
      </c>
      <c r="K226" s="237" t="str">
        <f>IF(COUNTIF(L226:AY226,"&lt;&gt;")=0,"",SUMPRODUCT(((Recommendations[ImplStatus]="Implemented")+(Recommendations[ImplStatus]="Compensated"))*ISNUMBER(MATCH(Recommendations[Id],L226:AY226,0)))/COUNTIF(L226:AY226,"&lt;&gt;"))</f>
        <v/>
      </c>
      <c r="L226" s="240"/>
      <c r="M226" s="240"/>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4430</v>
      </c>
      <c r="B227" s="234" t="s">
        <v>4431</v>
      </c>
      <c r="C227" s="234" t="s">
        <v>4432</v>
      </c>
      <c r="D227" s="234" t="s">
        <v>19</v>
      </c>
      <c r="E227" s="234" t="s">
        <v>19</v>
      </c>
      <c r="F227" s="234" t="s">
        <v>19</v>
      </c>
      <c r="G227" s="234" t="s">
        <v>19</v>
      </c>
      <c r="H227" s="234" t="s">
        <v>4433</v>
      </c>
      <c r="I227" s="234" t="s">
        <v>19</v>
      </c>
      <c r="J227" s="234" t="s">
        <v>4434</v>
      </c>
      <c r="K227" s="237" t="str">
        <f>IF(COUNTIF(L227:AY227,"&lt;&gt;")=0,"",SUMPRODUCT(((Recommendations[ImplStatus]="Implemented")+(Recommendations[ImplStatus]="Compensated"))*ISNUMBER(MATCH(Recommendations[Id],L227:AY227,0)))/COUNTIF(L227:AY227,"&lt;&gt;"))</f>
        <v/>
      </c>
      <c r="L227" s="240"/>
      <c r="M227" s="240"/>
      <c r="N227" s="240"/>
      <c r="O227" s="240"/>
      <c r="P227" s="240"/>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4435</v>
      </c>
      <c r="B228" s="234" t="s">
        <v>4436</v>
      </c>
      <c r="C228" s="234" t="s">
        <v>4437</v>
      </c>
      <c r="D228" s="234" t="s">
        <v>19</v>
      </c>
      <c r="E228" s="234" t="s">
        <v>19</v>
      </c>
      <c r="F228" s="234" t="s">
        <v>19</v>
      </c>
      <c r="G228" s="234" t="s">
        <v>19</v>
      </c>
      <c r="H228" s="234" t="s">
        <v>4438</v>
      </c>
      <c r="I228" s="234" t="s">
        <v>19</v>
      </c>
      <c r="J228" s="234" t="s">
        <v>4439</v>
      </c>
      <c r="K228" s="237" t="str">
        <f>IF(COUNTIF(L228:AY228,"&lt;&gt;")=0,"",SUMPRODUCT(((Recommendations[ImplStatus]="Implemented")+(Recommendations[ImplStatus]="Compensated"))*ISNUMBER(MATCH(Recommendations[Id],L228:AY228,0)))/COUNTIF(L228:AY228,"&lt;&gt;"))</f>
        <v/>
      </c>
      <c r="L228" s="240"/>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4440</v>
      </c>
      <c r="B229" s="234" t="s">
        <v>4441</v>
      </c>
      <c r="C229" s="234" t="s">
        <v>4442</v>
      </c>
      <c r="D229" s="234" t="s">
        <v>19</v>
      </c>
      <c r="E229" s="234" t="s">
        <v>19</v>
      </c>
      <c r="F229" s="234" t="s">
        <v>19</v>
      </c>
      <c r="G229" s="234" t="s">
        <v>19</v>
      </c>
      <c r="H229" s="234" t="s">
        <v>4443</v>
      </c>
      <c r="I229" s="234" t="s">
        <v>19</v>
      </c>
      <c r="J229" s="234" t="s">
        <v>4444</v>
      </c>
      <c r="K229" s="237" t="str">
        <f>IF(COUNTIF(L229:AY229,"&lt;&gt;")=0,"",SUMPRODUCT(((Recommendations[ImplStatus]="Implemented")+(Recommendations[ImplStatus]="Compensated"))*ISNUMBER(MATCH(Recommendations[Id],L229:AY229,0)))/COUNTIF(L229:AY229,"&lt;&gt;"))</f>
        <v/>
      </c>
      <c r="L229" s="240"/>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843</v>
      </c>
      <c r="B230" s="233" t="s">
        <v>4445</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4446</v>
      </c>
      <c r="B231" s="234" t="s">
        <v>4447</v>
      </c>
      <c r="C231" s="234" t="s">
        <v>4448</v>
      </c>
      <c r="D231" s="234" t="s">
        <v>4449</v>
      </c>
      <c r="E231" s="234" t="s">
        <v>19</v>
      </c>
      <c r="F231" s="234" t="s">
        <v>19</v>
      </c>
      <c r="G231" s="234" t="s">
        <v>19</v>
      </c>
      <c r="H231" s="234" t="s">
        <v>4450</v>
      </c>
      <c r="I231" s="234" t="s">
        <v>19</v>
      </c>
      <c r="J231" s="234" t="s">
        <v>4451</v>
      </c>
      <c r="K231" s="237" t="str">
        <f>IF(COUNTIF(L231:AY231,"&lt;&gt;")=0,"",SUMPRODUCT(((Recommendations[ImplStatus]="Implemented")+(Recommendations[ImplStatus]="Compensated"))*ISNUMBER(MATCH(Recommendations[Id],L231:AY231,0)))/COUNTIF(L231:AY231,"&lt;&gt;"))</f>
        <v/>
      </c>
      <c r="L231" s="240"/>
      <c r="M231" s="240"/>
      <c r="N231" s="240"/>
      <c r="O231" s="240"/>
      <c r="P231" s="240"/>
      <c r="Q231" s="240"/>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4452</v>
      </c>
      <c r="B232" s="234" t="s">
        <v>4453</v>
      </c>
      <c r="C232" s="234" t="s">
        <v>4454</v>
      </c>
      <c r="D232" s="234" t="s">
        <v>4455</v>
      </c>
      <c r="E232" s="234" t="s">
        <v>19</v>
      </c>
      <c r="F232" s="234" t="s">
        <v>19</v>
      </c>
      <c r="G232" s="234" t="s">
        <v>19</v>
      </c>
      <c r="H232" s="234" t="s">
        <v>4456</v>
      </c>
      <c r="I232" s="234" t="s">
        <v>19</v>
      </c>
      <c r="J232" s="234" t="s">
        <v>4457</v>
      </c>
      <c r="K232" s="237" t="str">
        <f>IF(COUNTIF(L232:AY232,"&lt;&gt;")=0,"",SUMPRODUCT(((Recommendations[ImplStatus]="Implemented")+(Recommendations[ImplStatus]="Compensated"))*ISNUMBER(MATCH(Recommendations[Id],L232:AY232,0)))/COUNTIF(L232:AY232,"&lt;&gt;"))</f>
        <v/>
      </c>
      <c r="L232" s="240"/>
      <c r="M232" s="240"/>
      <c r="N232" s="240"/>
      <c r="O232" s="240"/>
      <c r="P232" s="240"/>
      <c r="Q232" s="240"/>
      <c r="R232" s="240"/>
      <c r="S232" s="240"/>
      <c r="T232" s="240"/>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4458</v>
      </c>
      <c r="B233" s="234" t="s">
        <v>4459</v>
      </c>
      <c r="C233" s="234" t="s">
        <v>4460</v>
      </c>
      <c r="D233" s="234" t="s">
        <v>4461</v>
      </c>
      <c r="E233" s="234" t="s">
        <v>19</v>
      </c>
      <c r="F233" s="234" t="s">
        <v>19</v>
      </c>
      <c r="G233" s="234" t="s">
        <v>19</v>
      </c>
      <c r="H233" s="234" t="s">
        <v>4462</v>
      </c>
      <c r="I233" s="234" t="s">
        <v>19</v>
      </c>
      <c r="J233" s="234" t="s">
        <v>4463</v>
      </c>
      <c r="K233" s="237" t="str">
        <f>IF(COUNTIF(L233:AY233,"&lt;&gt;")=0,"",SUMPRODUCT(((Recommendations[ImplStatus]="Implemented")+(Recommendations[ImplStatus]="Compensated"))*ISNUMBER(MATCH(Recommendations[Id],L233:AY233,0)))/COUNTIF(L233:AY233,"&lt;&gt;"))</f>
        <v/>
      </c>
      <c r="L233" s="240"/>
      <c r="M233" s="240"/>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4464</v>
      </c>
      <c r="B234" s="234" t="s">
        <v>4465</v>
      </c>
      <c r="C234" s="234" t="s">
        <v>4466</v>
      </c>
      <c r="D234" s="234" t="s">
        <v>4467</v>
      </c>
      <c r="E234" s="234" t="s">
        <v>19</v>
      </c>
      <c r="F234" s="234" t="s">
        <v>19</v>
      </c>
      <c r="G234" s="234" t="s">
        <v>19</v>
      </c>
      <c r="H234" s="234" t="s">
        <v>4468</v>
      </c>
      <c r="I234" s="234" t="s">
        <v>19</v>
      </c>
      <c r="J234" s="234" t="s">
        <v>4469</v>
      </c>
      <c r="K234" s="237" t="str">
        <f>IF(COUNTIF(L234:AY234,"&lt;&gt;")=0,"",SUMPRODUCT(((Recommendations[ImplStatus]="Implemented")+(Recommendations[ImplStatus]="Compensated"))*ISNUMBER(MATCH(Recommendations[Id],L234:AY234,0)))/COUNTIF(L234:AY234,"&lt;&gt;"))</f>
        <v/>
      </c>
      <c r="L234" s="240"/>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847</v>
      </c>
      <c r="B235" s="233" t="s">
        <v>4470</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4471</v>
      </c>
      <c r="B236" s="234" t="s">
        <v>4472</v>
      </c>
      <c r="C236" s="234" t="s">
        <v>4473</v>
      </c>
      <c r="D236" s="234" t="s">
        <v>4474</v>
      </c>
      <c r="E236" s="234" t="s">
        <v>19</v>
      </c>
      <c r="F236" s="234" t="s">
        <v>19</v>
      </c>
      <c r="G236" s="234" t="s">
        <v>19</v>
      </c>
      <c r="H236" s="234" t="s">
        <v>4475</v>
      </c>
      <c r="I236" s="234" t="s">
        <v>19</v>
      </c>
      <c r="J236" s="234" t="s">
        <v>4476</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4477</v>
      </c>
      <c r="B237" s="234" t="s">
        <v>4478</v>
      </c>
      <c r="C237" s="234" t="s">
        <v>4479</v>
      </c>
      <c r="D237" s="234" t="s">
        <v>4480</v>
      </c>
      <c r="E237" s="234" t="s">
        <v>19</v>
      </c>
      <c r="F237" s="234" t="s">
        <v>19</v>
      </c>
      <c r="G237" s="234" t="s">
        <v>4481</v>
      </c>
      <c r="H237" s="234" t="s">
        <v>4482</v>
      </c>
      <c r="I237" s="234" t="s">
        <v>3712</v>
      </c>
      <c r="J237" s="234" t="s">
        <v>4483</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4484</v>
      </c>
      <c r="B238" s="234" t="s">
        <v>4485</v>
      </c>
      <c r="C238" s="234" t="s">
        <v>4486</v>
      </c>
      <c r="D238" s="234" t="s">
        <v>19</v>
      </c>
      <c r="E238" s="234" t="s">
        <v>19</v>
      </c>
      <c r="F238" s="234" t="s">
        <v>19</v>
      </c>
      <c r="G238" s="234" t="s">
        <v>19</v>
      </c>
      <c r="H238" s="234" t="s">
        <v>4487</v>
      </c>
      <c r="I238" s="234" t="s">
        <v>4488</v>
      </c>
      <c r="J238" s="234" t="s">
        <v>4489</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4490</v>
      </c>
      <c r="B239" s="234" t="s">
        <v>4491</v>
      </c>
      <c r="C239" s="234" t="s">
        <v>4492</v>
      </c>
      <c r="D239" s="234" t="s">
        <v>19</v>
      </c>
      <c r="E239" s="234" t="s">
        <v>19</v>
      </c>
      <c r="F239" s="234" t="s">
        <v>19</v>
      </c>
      <c r="G239" s="234" t="s">
        <v>19</v>
      </c>
      <c r="H239" s="234" t="s">
        <v>4493</v>
      </c>
      <c r="I239" s="234" t="s">
        <v>3712</v>
      </c>
      <c r="J239" s="234" t="s">
        <v>4494</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4495</v>
      </c>
      <c r="B240" s="234" t="s">
        <v>4496</v>
      </c>
      <c r="C240" s="234" t="s">
        <v>4497</v>
      </c>
      <c r="D240" s="234" t="s">
        <v>4498</v>
      </c>
      <c r="E240" s="234" t="s">
        <v>19</v>
      </c>
      <c r="F240" s="234" t="s">
        <v>19</v>
      </c>
      <c r="G240" s="234" t="s">
        <v>19</v>
      </c>
      <c r="H240" s="234" t="s">
        <v>4499</v>
      </c>
      <c r="I240" s="234" t="s">
        <v>19</v>
      </c>
      <c r="J240" s="234" t="s">
        <v>4500</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851</v>
      </c>
      <c r="B241" s="233" t="s">
        <v>4501</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4502</v>
      </c>
      <c r="B242" s="234" t="s">
        <v>4503</v>
      </c>
      <c r="C242" s="234" t="s">
        <v>4504</v>
      </c>
      <c r="D242" s="234" t="s">
        <v>19</v>
      </c>
      <c r="E242" s="234" t="s">
        <v>19</v>
      </c>
      <c r="F242" s="234" t="s">
        <v>4505</v>
      </c>
      <c r="G242" s="234" t="s">
        <v>19</v>
      </c>
      <c r="H242" s="234" t="s">
        <v>4506</v>
      </c>
      <c r="I242" s="234" t="s">
        <v>19</v>
      </c>
      <c r="J242" s="234" t="s">
        <v>4507</v>
      </c>
      <c r="K242" s="237" t="str">
        <f>IF(COUNTIF(L242:AY242,"&lt;&gt;")=0,"",SUMPRODUCT(((Recommendations[ImplStatus]="Implemented")+(Recommendations[ImplStatus]="Compensated"))*ISNUMBER(MATCH(Recommendations[Id],L242:AY242,0)))/COUNTIF(L242:AY242,"&lt;&gt;"))</f>
        <v/>
      </c>
      <c r="L242" s="240"/>
      <c r="M242" s="240"/>
      <c r="N242" s="240"/>
      <c r="O242" s="240"/>
      <c r="P242" s="240"/>
      <c r="Q242" s="240"/>
      <c r="R242" s="240"/>
      <c r="S242" s="240"/>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855</v>
      </c>
      <c r="B243" s="233" t="s">
        <v>4508</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4509</v>
      </c>
      <c r="B244" s="234" t="s">
        <v>4510</v>
      </c>
      <c r="C244" s="234" t="s">
        <v>4511</v>
      </c>
      <c r="D244" s="234" t="s">
        <v>19</v>
      </c>
      <c r="E244" s="234" t="s">
        <v>19</v>
      </c>
      <c r="F244" s="234" t="s">
        <v>4512</v>
      </c>
      <c r="G244" s="234" t="s">
        <v>19</v>
      </c>
      <c r="H244" s="234" t="s">
        <v>4513</v>
      </c>
      <c r="I244" s="234" t="s">
        <v>4514</v>
      </c>
      <c r="J244" s="234" t="s">
        <v>4515</v>
      </c>
      <c r="K244" s="237" t="str">
        <f>IF(COUNTIF(L244:AY244,"&lt;&gt;")=0,"",SUMPRODUCT(((Recommendations[ImplStatus]="Implemented")+(Recommendations[ImplStatus]="Compensated"))*ISNUMBER(MATCH(Recommendations[Id],L244:AY244,0)))/COUNTIF(L244:AY244,"&lt;&gt;"))</f>
        <v/>
      </c>
      <c r="L244" s="240"/>
      <c r="M244" s="240"/>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4516</v>
      </c>
      <c r="B245" s="234" t="s">
        <v>4517</v>
      </c>
      <c r="C245" s="234" t="s">
        <v>4518</v>
      </c>
      <c r="D245" s="234" t="s">
        <v>4519</v>
      </c>
      <c r="E245" s="234" t="s">
        <v>19</v>
      </c>
      <c r="F245" s="234" t="s">
        <v>19</v>
      </c>
      <c r="G245" s="234" t="s">
        <v>19</v>
      </c>
      <c r="H245" s="234" t="s">
        <v>4520</v>
      </c>
      <c r="I245" s="234" t="s">
        <v>19</v>
      </c>
      <c r="J245" s="234" t="s">
        <v>4521</v>
      </c>
      <c r="K245" s="237" t="str">
        <f>IF(COUNTIF(L245:AY245,"&lt;&gt;")=0,"",SUMPRODUCT(((Recommendations[ImplStatus]="Implemented")+(Recommendations[ImplStatus]="Compensated"))*ISNUMBER(MATCH(Recommendations[Id],L245:AY245,0)))/COUNTIF(L245:AY245,"&lt;&gt;"))</f>
        <v/>
      </c>
      <c r="L245" s="240"/>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4522</v>
      </c>
      <c r="B246" s="234" t="s">
        <v>4523</v>
      </c>
      <c r="C246" s="234" t="s">
        <v>4524</v>
      </c>
      <c r="D246" s="234" t="s">
        <v>19</v>
      </c>
      <c r="E246" s="234" t="s">
        <v>19</v>
      </c>
      <c r="F246" s="234" t="s">
        <v>19</v>
      </c>
      <c r="G246" s="234" t="s">
        <v>19</v>
      </c>
      <c r="H246" s="234" t="s">
        <v>4525</v>
      </c>
      <c r="I246" s="234" t="s">
        <v>19</v>
      </c>
      <c r="J246" s="234" t="s">
        <v>4526</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859</v>
      </c>
      <c r="B247" s="233" t="s">
        <v>4527</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4528</v>
      </c>
      <c r="B248" s="234" t="s">
        <v>4529</v>
      </c>
      <c r="C248" s="234" t="s">
        <v>4530</v>
      </c>
      <c r="D248" s="234" t="s">
        <v>4531</v>
      </c>
      <c r="E248" s="234" t="s">
        <v>19</v>
      </c>
      <c r="F248" s="234" t="s">
        <v>19</v>
      </c>
      <c r="G248" s="234" t="s">
        <v>19</v>
      </c>
      <c r="H248" s="234" t="s">
        <v>4532</v>
      </c>
      <c r="I248" s="234" t="s">
        <v>4533</v>
      </c>
      <c r="J248" s="234" t="s">
        <v>4534</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4535</v>
      </c>
      <c r="B249" s="234" t="s">
        <v>4536</v>
      </c>
      <c r="C249" s="234" t="s">
        <v>4530</v>
      </c>
      <c r="D249" s="234" t="s">
        <v>4537</v>
      </c>
      <c r="E249" s="234" t="s">
        <v>19</v>
      </c>
      <c r="F249" s="234" t="s">
        <v>19</v>
      </c>
      <c r="G249" s="234" t="s">
        <v>19</v>
      </c>
      <c r="H249" s="234" t="s">
        <v>4532</v>
      </c>
      <c r="I249" s="234" t="s">
        <v>4538</v>
      </c>
      <c r="J249" s="234" t="s">
        <v>4539</v>
      </c>
      <c r="K249" s="237" t="str">
        <f>IF(COUNTIF(L249:AY249,"&lt;&gt;")=0,"",SUMPRODUCT(((Recommendations[ImplStatus]="Implemented")+(Recommendations[ImplStatus]="Compensated"))*ISNUMBER(MATCH(Recommendations[Id],L249:AY249,0)))/COUNTIF(L249:AY249,"&lt;&gt;"))</f>
        <v/>
      </c>
      <c r="L249" s="240"/>
      <c r="M249" s="240"/>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4540</v>
      </c>
      <c r="B250" s="234" t="s">
        <v>4541</v>
      </c>
      <c r="C250" s="234" t="s">
        <v>4542</v>
      </c>
      <c r="D250" s="234" t="s">
        <v>4543</v>
      </c>
      <c r="E250" s="234" t="s">
        <v>19</v>
      </c>
      <c r="F250" s="234" t="s">
        <v>19</v>
      </c>
      <c r="G250" s="234" t="s">
        <v>19</v>
      </c>
      <c r="H250" s="234" t="s">
        <v>4544</v>
      </c>
      <c r="I250" s="234" t="s">
        <v>19</v>
      </c>
      <c r="J250" s="234" t="s">
        <v>4545</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4546</v>
      </c>
      <c r="B251" s="232" t="s">
        <v>4547</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865</v>
      </c>
      <c r="B252" s="233" t="s">
        <v>4548</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4549</v>
      </c>
      <c r="B253" s="234" t="s">
        <v>4550</v>
      </c>
      <c r="C253" s="234" t="s">
        <v>4551</v>
      </c>
      <c r="D253" s="234" t="s">
        <v>3484</v>
      </c>
      <c r="E253" s="234" t="s">
        <v>3270</v>
      </c>
      <c r="F253" s="234" t="s">
        <v>19</v>
      </c>
      <c r="G253" s="234" t="s">
        <v>19</v>
      </c>
      <c r="H253" s="234" t="s">
        <v>4552</v>
      </c>
      <c r="I253" s="234" t="s">
        <v>19</v>
      </c>
      <c r="J253" s="234" t="s">
        <v>4553</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4554</v>
      </c>
      <c r="B254" s="234" t="s">
        <v>4555</v>
      </c>
      <c r="C254" s="234" t="s">
        <v>3275</v>
      </c>
      <c r="D254" s="234" t="s">
        <v>3276</v>
      </c>
      <c r="E254" s="234" t="s">
        <v>19</v>
      </c>
      <c r="F254" s="234" t="s">
        <v>3278</v>
      </c>
      <c r="G254" s="234" t="s">
        <v>19</v>
      </c>
      <c r="H254" s="234" t="s">
        <v>4556</v>
      </c>
      <c r="I254" s="234" t="s">
        <v>19</v>
      </c>
      <c r="J254" s="234" t="s">
        <v>4557</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869</v>
      </c>
      <c r="B255" s="233" t="s">
        <v>4558</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4559</v>
      </c>
      <c r="B256" s="234" t="s">
        <v>4560</v>
      </c>
      <c r="C256" s="234" t="s">
        <v>4561</v>
      </c>
      <c r="D256" s="234" t="s">
        <v>4562</v>
      </c>
      <c r="E256" s="234" t="s">
        <v>4563</v>
      </c>
      <c r="F256" s="234" t="s">
        <v>4564</v>
      </c>
      <c r="G256" s="234" t="s">
        <v>19</v>
      </c>
      <c r="H256" s="234" t="s">
        <v>4565</v>
      </c>
      <c r="I256" s="234" t="s">
        <v>19</v>
      </c>
      <c r="J256" s="234" t="s">
        <v>4566</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4567</v>
      </c>
      <c r="B257" s="234" t="s">
        <v>4568</v>
      </c>
      <c r="C257" s="234" t="s">
        <v>4569</v>
      </c>
      <c r="D257" s="234" t="s">
        <v>4570</v>
      </c>
      <c r="E257" s="234" t="s">
        <v>19</v>
      </c>
      <c r="F257" s="234" t="s">
        <v>19</v>
      </c>
      <c r="G257" s="234" t="s">
        <v>19</v>
      </c>
      <c r="H257" s="234" t="s">
        <v>4571</v>
      </c>
      <c r="I257" s="234" t="s">
        <v>19</v>
      </c>
      <c r="J257" s="234" t="s">
        <v>4572</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874</v>
      </c>
      <c r="B258" s="233" t="s">
        <v>4573</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4574</v>
      </c>
      <c r="B259" s="234" t="s">
        <v>4575</v>
      </c>
      <c r="C259" s="234" t="s">
        <v>4576</v>
      </c>
      <c r="D259" s="234" t="s">
        <v>4577</v>
      </c>
      <c r="E259" s="234" t="s">
        <v>4578</v>
      </c>
      <c r="F259" s="234" t="s">
        <v>19</v>
      </c>
      <c r="G259" s="234" t="s">
        <v>19</v>
      </c>
      <c r="H259" s="234" t="s">
        <v>4579</v>
      </c>
      <c r="I259" s="234" t="s">
        <v>19</v>
      </c>
      <c r="J259" s="234" t="s">
        <v>4580</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4581</v>
      </c>
      <c r="B260" s="234" t="s">
        <v>4582</v>
      </c>
      <c r="C260" s="234" t="s">
        <v>4583</v>
      </c>
      <c r="D260" s="234" t="s">
        <v>19</v>
      </c>
      <c r="E260" s="234" t="s">
        <v>19</v>
      </c>
      <c r="F260" s="234" t="s">
        <v>19</v>
      </c>
      <c r="G260" s="234" t="s">
        <v>19</v>
      </c>
      <c r="H260" s="234" t="s">
        <v>4584</v>
      </c>
      <c r="I260" s="234" t="s">
        <v>4585</v>
      </c>
      <c r="J260" s="234" t="s">
        <v>4586</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4587</v>
      </c>
      <c r="B261" s="234" t="s">
        <v>4588</v>
      </c>
      <c r="C261" s="234" t="s">
        <v>4589</v>
      </c>
      <c r="D261" s="234" t="s">
        <v>4590</v>
      </c>
      <c r="E261" s="234" t="s">
        <v>19</v>
      </c>
      <c r="F261" s="234" t="s">
        <v>19</v>
      </c>
      <c r="G261" s="234" t="s">
        <v>19</v>
      </c>
      <c r="H261" s="234" t="s">
        <v>4591</v>
      </c>
      <c r="I261" s="234" t="s">
        <v>4592</v>
      </c>
      <c r="J261" s="234" t="s">
        <v>4593</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4594</v>
      </c>
      <c r="B262" s="234" t="s">
        <v>4595</v>
      </c>
      <c r="C262" s="234" t="s">
        <v>4596</v>
      </c>
      <c r="D262" s="234" t="s">
        <v>4597</v>
      </c>
      <c r="E262" s="234" t="s">
        <v>19</v>
      </c>
      <c r="F262" s="234" t="s">
        <v>19</v>
      </c>
      <c r="G262" s="234" t="s">
        <v>19</v>
      </c>
      <c r="H262" s="234" t="s">
        <v>4598</v>
      </c>
      <c r="I262" s="234" t="s">
        <v>4599</v>
      </c>
      <c r="J262" s="234" t="s">
        <v>4600</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4601</v>
      </c>
      <c r="B263" s="234" t="s">
        <v>4602</v>
      </c>
      <c r="C263" s="234" t="s">
        <v>4603</v>
      </c>
      <c r="D263" s="234" t="s">
        <v>4604</v>
      </c>
      <c r="E263" s="234" t="s">
        <v>19</v>
      </c>
      <c r="F263" s="234" t="s">
        <v>19</v>
      </c>
      <c r="G263" s="234" t="s">
        <v>4605</v>
      </c>
      <c r="H263" s="234" t="s">
        <v>3508</v>
      </c>
      <c r="I263" s="234" t="s">
        <v>4606</v>
      </c>
      <c r="J263" s="234" t="s">
        <v>4607</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4608</v>
      </c>
      <c r="B264" s="234" t="s">
        <v>4609</v>
      </c>
      <c r="C264" s="234" t="s">
        <v>4596</v>
      </c>
      <c r="D264" s="234" t="s">
        <v>4610</v>
      </c>
      <c r="E264" s="234" t="s">
        <v>19</v>
      </c>
      <c r="F264" s="234" t="s">
        <v>19</v>
      </c>
      <c r="G264" s="234" t="s">
        <v>19</v>
      </c>
      <c r="H264" s="234" t="s">
        <v>4611</v>
      </c>
      <c r="I264" s="234" t="s">
        <v>19</v>
      </c>
      <c r="J264" s="234" t="s">
        <v>4612</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878</v>
      </c>
      <c r="B265" s="233" t="s">
        <v>4613</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4614</v>
      </c>
      <c r="B266" s="234" t="s">
        <v>4615</v>
      </c>
      <c r="C266" s="234" t="s">
        <v>4616</v>
      </c>
      <c r="D266" s="234" t="s">
        <v>4617</v>
      </c>
      <c r="E266" s="234" t="s">
        <v>4618</v>
      </c>
      <c r="F266" s="234" t="s">
        <v>19</v>
      </c>
      <c r="G266" s="234" t="s">
        <v>4619</v>
      </c>
      <c r="H266" s="234" t="s">
        <v>4620</v>
      </c>
      <c r="I266" s="234" t="s">
        <v>4621</v>
      </c>
      <c r="J266" s="234" t="s">
        <v>4622</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4623</v>
      </c>
      <c r="B267" s="234" t="s">
        <v>4624</v>
      </c>
      <c r="C267" s="234" t="s">
        <v>4625</v>
      </c>
      <c r="D267" s="234" t="s">
        <v>4626</v>
      </c>
      <c r="E267" s="234" t="s">
        <v>19</v>
      </c>
      <c r="F267" s="234" t="s">
        <v>19</v>
      </c>
      <c r="G267" s="234" t="s">
        <v>19</v>
      </c>
      <c r="H267" s="234" t="s">
        <v>4627</v>
      </c>
      <c r="I267" s="234" t="s">
        <v>19</v>
      </c>
      <c r="J267" s="234" t="s">
        <v>4628</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4629</v>
      </c>
      <c r="B268" s="234" t="s">
        <v>4630</v>
      </c>
      <c r="C268" s="234" t="s">
        <v>4631</v>
      </c>
      <c r="D268" s="234" t="s">
        <v>4626</v>
      </c>
      <c r="E268" s="234" t="s">
        <v>19</v>
      </c>
      <c r="F268" s="234" t="s">
        <v>19</v>
      </c>
      <c r="G268" s="234" t="s">
        <v>4632</v>
      </c>
      <c r="H268" s="234" t="s">
        <v>4633</v>
      </c>
      <c r="I268" s="234" t="s">
        <v>19</v>
      </c>
      <c r="J268" s="234" t="s">
        <v>4634</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4635</v>
      </c>
      <c r="B269" s="234" t="s">
        <v>4636</v>
      </c>
      <c r="C269" s="234" t="s">
        <v>4631</v>
      </c>
      <c r="D269" s="234" t="s">
        <v>4637</v>
      </c>
      <c r="E269" s="234" t="s">
        <v>19</v>
      </c>
      <c r="F269" s="234" t="s">
        <v>19</v>
      </c>
      <c r="G269" s="234" t="s">
        <v>19</v>
      </c>
      <c r="H269" s="234" t="s">
        <v>4638</v>
      </c>
      <c r="I269" s="234" t="s">
        <v>19</v>
      </c>
      <c r="J269" s="234" t="s">
        <v>4639</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4640</v>
      </c>
      <c r="B270" s="234" t="s">
        <v>4641</v>
      </c>
      <c r="C270" s="234" t="s">
        <v>4642</v>
      </c>
      <c r="D270" s="234" t="s">
        <v>4643</v>
      </c>
      <c r="E270" s="234" t="s">
        <v>19</v>
      </c>
      <c r="F270" s="234" t="s">
        <v>19</v>
      </c>
      <c r="G270" s="234" t="s">
        <v>19</v>
      </c>
      <c r="H270" s="234" t="s">
        <v>4644</v>
      </c>
      <c r="I270" s="234" t="s">
        <v>19</v>
      </c>
      <c r="J270" s="234" t="s">
        <v>4645</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4646</v>
      </c>
      <c r="B271" s="234" t="s">
        <v>4647</v>
      </c>
      <c r="C271" s="234" t="s">
        <v>4648</v>
      </c>
      <c r="D271" s="234" t="s">
        <v>4649</v>
      </c>
      <c r="E271" s="234" t="s">
        <v>19</v>
      </c>
      <c r="F271" s="234" t="s">
        <v>19</v>
      </c>
      <c r="G271" s="234" t="s">
        <v>19</v>
      </c>
      <c r="H271" s="234" t="s">
        <v>4650</v>
      </c>
      <c r="I271" s="234" t="s">
        <v>4651</v>
      </c>
      <c r="J271" s="234" t="s">
        <v>19</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4652</v>
      </c>
      <c r="B272" s="234" t="s">
        <v>4653</v>
      </c>
      <c r="C272" s="234" t="s">
        <v>4654</v>
      </c>
      <c r="D272" s="234" t="s">
        <v>4655</v>
      </c>
      <c r="E272" s="234" t="s">
        <v>19</v>
      </c>
      <c r="F272" s="234" t="s">
        <v>19</v>
      </c>
      <c r="G272" s="234" t="s">
        <v>19</v>
      </c>
      <c r="H272" s="234" t="s">
        <v>4656</v>
      </c>
      <c r="I272" s="234" t="s">
        <v>4657</v>
      </c>
      <c r="J272" s="234" t="s">
        <v>4658</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882</v>
      </c>
      <c r="B273" s="233" t="s">
        <v>4659</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4660</v>
      </c>
      <c r="B274" s="234" t="s">
        <v>4661</v>
      </c>
      <c r="C274" s="234" t="s">
        <v>4662</v>
      </c>
      <c r="D274" s="234" t="s">
        <v>4655</v>
      </c>
      <c r="E274" s="234" t="s">
        <v>4663</v>
      </c>
      <c r="F274" s="234" t="s">
        <v>19</v>
      </c>
      <c r="G274" s="234" t="s">
        <v>19</v>
      </c>
      <c r="H274" s="234" t="s">
        <v>4664</v>
      </c>
      <c r="I274" s="234" t="s">
        <v>19</v>
      </c>
      <c r="J274" s="234" t="s">
        <v>4665</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4666</v>
      </c>
      <c r="B275" s="234" t="s">
        <v>4667</v>
      </c>
      <c r="C275" s="234" t="s">
        <v>4668</v>
      </c>
      <c r="D275" s="234" t="s">
        <v>4669</v>
      </c>
      <c r="E275" s="234" t="s">
        <v>19</v>
      </c>
      <c r="F275" s="234" t="s">
        <v>19</v>
      </c>
      <c r="G275" s="234" t="s">
        <v>19</v>
      </c>
      <c r="H275" s="234" t="s">
        <v>4670</v>
      </c>
      <c r="I275" s="234" t="s">
        <v>19</v>
      </c>
      <c r="J275" s="234" t="s">
        <v>4671</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4672</v>
      </c>
      <c r="B276" s="234" t="s">
        <v>4673</v>
      </c>
      <c r="C276" s="234" t="s">
        <v>4674</v>
      </c>
      <c r="D276" s="234" t="s">
        <v>4675</v>
      </c>
      <c r="E276" s="234" t="s">
        <v>19</v>
      </c>
      <c r="F276" s="234" t="s">
        <v>4676</v>
      </c>
      <c r="G276" s="234" t="s">
        <v>19</v>
      </c>
      <c r="H276" s="234" t="s">
        <v>4677</v>
      </c>
      <c r="I276" s="234" t="s">
        <v>4678</v>
      </c>
      <c r="J276" s="234" t="s">
        <v>4679</v>
      </c>
      <c r="K276" s="237" t="str">
        <f>IF(COUNTIF(L276:AY276,"&lt;&gt;")=0,"",SUMPRODUCT(((Recommendations[ImplStatus]="Implemented")+(Recommendations[ImplStatus]="Compensated"))*ISNUMBER(MATCH(Recommendations[Id],L276:AY276,0)))/COUNTIF(L276:AY276,"&lt;&gt;"))</f>
        <v/>
      </c>
      <c r="L276" s="240"/>
      <c r="M276" s="240"/>
      <c r="N276" s="240"/>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4680</v>
      </c>
      <c r="B277" s="233" t="s">
        <v>4681</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4682</v>
      </c>
      <c r="B278" s="234" t="s">
        <v>4683</v>
      </c>
      <c r="C278" s="234" t="s">
        <v>4684</v>
      </c>
      <c r="D278" s="234" t="s">
        <v>4685</v>
      </c>
      <c r="E278" s="234" t="s">
        <v>19</v>
      </c>
      <c r="F278" s="234" t="s">
        <v>4686</v>
      </c>
      <c r="G278" s="234" t="s">
        <v>19</v>
      </c>
      <c r="H278" s="234" t="s">
        <v>4687</v>
      </c>
      <c r="I278" s="234" t="s">
        <v>19</v>
      </c>
      <c r="J278" s="234" t="s">
        <v>4688</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4689</v>
      </c>
      <c r="B279" s="232" t="s">
        <v>4690</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888</v>
      </c>
      <c r="B280" s="233" t="s">
        <v>4691</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4692</v>
      </c>
      <c r="B281" s="234" t="s">
        <v>4693</v>
      </c>
      <c r="C281" s="234" t="s">
        <v>4694</v>
      </c>
      <c r="D281" s="234" t="s">
        <v>4695</v>
      </c>
      <c r="E281" s="234" t="s">
        <v>4696</v>
      </c>
      <c r="F281" s="234" t="s">
        <v>19</v>
      </c>
      <c r="G281" s="234" t="s">
        <v>19</v>
      </c>
      <c r="H281" s="234" t="s">
        <v>4697</v>
      </c>
      <c r="I281" s="234" t="s">
        <v>19</v>
      </c>
      <c r="J281" s="234" t="s">
        <v>4698</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4699</v>
      </c>
      <c r="B282" s="234" t="s">
        <v>4700</v>
      </c>
      <c r="C282" s="234" t="s">
        <v>4701</v>
      </c>
      <c r="D282" s="234" t="s">
        <v>19</v>
      </c>
      <c r="E282" s="234" t="s">
        <v>19</v>
      </c>
      <c r="F282" s="234" t="s">
        <v>19</v>
      </c>
      <c r="G282" s="234" t="s">
        <v>19</v>
      </c>
      <c r="H282" s="234" t="s">
        <v>4702</v>
      </c>
      <c r="I282" s="234" t="s">
        <v>19</v>
      </c>
      <c r="J282" s="234" t="s">
        <v>4703</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4704</v>
      </c>
      <c r="B283" s="234" t="s">
        <v>4705</v>
      </c>
      <c r="C283" s="234" t="s">
        <v>4706</v>
      </c>
      <c r="D283" s="234" t="s">
        <v>19</v>
      </c>
      <c r="E283" s="234" t="s">
        <v>19</v>
      </c>
      <c r="F283" s="234" t="s">
        <v>19</v>
      </c>
      <c r="G283" s="234" t="s">
        <v>19</v>
      </c>
      <c r="H283" s="234" t="s">
        <v>4707</v>
      </c>
      <c r="I283" s="234" t="s">
        <v>19</v>
      </c>
      <c r="J283" s="234" t="s">
        <v>4708</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4709</v>
      </c>
      <c r="B284" s="234" t="s">
        <v>4710</v>
      </c>
      <c r="C284" s="234" t="s">
        <v>4711</v>
      </c>
      <c r="D284" s="234" t="s">
        <v>4712</v>
      </c>
      <c r="E284" s="234" t="s">
        <v>19</v>
      </c>
      <c r="F284" s="234" t="s">
        <v>19</v>
      </c>
      <c r="G284" s="234" t="s">
        <v>19</v>
      </c>
      <c r="H284" s="234" t="s">
        <v>4713</v>
      </c>
      <c r="I284" s="234" t="s">
        <v>19</v>
      </c>
      <c r="J284" s="234" t="s">
        <v>4714</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892</v>
      </c>
      <c r="B285" s="233" t="s">
        <v>4715</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4716</v>
      </c>
      <c r="B286" s="234" t="s">
        <v>4717</v>
      </c>
      <c r="C286" s="234" t="s">
        <v>4718</v>
      </c>
      <c r="D286" s="234" t="s">
        <v>4719</v>
      </c>
      <c r="E286" s="234" t="s">
        <v>19</v>
      </c>
      <c r="F286" s="234" t="s">
        <v>19</v>
      </c>
      <c r="G286" s="234" t="s">
        <v>19</v>
      </c>
      <c r="H286" s="234" t="s">
        <v>4720</v>
      </c>
      <c r="I286" s="234" t="s">
        <v>4721</v>
      </c>
      <c r="J286" s="234" t="s">
        <v>4722</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896</v>
      </c>
      <c r="B287" s="233" t="s">
        <v>4723</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4724</v>
      </c>
      <c r="B288" s="234" t="s">
        <v>4725</v>
      </c>
      <c r="C288" s="234" t="s">
        <v>4726</v>
      </c>
      <c r="D288" s="234" t="s">
        <v>4727</v>
      </c>
      <c r="E288" s="234" t="s">
        <v>4728</v>
      </c>
      <c r="F288" s="234" t="s">
        <v>4729</v>
      </c>
      <c r="G288" s="234" t="s">
        <v>4730</v>
      </c>
      <c r="H288" s="234" t="s">
        <v>4731</v>
      </c>
      <c r="I288" s="234" t="s">
        <v>3712</v>
      </c>
      <c r="J288" s="234" t="s">
        <v>4732</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4733</v>
      </c>
      <c r="B289" s="234" t="s">
        <v>4734</v>
      </c>
      <c r="C289" s="234" t="s">
        <v>4735</v>
      </c>
      <c r="D289" s="234" t="s">
        <v>19</v>
      </c>
      <c r="E289" s="234" t="s">
        <v>4728</v>
      </c>
      <c r="F289" s="234" t="s">
        <v>19</v>
      </c>
      <c r="G289" s="234" t="s">
        <v>4736</v>
      </c>
      <c r="H289" s="234" t="s">
        <v>4737</v>
      </c>
      <c r="I289" s="234" t="s">
        <v>4738</v>
      </c>
      <c r="J289" s="234" t="s">
        <v>4739</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4740</v>
      </c>
      <c r="B290" s="234" t="s">
        <v>4741</v>
      </c>
      <c r="C290" s="234" t="s">
        <v>4742</v>
      </c>
      <c r="D290" s="234" t="s">
        <v>19</v>
      </c>
      <c r="E290" s="234" t="s">
        <v>4743</v>
      </c>
      <c r="F290" s="234" t="s">
        <v>19</v>
      </c>
      <c r="G290" s="234" t="s">
        <v>4744</v>
      </c>
      <c r="H290" s="234" t="s">
        <v>4745</v>
      </c>
      <c r="I290" s="234" t="s">
        <v>4746</v>
      </c>
      <c r="J290" s="234" t="s">
        <v>4747</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4748</v>
      </c>
      <c r="B291" s="234" t="s">
        <v>4749</v>
      </c>
      <c r="C291" s="234" t="s">
        <v>4750</v>
      </c>
      <c r="D291" s="234" t="s">
        <v>19</v>
      </c>
      <c r="E291" s="234" t="s">
        <v>19</v>
      </c>
      <c r="F291" s="234" t="s">
        <v>19</v>
      </c>
      <c r="G291" s="234" t="s">
        <v>19</v>
      </c>
      <c r="H291" s="234" t="s">
        <v>4751</v>
      </c>
      <c r="I291" s="234" t="s">
        <v>3712</v>
      </c>
      <c r="J291" s="234" t="s">
        <v>4752</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900</v>
      </c>
      <c r="B292" s="233" t="s">
        <v>4753</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4754</v>
      </c>
      <c r="B293" s="234" t="s">
        <v>4755</v>
      </c>
      <c r="C293" s="234" t="s">
        <v>4756</v>
      </c>
      <c r="D293" s="234" t="s">
        <v>4757</v>
      </c>
      <c r="E293" s="234" t="s">
        <v>19</v>
      </c>
      <c r="F293" s="234" t="s">
        <v>19</v>
      </c>
      <c r="G293" s="234" t="s">
        <v>19</v>
      </c>
      <c r="H293" s="234" t="s">
        <v>4758</v>
      </c>
      <c r="I293" s="234" t="s">
        <v>4759</v>
      </c>
      <c r="J293" s="234" t="s">
        <v>4760</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4761</v>
      </c>
      <c r="B294" s="234" t="s">
        <v>4762</v>
      </c>
      <c r="C294" s="234" t="s">
        <v>4763</v>
      </c>
      <c r="D294" s="234" t="s">
        <v>4757</v>
      </c>
      <c r="E294" s="234" t="s">
        <v>19</v>
      </c>
      <c r="F294" s="234" t="s">
        <v>4764</v>
      </c>
      <c r="G294" s="234" t="s">
        <v>19</v>
      </c>
      <c r="H294" s="234" t="s">
        <v>4765</v>
      </c>
      <c r="I294" s="234" t="s">
        <v>3682</v>
      </c>
      <c r="J294" s="234" t="s">
        <v>4766</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4767</v>
      </c>
      <c r="B295" s="234" t="s">
        <v>4768</v>
      </c>
      <c r="C295" s="234" t="s">
        <v>4769</v>
      </c>
      <c r="D295" s="234" t="s">
        <v>4770</v>
      </c>
      <c r="E295" s="234" t="s">
        <v>19</v>
      </c>
      <c r="F295" s="234" t="s">
        <v>19</v>
      </c>
      <c r="G295" s="234" t="s">
        <v>19</v>
      </c>
      <c r="H295" s="234" t="s">
        <v>4771</v>
      </c>
      <c r="I295" s="234" t="s">
        <v>3682</v>
      </c>
      <c r="J295" s="234" t="s">
        <v>4772</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904</v>
      </c>
      <c r="B296" s="233" t="s">
        <v>4773</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4774</v>
      </c>
      <c r="B297" s="234" t="s">
        <v>4775</v>
      </c>
      <c r="C297" s="234" t="s">
        <v>4776</v>
      </c>
      <c r="D297" s="234" t="s">
        <v>4770</v>
      </c>
      <c r="E297" s="234" t="s">
        <v>19</v>
      </c>
      <c r="F297" s="234" t="s">
        <v>4777</v>
      </c>
      <c r="G297" s="234" t="s">
        <v>19</v>
      </c>
      <c r="H297" s="234" t="s">
        <v>4778</v>
      </c>
      <c r="I297" s="234" t="s">
        <v>19</v>
      </c>
      <c r="J297" s="234" t="s">
        <v>4779</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4780</v>
      </c>
      <c r="B298" s="234" t="s">
        <v>4781</v>
      </c>
      <c r="C298" s="234" t="s">
        <v>4782</v>
      </c>
      <c r="D298" s="234" t="s">
        <v>4783</v>
      </c>
      <c r="E298" s="234" t="s">
        <v>19</v>
      </c>
      <c r="F298" s="234" t="s">
        <v>19</v>
      </c>
      <c r="G298" s="234" t="s">
        <v>4784</v>
      </c>
      <c r="H298" s="234" t="s">
        <v>4785</v>
      </c>
      <c r="I298" s="234" t="s">
        <v>4785</v>
      </c>
      <c r="J298" s="234" t="s">
        <v>4786</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4787</v>
      </c>
      <c r="B299" s="234" t="s">
        <v>4788</v>
      </c>
      <c r="C299" s="234" t="s">
        <v>4789</v>
      </c>
      <c r="D299" s="234" t="s">
        <v>19</v>
      </c>
      <c r="E299" s="234" t="s">
        <v>19</v>
      </c>
      <c r="F299" s="234" t="s">
        <v>19</v>
      </c>
      <c r="G299" s="234" t="s">
        <v>19</v>
      </c>
      <c r="H299" s="234" t="s">
        <v>4790</v>
      </c>
      <c r="I299" s="234" t="s">
        <v>4791</v>
      </c>
      <c r="J299" s="234" t="s">
        <v>4792</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4793</v>
      </c>
      <c r="B300" s="234" t="s">
        <v>4794</v>
      </c>
      <c r="C300" s="234" t="s">
        <v>4795</v>
      </c>
      <c r="D300" s="234" t="s">
        <v>19</v>
      </c>
      <c r="E300" s="234" t="s">
        <v>19</v>
      </c>
      <c r="F300" s="234" t="s">
        <v>4796</v>
      </c>
      <c r="G300" s="234" t="s">
        <v>19</v>
      </c>
      <c r="H300" s="234" t="s">
        <v>4797</v>
      </c>
      <c r="I300" s="234" t="s">
        <v>4791</v>
      </c>
      <c r="J300" s="234" t="s">
        <v>4798</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908</v>
      </c>
      <c r="B301" s="233" t="s">
        <v>4799</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4800</v>
      </c>
      <c r="B302" s="234" t="s">
        <v>4801</v>
      </c>
      <c r="C302" s="234" t="s">
        <v>4802</v>
      </c>
      <c r="D302" s="234" t="s">
        <v>19</v>
      </c>
      <c r="E302" s="234" t="s">
        <v>19</v>
      </c>
      <c r="F302" s="234" t="s">
        <v>19</v>
      </c>
      <c r="G302" s="234" t="s">
        <v>19</v>
      </c>
      <c r="H302" s="234" t="s">
        <v>4803</v>
      </c>
      <c r="I302" s="234" t="s">
        <v>19</v>
      </c>
      <c r="J302" s="234" t="s">
        <v>4804</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4805</v>
      </c>
      <c r="B303" s="234" t="s">
        <v>4806</v>
      </c>
      <c r="C303" s="234" t="s">
        <v>4807</v>
      </c>
      <c r="D303" s="234" t="s">
        <v>4808</v>
      </c>
      <c r="E303" s="234" t="s">
        <v>19</v>
      </c>
      <c r="F303" s="234" t="s">
        <v>19</v>
      </c>
      <c r="G303" s="234" t="s">
        <v>19</v>
      </c>
      <c r="H303" s="234" t="s">
        <v>4809</v>
      </c>
      <c r="I303" s="234" t="s">
        <v>3712</v>
      </c>
      <c r="J303" s="234" t="s">
        <v>4810</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4811</v>
      </c>
      <c r="B304" s="234" t="s">
        <v>4812</v>
      </c>
      <c r="C304" s="234" t="s">
        <v>4813</v>
      </c>
      <c r="D304" s="234" t="s">
        <v>4808</v>
      </c>
      <c r="E304" s="234" t="s">
        <v>19</v>
      </c>
      <c r="F304" s="234" t="s">
        <v>4814</v>
      </c>
      <c r="G304" s="234" t="s">
        <v>19</v>
      </c>
      <c r="H304" s="234" t="s">
        <v>4815</v>
      </c>
      <c r="I304" s="234" t="s">
        <v>19</v>
      </c>
      <c r="J304" s="234" t="s">
        <v>4816</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4817</v>
      </c>
      <c r="B305" s="234" t="s">
        <v>4818</v>
      </c>
      <c r="C305" s="234" t="s">
        <v>4819</v>
      </c>
      <c r="D305" s="234" t="s">
        <v>4820</v>
      </c>
      <c r="E305" s="234" t="s">
        <v>19</v>
      </c>
      <c r="F305" s="234" t="s">
        <v>19</v>
      </c>
      <c r="G305" s="234" t="s">
        <v>19</v>
      </c>
      <c r="H305" s="234" t="s">
        <v>4821</v>
      </c>
      <c r="I305" s="234" t="s">
        <v>4822</v>
      </c>
      <c r="J305" s="234" t="s">
        <v>4823</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4824</v>
      </c>
      <c r="B306" s="234" t="s">
        <v>4825</v>
      </c>
      <c r="C306" s="234" t="s">
        <v>4826</v>
      </c>
      <c r="D306" s="234" t="s">
        <v>4827</v>
      </c>
      <c r="E306" s="234" t="s">
        <v>19</v>
      </c>
      <c r="F306" s="234" t="s">
        <v>19</v>
      </c>
      <c r="G306" s="234" t="s">
        <v>19</v>
      </c>
      <c r="H306" s="234" t="s">
        <v>4828</v>
      </c>
      <c r="I306" s="234" t="s">
        <v>3712</v>
      </c>
      <c r="J306" s="234" t="s">
        <v>4829</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912</v>
      </c>
      <c r="B307" s="233" t="s">
        <v>4830</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4831</v>
      </c>
      <c r="B308" s="234" t="s">
        <v>4832</v>
      </c>
      <c r="C308" s="234" t="s">
        <v>4833</v>
      </c>
      <c r="D308" s="234" t="s">
        <v>4827</v>
      </c>
      <c r="E308" s="234" t="s">
        <v>19</v>
      </c>
      <c r="F308" s="234" t="s">
        <v>4834</v>
      </c>
      <c r="G308" s="234" t="s">
        <v>19</v>
      </c>
      <c r="H308" s="234" t="s">
        <v>4835</v>
      </c>
      <c r="I308" s="234" t="s">
        <v>4836</v>
      </c>
      <c r="J308" s="234" t="s">
        <v>4837</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916</v>
      </c>
      <c r="B309" s="233" t="s">
        <v>4838</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4839</v>
      </c>
      <c r="B310" s="234" t="s">
        <v>4840</v>
      </c>
      <c r="C310" s="234" t="s">
        <v>4841</v>
      </c>
      <c r="D310" s="234" t="s">
        <v>19</v>
      </c>
      <c r="E310" s="234" t="s">
        <v>19</v>
      </c>
      <c r="F310" s="234" t="s">
        <v>4842</v>
      </c>
      <c r="G310" s="234" t="s">
        <v>19</v>
      </c>
      <c r="H310" s="234" t="s">
        <v>4843</v>
      </c>
      <c r="I310" s="234" t="s">
        <v>4844</v>
      </c>
      <c r="J310" s="234" t="s">
        <v>4845</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4846</v>
      </c>
      <c r="B311" s="234" t="s">
        <v>4847</v>
      </c>
      <c r="C311" s="234" t="s">
        <v>4848</v>
      </c>
      <c r="D311" s="234" t="s">
        <v>4849</v>
      </c>
      <c r="E311" s="234" t="s">
        <v>19</v>
      </c>
      <c r="F311" s="234" t="s">
        <v>19</v>
      </c>
      <c r="G311" s="234" t="s">
        <v>4850</v>
      </c>
      <c r="H311" s="234" t="s">
        <v>4851</v>
      </c>
      <c r="I311" s="234" t="s">
        <v>19</v>
      </c>
      <c r="J311" s="234" t="s">
        <v>4852</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4853</v>
      </c>
      <c r="B312" s="234" t="s">
        <v>4854</v>
      </c>
      <c r="C312" s="234" t="s">
        <v>4855</v>
      </c>
      <c r="D312" s="234" t="s">
        <v>4856</v>
      </c>
      <c r="E312" s="234" t="s">
        <v>19</v>
      </c>
      <c r="F312" s="234" t="s">
        <v>19</v>
      </c>
      <c r="G312" s="234" t="s">
        <v>19</v>
      </c>
      <c r="H312" s="234" t="s">
        <v>4857</v>
      </c>
      <c r="I312" s="234" t="s">
        <v>19</v>
      </c>
      <c r="J312" s="234" t="s">
        <v>4858</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4859</v>
      </c>
      <c r="B313" s="234" t="s">
        <v>4860</v>
      </c>
      <c r="C313" s="234" t="s">
        <v>4861</v>
      </c>
      <c r="D313" s="234" t="s">
        <v>4862</v>
      </c>
      <c r="E313" s="234" t="s">
        <v>19</v>
      </c>
      <c r="F313" s="234" t="s">
        <v>19</v>
      </c>
      <c r="G313" s="234" t="s">
        <v>4863</v>
      </c>
      <c r="H313" s="234" t="s">
        <v>4864</v>
      </c>
      <c r="I313" s="234" t="s">
        <v>4865</v>
      </c>
      <c r="J313" s="234" t="s">
        <v>4866</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4867</v>
      </c>
      <c r="B314" s="234" t="s">
        <v>4868</v>
      </c>
      <c r="C314" s="234" t="s">
        <v>4869</v>
      </c>
      <c r="D314" s="234" t="s">
        <v>4870</v>
      </c>
      <c r="E314" s="234" t="s">
        <v>19</v>
      </c>
      <c r="F314" s="234" t="s">
        <v>19</v>
      </c>
      <c r="G314" s="234" t="s">
        <v>4871</v>
      </c>
      <c r="H314" s="234" t="s">
        <v>4872</v>
      </c>
      <c r="I314" s="234" t="s">
        <v>4873</v>
      </c>
      <c r="J314" s="234" t="s">
        <v>4874</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4875</v>
      </c>
      <c r="B315" s="233" t="s">
        <v>4876</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4877</v>
      </c>
      <c r="B316" s="234" t="s">
        <v>4878</v>
      </c>
      <c r="C316" s="234" t="s">
        <v>4879</v>
      </c>
      <c r="D316" s="234" t="s">
        <v>19</v>
      </c>
      <c r="E316" s="234" t="s">
        <v>19</v>
      </c>
      <c r="F316" s="234" t="s">
        <v>19</v>
      </c>
      <c r="G316" s="234" t="s">
        <v>19</v>
      </c>
      <c r="H316" s="234" t="s">
        <v>4880</v>
      </c>
      <c r="I316" s="234" t="s">
        <v>4881</v>
      </c>
      <c r="J316" s="234" t="s">
        <v>4882</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4883</v>
      </c>
      <c r="B317" s="234" t="s">
        <v>4884</v>
      </c>
      <c r="C317" s="234" t="s">
        <v>19</v>
      </c>
      <c r="D317" s="234" t="s">
        <v>19</v>
      </c>
      <c r="E317" s="234" t="s">
        <v>19</v>
      </c>
      <c r="F317" s="234" t="s">
        <v>19</v>
      </c>
      <c r="G317" s="234" t="s">
        <v>19</v>
      </c>
      <c r="H317" s="234" t="s">
        <v>19</v>
      </c>
      <c r="I317" s="234" t="s">
        <v>19</v>
      </c>
      <c r="J317" s="234" t="s">
        <v>19</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4885</v>
      </c>
      <c r="B318" s="233" t="s">
        <v>4886</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4887</v>
      </c>
      <c r="B319" s="234" t="s">
        <v>4888</v>
      </c>
      <c r="C319" s="234" t="s">
        <v>4889</v>
      </c>
      <c r="D319" s="234" t="s">
        <v>4890</v>
      </c>
      <c r="E319" s="234" t="s">
        <v>19</v>
      </c>
      <c r="F319" s="234" t="s">
        <v>4891</v>
      </c>
      <c r="G319" s="234" t="s">
        <v>4892</v>
      </c>
      <c r="H319" s="234" t="s">
        <v>4893</v>
      </c>
      <c r="I319" s="234" t="s">
        <v>19</v>
      </c>
      <c r="J319" s="234" t="s">
        <v>4894</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4895</v>
      </c>
      <c r="B320" s="234" t="s">
        <v>4896</v>
      </c>
      <c r="C320" s="234" t="s">
        <v>4897</v>
      </c>
      <c r="D320" s="234" t="s">
        <v>4898</v>
      </c>
      <c r="E320" s="234" t="s">
        <v>19</v>
      </c>
      <c r="F320" s="234" t="s">
        <v>19</v>
      </c>
      <c r="G320" s="234" t="s">
        <v>19</v>
      </c>
      <c r="H320" s="234" t="s">
        <v>4899</v>
      </c>
      <c r="I320" s="234" t="s">
        <v>19</v>
      </c>
      <c r="J320" s="234" t="s">
        <v>19</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4900</v>
      </c>
      <c r="B321" s="234" t="s">
        <v>4901</v>
      </c>
      <c r="C321" s="234" t="s">
        <v>4902</v>
      </c>
      <c r="D321" s="234" t="s">
        <v>4903</v>
      </c>
      <c r="E321" s="234" t="s">
        <v>19</v>
      </c>
      <c r="F321" s="234" t="s">
        <v>19</v>
      </c>
      <c r="G321" s="234" t="s">
        <v>19</v>
      </c>
      <c r="H321" s="234" t="s">
        <v>4904</v>
      </c>
      <c r="I321" s="234" t="s">
        <v>19</v>
      </c>
      <c r="J321" s="234" t="s">
        <v>4905</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4906</v>
      </c>
      <c r="B322" s="234" t="s">
        <v>4907</v>
      </c>
      <c r="C322" s="234" t="s">
        <v>4908</v>
      </c>
      <c r="D322" s="234" t="s">
        <v>4909</v>
      </c>
      <c r="E322" s="234" t="s">
        <v>19</v>
      </c>
      <c r="F322" s="234" t="s">
        <v>19</v>
      </c>
      <c r="G322" s="234" t="s">
        <v>19</v>
      </c>
      <c r="H322" s="234" t="s">
        <v>4910</v>
      </c>
      <c r="I322" s="234" t="s">
        <v>19</v>
      </c>
      <c r="J322" s="234" t="s">
        <v>4911</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4912</v>
      </c>
      <c r="B323" s="234" t="s">
        <v>4913</v>
      </c>
      <c r="C323" s="234" t="s">
        <v>4914</v>
      </c>
      <c r="D323" s="234" t="s">
        <v>19</v>
      </c>
      <c r="E323" s="234" t="s">
        <v>19</v>
      </c>
      <c r="F323" s="234" t="s">
        <v>19</v>
      </c>
      <c r="G323" s="234" t="s">
        <v>19</v>
      </c>
      <c r="H323" s="234" t="s">
        <v>4915</v>
      </c>
      <c r="I323" s="234" t="s">
        <v>3712</v>
      </c>
      <c r="J323" s="234" t="s">
        <v>4916</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4917</v>
      </c>
      <c r="B324" s="234" t="s">
        <v>4918</v>
      </c>
      <c r="C324" s="234" t="s">
        <v>4919</v>
      </c>
      <c r="D324" s="234" t="s">
        <v>19</v>
      </c>
      <c r="E324" s="234" t="s">
        <v>19</v>
      </c>
      <c r="F324" s="234" t="s">
        <v>19</v>
      </c>
      <c r="G324" s="234" t="s">
        <v>19</v>
      </c>
      <c r="H324" s="234" t="s">
        <v>4920</v>
      </c>
      <c r="I324" s="234" t="s">
        <v>4921</v>
      </c>
      <c r="J324" s="234" t="s">
        <v>4922</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4923</v>
      </c>
      <c r="B325" s="234" t="s">
        <v>4924</v>
      </c>
      <c r="C325" s="234" t="s">
        <v>4925</v>
      </c>
      <c r="D325" s="234" t="s">
        <v>4926</v>
      </c>
      <c r="E325" s="234" t="s">
        <v>19</v>
      </c>
      <c r="F325" s="234" t="s">
        <v>19</v>
      </c>
      <c r="G325" s="234" t="s">
        <v>19</v>
      </c>
      <c r="H325" s="234" t="s">
        <v>4927</v>
      </c>
      <c r="I325" s="234" t="s">
        <v>19</v>
      </c>
      <c r="J325" s="234" t="s">
        <v>4928</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4929</v>
      </c>
      <c r="B326" s="241" t="s">
        <v>4930</v>
      </c>
      <c r="C326" s="241" t="s">
        <v>4931</v>
      </c>
      <c r="D326" s="241" t="s">
        <v>4932</v>
      </c>
      <c r="E326" s="241" t="s">
        <v>19</v>
      </c>
      <c r="F326" s="241" t="s">
        <v>19</v>
      </c>
      <c r="G326" s="241" t="s">
        <v>19</v>
      </c>
      <c r="H326" s="241" t="s">
        <v>4933</v>
      </c>
      <c r="I326" s="241" t="s">
        <v>3712</v>
      </c>
      <c r="J326" s="241" t="s">
        <v>4934</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55" t="s">
        <v>209</v>
      </c>
      <c r="B330" s="255"/>
      <c r="C330" s="255"/>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IFERROR(INDEX('Recommendations'!$G$2:$G$44, MATCH(L2,'Recommendations'!$A$2:$A$44,0))="Implemented", FALSE))</xm:f>
            <x14:dxf>
              <font>
                <color rgb="FF000000"/>
              </font>
              <fill>
                <patternFill>
                  <bgColor rgb="FF3C7D22"/>
                </patternFill>
              </fill>
            </x14:dxf>
          </x14:cfRule>
          <x14:cfRule type="expression" priority="2" id="{00000000-000E-0000-0A00-000002000000}">
            <xm:f>AND(L2&lt;&gt;"", IFERROR(INDEX('Recommendations'!$G$2:$G$44, MATCH(L2,'Recommendations'!$A$2:$A$44,0))="Compensated", FALSE))</xm:f>
            <x14:dxf>
              <font>
                <color rgb="FF000000"/>
              </font>
              <fill>
                <patternFill>
                  <bgColor rgb="FFC6E0B4"/>
                </patternFill>
              </fill>
            </x14:dxf>
          </x14:cfRule>
          <x14:cfRule type="expression" priority="3" id="{00000000-000E-0000-0A00-000003000000}">
            <xm:f>AND(L2&lt;&gt;"", IFERROR(INDEX('Recommendations'!$G$2:$G$44, MATCH(L2,'Recommendations'!$A$2:$A$44,0))="Testing", FALSE))</xm:f>
            <x14:dxf>
              <font>
                <color rgb="FF000000"/>
              </font>
              <fill>
                <patternFill>
                  <bgColor rgb="FFFFC000"/>
                </patternFill>
              </fill>
            </x14:dxf>
          </x14:cfRule>
          <x14:cfRule type="expression" priority="4" id="{00000000-000E-0000-0A00-000004000000}">
            <xm:f>AND(L2&lt;&gt;"", IFERROR(INDEX('Recommendations'!$G$2:$G$44, MATCH(L2,'Recommendations'!$A$2:$A$44,0))="Failed", FALSE))</xm:f>
            <x14:dxf>
              <font>
                <color rgb="FF000000"/>
              </font>
              <fill>
                <patternFill>
                  <bgColor rgb="FFD82891"/>
                </patternFill>
              </fill>
            </x14:dxf>
          </x14:cfRule>
          <x14:cfRule type="expression" priority="5" id="{00000000-000E-0000-0A00-000005000000}">
            <xm:f>AND(L2&lt;&gt;"", IFERROR(INDEX('Recommendations'!$G$2:$G$44, MATCH(L2,'Recommendations'!$A$2:$A$44,0))="Risk Accepted", FALSE))</xm:f>
            <x14:dxf>
              <font>
                <color rgb="FF000000"/>
              </font>
              <fill>
                <patternFill>
                  <bgColor rgb="FFD9D9D9"/>
                </patternFill>
              </fill>
            </x14:dxf>
          </x14:cfRule>
          <x14:cfRule type="expression" priority="6" id="{00000000-000E-0000-0A00-000006000000}">
            <xm:f>AND(L2&lt;&gt;"", IFERROR(INDEX('Recommendations'!$G$2:$G$44, MATCH(L2,'Recommendations'!$A$2:$A$44,0))="N/A", FALSE))</xm:f>
            <x14:dxf>
              <font>
                <color rgb="FF000000"/>
              </font>
              <fill>
                <patternFill>
                  <bgColor rgb="FFF2F2F2"/>
                </patternFill>
              </fill>
            </x14:dxf>
          </x14:cfRule>
          <xm:sqref>L2:AY326</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256" t="s">
        <v>286</v>
      </c>
      <c r="C2" s="257"/>
      <c r="D2" s="257"/>
      <c r="E2" s="257"/>
      <c r="F2" s="257"/>
      <c r="G2" s="257"/>
      <c r="H2" s="257"/>
      <c r="I2" s="257"/>
    </row>
    <row r="4" spans="2:15" ht="18.5" x14ac:dyDescent="0.45">
      <c r="B4" s="39" t="s">
        <v>287</v>
      </c>
    </row>
    <row r="5" spans="2:15" x14ac:dyDescent="0.35">
      <c r="B5" s="41" t="s">
        <v>19</v>
      </c>
      <c r="C5" s="41" t="s">
        <v>288</v>
      </c>
      <c r="D5" s="41" t="s">
        <v>289</v>
      </c>
      <c r="F5" s="258" t="s">
        <v>290</v>
      </c>
      <c r="G5" s="258"/>
      <c r="H5" s="258"/>
      <c r="I5" s="259" t="s">
        <v>291</v>
      </c>
      <c r="J5" s="259"/>
      <c r="K5" s="259"/>
      <c r="L5" s="259"/>
      <c r="M5" s="259"/>
      <c r="N5" s="259"/>
      <c r="O5" s="259"/>
    </row>
    <row r="6" spans="2:15" x14ac:dyDescent="0.35">
      <c r="B6" s="47" t="s">
        <v>292</v>
      </c>
      <c r="C6" s="48">
        <v>43</v>
      </c>
      <c r="D6" s="49" t="s">
        <v>19</v>
      </c>
      <c r="F6" s="258" t="s">
        <v>293</v>
      </c>
      <c r="G6" s="258"/>
      <c r="H6" s="258"/>
      <c r="I6" s="260" t="s">
        <v>294</v>
      </c>
      <c r="J6" s="260"/>
      <c r="K6" s="260"/>
      <c r="L6" s="260"/>
      <c r="M6" s="260"/>
      <c r="N6" s="260"/>
      <c r="O6" s="260"/>
    </row>
    <row r="7" spans="2:15" x14ac:dyDescent="0.35">
      <c r="B7" s="50" t="s">
        <v>295</v>
      </c>
      <c r="C7" s="51">
        <f>C6-C8-C9</f>
        <v>43</v>
      </c>
      <c r="D7" s="52">
        <f>IF(C6&gt;0,C7/C6,0)</f>
        <v>1</v>
      </c>
      <c r="F7" s="258" t="s">
        <v>296</v>
      </c>
      <c r="G7" s="258"/>
      <c r="H7" s="258"/>
      <c r="I7" s="260" t="s">
        <v>294</v>
      </c>
      <c r="J7" s="260"/>
      <c r="K7" s="260"/>
      <c r="L7" s="260"/>
      <c r="M7" s="260"/>
      <c r="N7" s="260"/>
      <c r="O7" s="260"/>
    </row>
    <row r="8" spans="2:15" x14ac:dyDescent="0.35">
      <c r="B8" s="43" t="s">
        <v>297</v>
      </c>
      <c r="C8" s="44">
        <f>COUNTIF('Recommendations'!G:G,"Risk Accepted")</f>
        <v>0</v>
      </c>
      <c r="D8" s="45">
        <f>IF(C6&gt;0,C8/C6,0)</f>
        <v>0</v>
      </c>
      <c r="F8" s="258" t="s">
        <v>298</v>
      </c>
      <c r="G8" s="258"/>
      <c r="H8" s="258"/>
      <c r="I8" s="260" t="s">
        <v>294</v>
      </c>
      <c r="J8" s="260"/>
      <c r="K8" s="260"/>
      <c r="L8" s="260"/>
      <c r="M8" s="260"/>
      <c r="N8" s="260"/>
      <c r="O8" s="260"/>
    </row>
    <row r="9" spans="2:15" x14ac:dyDescent="0.35">
      <c r="B9" s="43" t="s">
        <v>299</v>
      </c>
      <c r="C9" s="44">
        <f>COUNTIF('Recommendations'!G:G,"N/A")</f>
        <v>0</v>
      </c>
      <c r="D9" s="45">
        <f>IF(C6&gt;0,C9/C6,0)</f>
        <v>0</v>
      </c>
      <c r="F9" s="258" t="s">
        <v>300</v>
      </c>
      <c r="G9" s="258"/>
      <c r="H9" s="258"/>
      <c r="I9" s="260" t="s">
        <v>294</v>
      </c>
      <c r="J9" s="260"/>
      <c r="K9" s="260"/>
      <c r="L9" s="260"/>
      <c r="M9" s="260"/>
      <c r="N9" s="260"/>
      <c r="O9" s="260"/>
    </row>
    <row r="12" spans="2:15" ht="18.5" x14ac:dyDescent="0.45">
      <c r="B12" s="39" t="s">
        <v>301</v>
      </c>
    </row>
    <row r="14" spans="2:15" x14ac:dyDescent="0.35">
      <c r="B14" s="53" t="s">
        <v>302</v>
      </c>
    </row>
    <row r="15" spans="2:15" x14ac:dyDescent="0.35">
      <c r="B15" s="41" t="s">
        <v>19</v>
      </c>
      <c r="C15" s="41" t="s">
        <v>303</v>
      </c>
      <c r="D15" s="41" t="s">
        <v>304</v>
      </c>
      <c r="E15" s="41" t="s">
        <v>305</v>
      </c>
      <c r="F15" s="41" t="s">
        <v>306</v>
      </c>
    </row>
    <row r="16" spans="2:15" x14ac:dyDescent="0.35">
      <c r="B16" s="43" t="s">
        <v>307</v>
      </c>
      <c r="C16" s="44">
        <f>COUNTIF('Recommendations'!L:L,"Resolved")</f>
        <v>0</v>
      </c>
      <c r="D16" s="44">
        <f>COUNTIF('Recommendations'!L:L,"Testing")</f>
        <v>0</v>
      </c>
      <c r="E16" s="44">
        <f>COUNTIF('Recommendations'!L:L,"Outstanding")</f>
        <v>43</v>
      </c>
      <c r="F16" s="44">
        <f>SUM(C16:E16)</f>
        <v>43</v>
      </c>
    </row>
    <row r="18" spans="2:6" x14ac:dyDescent="0.35">
      <c r="B18" s="53" t="s">
        <v>308</v>
      </c>
    </row>
    <row r="19" spans="2:6" x14ac:dyDescent="0.35">
      <c r="B19" s="54" t="s">
        <v>19</v>
      </c>
      <c r="C19" s="54" t="s">
        <v>303</v>
      </c>
      <c r="D19" s="54" t="s">
        <v>304</v>
      </c>
      <c r="E19" s="54" t="s">
        <v>305</v>
      </c>
      <c r="F19" s="54" t="s">
        <v>19</v>
      </c>
    </row>
    <row r="20" spans="2:6" x14ac:dyDescent="0.35">
      <c r="B20" s="43" t="s">
        <v>307</v>
      </c>
      <c r="C20" s="45">
        <f>IF(F16&gt;0, C16/F16, 0)</f>
        <v>0</v>
      </c>
      <c r="D20" s="45">
        <f>IF(F16&gt;0, D16/F16, 0)</f>
        <v>0</v>
      </c>
      <c r="E20" s="45">
        <f>IF(F16&gt;0, E16/F16, 0)</f>
        <v>1</v>
      </c>
      <c r="F20" s="46" t="s">
        <v>19</v>
      </c>
    </row>
    <row r="25" spans="2:6" ht="18.5" x14ac:dyDescent="0.45">
      <c r="B25" s="39" t="s">
        <v>309</v>
      </c>
    </row>
    <row r="27" spans="2:6" x14ac:dyDescent="0.35">
      <c r="B27" s="53" t="s">
        <v>302</v>
      </c>
    </row>
    <row r="28" spans="2:6" x14ac:dyDescent="0.35">
      <c r="B28" s="41" t="s">
        <v>5</v>
      </c>
      <c r="C28" s="41" t="s">
        <v>303</v>
      </c>
      <c r="D28" s="41" t="s">
        <v>304</v>
      </c>
      <c r="E28" s="41" t="s">
        <v>305</v>
      </c>
      <c r="F28" s="41" t="s">
        <v>306</v>
      </c>
    </row>
    <row r="29" spans="2:6" x14ac:dyDescent="0.35">
      <c r="B29" s="43" t="s">
        <v>310</v>
      </c>
      <c r="C29" s="44">
        <f>COUNTIFS('Recommendations'!F:F,"Phase1",'Recommendations'!L:L,"=Resolved")</f>
        <v>0</v>
      </c>
      <c r="D29" s="44">
        <f>COUNTIFS('Recommendations'!F:F,"=Phase1",'Recommendations'!L:L,"=Testing")</f>
        <v>0</v>
      </c>
      <c r="E29" s="44">
        <f>COUNTIFS('Recommendations'!F:F,"=Phase1",'Recommendations'!L:L,"=Outstanding")</f>
        <v>0</v>
      </c>
      <c r="F29" s="44">
        <f t="shared" ref="F29:F34" si="0">SUM(C29:E29)</f>
        <v>0</v>
      </c>
    </row>
    <row r="30" spans="2:6" x14ac:dyDescent="0.35">
      <c r="B30" s="43" t="s">
        <v>311</v>
      </c>
      <c r="C30" s="44">
        <f>COUNTIFS('Recommendations'!F:F,"Phase2",'Recommendations'!L:L,"=Resolved")</f>
        <v>0</v>
      </c>
      <c r="D30" s="44">
        <f>COUNTIFS('Recommendations'!F:F,"=Phase2",'Recommendations'!L:L,"=Testing")</f>
        <v>0</v>
      </c>
      <c r="E30" s="44">
        <f>COUNTIFS('Recommendations'!F:F,"=Phase2",'Recommendations'!L:L,"=Outstanding")</f>
        <v>0</v>
      </c>
      <c r="F30" s="44">
        <f t="shared" si="0"/>
        <v>0</v>
      </c>
    </row>
    <row r="31" spans="2:6" x14ac:dyDescent="0.35">
      <c r="B31" s="43" t="s">
        <v>312</v>
      </c>
      <c r="C31" s="44">
        <f>COUNTIFS('Recommendations'!F:F,"Phase3",'Recommendations'!L:L,"=Resolved")</f>
        <v>0</v>
      </c>
      <c r="D31" s="44">
        <f>COUNTIFS('Recommendations'!F:F,"=Phase3",'Recommendations'!L:L,"=Testing")</f>
        <v>0</v>
      </c>
      <c r="E31" s="44">
        <f>COUNTIFS('Recommendations'!F:F,"=Phase3",'Recommendations'!L:L,"=Outstanding")</f>
        <v>0</v>
      </c>
      <c r="F31" s="44">
        <f t="shared" si="0"/>
        <v>0</v>
      </c>
    </row>
    <row r="32" spans="2:6" x14ac:dyDescent="0.35">
      <c r="B32" s="43" t="s">
        <v>313</v>
      </c>
      <c r="C32" s="44">
        <f>COUNTIFS('Recommendations'!F:F,"Phase4",'Recommendations'!L:L,"=Resolved")</f>
        <v>0</v>
      </c>
      <c r="D32" s="44">
        <f>COUNTIFS('Recommendations'!F:F,"=Phase4",'Recommendations'!L:L,"=Testing")</f>
        <v>0</v>
      </c>
      <c r="E32" s="44">
        <f>COUNTIFS('Recommendations'!F:F,"=Phase4",'Recommendations'!L:L,"=Outstanding")</f>
        <v>0</v>
      </c>
      <c r="F32" s="44">
        <f t="shared" si="0"/>
        <v>0</v>
      </c>
    </row>
    <row r="33" spans="2:6" x14ac:dyDescent="0.35">
      <c r="B33" s="43" t="s">
        <v>314</v>
      </c>
      <c r="C33" s="44">
        <f>COUNTIFS('Recommendations'!F:F,"Phase5",'Recommendations'!L:L,"=Resolved")</f>
        <v>0</v>
      </c>
      <c r="D33" s="44">
        <f>COUNTIFS('Recommendations'!F:F,"=Phase5",'Recommendations'!L:L,"=Testing")</f>
        <v>0</v>
      </c>
      <c r="E33" s="44">
        <f>COUNTIFS('Recommendations'!F:F,"=Phase5",'Recommendations'!L:L,"=Outstanding")</f>
        <v>0</v>
      </c>
      <c r="F33" s="44">
        <f t="shared" si="0"/>
        <v>0</v>
      </c>
    </row>
    <row r="34" spans="2:6" x14ac:dyDescent="0.35">
      <c r="B34" s="43" t="s">
        <v>18</v>
      </c>
      <c r="C34" s="44">
        <f>COUNTIFS('Recommendations'!F:F,"Pending",'Recommendations'!L:L,"=Resolved")</f>
        <v>0</v>
      </c>
      <c r="D34" s="44">
        <f>COUNTIFS('Recommendations'!F:F,"=Pending",'Recommendations'!L:L,"=Testing")</f>
        <v>0</v>
      </c>
      <c r="E34" s="44">
        <f>COUNTIFS('Recommendations'!F:F,"=Pending",'Recommendations'!L:L,"=Outstanding")</f>
        <v>43</v>
      </c>
      <c r="F34" s="44">
        <f t="shared" si="0"/>
        <v>43</v>
      </c>
    </row>
    <row r="36" spans="2:6" x14ac:dyDescent="0.35">
      <c r="B36" s="53" t="s">
        <v>308</v>
      </c>
    </row>
    <row r="37" spans="2:6" x14ac:dyDescent="0.35">
      <c r="B37" s="54" t="s">
        <v>5</v>
      </c>
      <c r="C37" s="54" t="s">
        <v>303</v>
      </c>
      <c r="D37" s="54" t="s">
        <v>304</v>
      </c>
      <c r="E37" s="54" t="s">
        <v>305</v>
      </c>
      <c r="F37" s="54" t="s">
        <v>19</v>
      </c>
    </row>
    <row r="38" spans="2:6" x14ac:dyDescent="0.35">
      <c r="B38" s="43" t="s">
        <v>310</v>
      </c>
      <c r="C38" s="45">
        <f t="shared" ref="C38:C43" si="1">IF(F29&gt;0, C29/F29, 0)</f>
        <v>0</v>
      </c>
      <c r="D38" s="45">
        <f t="shared" ref="D38:D43" si="2">IF(F29&gt;0, D29/F29, 0)</f>
        <v>0</v>
      </c>
      <c r="E38" s="45">
        <f t="shared" ref="E38:E43" si="3">IF(F29&gt;0, E29/F29, 0)</f>
        <v>0</v>
      </c>
      <c r="F38" s="46" t="s">
        <v>19</v>
      </c>
    </row>
    <row r="39" spans="2:6" x14ac:dyDescent="0.35">
      <c r="B39" s="43" t="s">
        <v>311</v>
      </c>
      <c r="C39" s="45">
        <f t="shared" si="1"/>
        <v>0</v>
      </c>
      <c r="D39" s="45">
        <f t="shared" si="2"/>
        <v>0</v>
      </c>
      <c r="E39" s="45">
        <f t="shared" si="3"/>
        <v>0</v>
      </c>
      <c r="F39" s="46" t="s">
        <v>19</v>
      </c>
    </row>
    <row r="40" spans="2:6" x14ac:dyDescent="0.35">
      <c r="B40" s="43" t="s">
        <v>312</v>
      </c>
      <c r="C40" s="45">
        <f t="shared" si="1"/>
        <v>0</v>
      </c>
      <c r="D40" s="45">
        <f t="shared" si="2"/>
        <v>0</v>
      </c>
      <c r="E40" s="45">
        <f t="shared" si="3"/>
        <v>0</v>
      </c>
      <c r="F40" s="46" t="s">
        <v>19</v>
      </c>
    </row>
    <row r="41" spans="2:6" x14ac:dyDescent="0.35">
      <c r="B41" s="43" t="s">
        <v>313</v>
      </c>
      <c r="C41" s="45">
        <f t="shared" si="1"/>
        <v>0</v>
      </c>
      <c r="D41" s="45">
        <f t="shared" si="2"/>
        <v>0</v>
      </c>
      <c r="E41" s="45">
        <f t="shared" si="3"/>
        <v>0</v>
      </c>
      <c r="F41" s="46" t="s">
        <v>19</v>
      </c>
    </row>
    <row r="42" spans="2:6" x14ac:dyDescent="0.35">
      <c r="B42" s="43" t="s">
        <v>314</v>
      </c>
      <c r="C42" s="45">
        <f t="shared" si="1"/>
        <v>0</v>
      </c>
      <c r="D42" s="45">
        <f t="shared" si="2"/>
        <v>0</v>
      </c>
      <c r="E42" s="45">
        <f t="shared" si="3"/>
        <v>0</v>
      </c>
      <c r="F42" s="46" t="s">
        <v>19</v>
      </c>
    </row>
    <row r="43" spans="2:6" x14ac:dyDescent="0.35">
      <c r="B43" s="43" t="s">
        <v>18</v>
      </c>
      <c r="C43" s="45">
        <f t="shared" si="1"/>
        <v>0</v>
      </c>
      <c r="D43" s="45">
        <f t="shared" si="2"/>
        <v>0</v>
      </c>
      <c r="E43" s="45">
        <f t="shared" si="3"/>
        <v>1</v>
      </c>
      <c r="F43" s="46" t="s">
        <v>19</v>
      </c>
    </row>
    <row r="48" spans="2:6" ht="18.5" x14ac:dyDescent="0.45">
      <c r="B48" s="39" t="s">
        <v>315</v>
      </c>
    </row>
    <row r="50" spans="2:6" x14ac:dyDescent="0.35">
      <c r="B50" s="53" t="s">
        <v>302</v>
      </c>
    </row>
    <row r="51" spans="2:6" x14ac:dyDescent="0.35">
      <c r="B51" s="41" t="s">
        <v>2</v>
      </c>
      <c r="C51" s="41" t="s">
        <v>303</v>
      </c>
      <c r="D51" s="41" t="s">
        <v>304</v>
      </c>
      <c r="E51" s="41" t="s">
        <v>305</v>
      </c>
      <c r="F51" s="41" t="s">
        <v>306</v>
      </c>
    </row>
    <row r="52" spans="2:6" x14ac:dyDescent="0.35">
      <c r="B52" s="43" t="s">
        <v>37</v>
      </c>
      <c r="C52" s="44">
        <f>COUNTIFS('Recommendations'!C:C,"CAT I (High)",'Recommendations'!L:L,"=Resolved")</f>
        <v>0</v>
      </c>
      <c r="D52" s="44">
        <f>COUNTIFS('Recommendations'!C:C,"=CAT I (High)",'Recommendations'!L:L,"=Testing")</f>
        <v>0</v>
      </c>
      <c r="E52" s="44">
        <f>COUNTIFS('Recommendations'!C:C,"=CAT I (High)",'Recommendations'!L:L,"=Outstanding")</f>
        <v>3</v>
      </c>
      <c r="F52" s="44">
        <f>SUM(C52:E52)</f>
        <v>3</v>
      </c>
    </row>
    <row r="53" spans="2:6" x14ac:dyDescent="0.35">
      <c r="B53" s="43" t="s">
        <v>53</v>
      </c>
      <c r="C53" s="44">
        <f>COUNTIFS('Recommendations'!C:C,"CAT II (Medium)",'Recommendations'!L:L,"=Resolved")</f>
        <v>0</v>
      </c>
      <c r="D53" s="44">
        <f>COUNTIFS('Recommendations'!C:C,"=CAT II (Medium)",'Recommendations'!L:L,"=Testing")</f>
        <v>0</v>
      </c>
      <c r="E53" s="44">
        <f>COUNTIFS('Recommendations'!C:C,"=CAT II (Medium)",'Recommendations'!L:L,"=Outstanding")</f>
        <v>11</v>
      </c>
      <c r="F53" s="44">
        <f>SUM(C53:E53)</f>
        <v>11</v>
      </c>
    </row>
    <row r="54" spans="2:6" x14ac:dyDescent="0.35">
      <c r="B54" s="43" t="s">
        <v>15</v>
      </c>
      <c r="C54" s="44">
        <f>COUNTIFS('Recommendations'!C:C,"CAT III (Low)",'Recommendations'!L:L,"=Resolved")</f>
        <v>0</v>
      </c>
      <c r="D54" s="44">
        <f>COUNTIFS('Recommendations'!C:C,"=CAT III (Low)",'Recommendations'!L:L,"=Testing")</f>
        <v>0</v>
      </c>
      <c r="E54" s="44">
        <f>COUNTIFS('Recommendations'!C:C,"=CAT III (Low)",'Recommendations'!L:L,"=Outstanding")</f>
        <v>29</v>
      </c>
      <c r="F54" s="44">
        <f>SUM(C54:E54)</f>
        <v>29</v>
      </c>
    </row>
    <row r="56" spans="2:6" x14ac:dyDescent="0.35">
      <c r="B56" s="53" t="s">
        <v>308</v>
      </c>
    </row>
    <row r="57" spans="2:6" x14ac:dyDescent="0.35">
      <c r="B57" s="54" t="s">
        <v>2</v>
      </c>
      <c r="C57" s="54" t="s">
        <v>303</v>
      </c>
      <c r="D57" s="54" t="s">
        <v>304</v>
      </c>
      <c r="E57" s="54" t="s">
        <v>305</v>
      </c>
      <c r="F57" s="54" t="s">
        <v>19</v>
      </c>
    </row>
    <row r="58" spans="2:6" x14ac:dyDescent="0.35">
      <c r="B58" s="43" t="s">
        <v>37</v>
      </c>
      <c r="C58" s="45">
        <f>IF(F52&gt;0, C52/F52, 0)</f>
        <v>0</v>
      </c>
      <c r="D58" s="45">
        <f>IF(F52&gt;0, D52/F52, 0)</f>
        <v>0</v>
      </c>
      <c r="E58" s="45">
        <f>IF(F52&gt;0, E52/F52, 0)</f>
        <v>1</v>
      </c>
      <c r="F58" s="46" t="s">
        <v>19</v>
      </c>
    </row>
    <row r="59" spans="2:6" x14ac:dyDescent="0.35">
      <c r="B59" s="43" t="s">
        <v>53</v>
      </c>
      <c r="C59" s="45">
        <f>IF(F53&gt;0, C53/F53, 0)</f>
        <v>0</v>
      </c>
      <c r="D59" s="45">
        <f>IF(F53&gt;0, D53/F53, 0)</f>
        <v>0</v>
      </c>
      <c r="E59" s="45">
        <f>IF(F53&gt;0, E53/F53, 0)</f>
        <v>1</v>
      </c>
      <c r="F59" s="46" t="s">
        <v>19</v>
      </c>
    </row>
    <row r="60" spans="2:6" x14ac:dyDescent="0.35">
      <c r="B60" s="43" t="s">
        <v>15</v>
      </c>
      <c r="C60" s="45">
        <f>IF(F54&gt;0, C54/F54, 0)</f>
        <v>0</v>
      </c>
      <c r="D60" s="45">
        <f>IF(F54&gt;0, D54/F54, 0)</f>
        <v>0</v>
      </c>
      <c r="E60" s="45">
        <f>IF(F54&gt;0, E54/F54, 0)</f>
        <v>1</v>
      </c>
      <c r="F60" s="46" t="s">
        <v>19</v>
      </c>
    </row>
    <row r="65" spans="2:6" ht="18.5" x14ac:dyDescent="0.45">
      <c r="B65" s="39" t="s">
        <v>316</v>
      </c>
    </row>
    <row r="67" spans="2:6" x14ac:dyDescent="0.35">
      <c r="B67" s="53" t="s">
        <v>302</v>
      </c>
    </row>
    <row r="68" spans="2:6" x14ac:dyDescent="0.35">
      <c r="B68" s="41" t="s">
        <v>3</v>
      </c>
      <c r="C68" s="41" t="s">
        <v>303</v>
      </c>
      <c r="D68" s="41" t="s">
        <v>304</v>
      </c>
      <c r="E68" s="41" t="s">
        <v>305</v>
      </c>
      <c r="F68" s="41" t="s">
        <v>306</v>
      </c>
    </row>
    <row r="69" spans="2:6" x14ac:dyDescent="0.35">
      <c r="B69" s="43" t="s">
        <v>317</v>
      </c>
      <c r="C69" s="44">
        <f>COUNTIFS('Recommendations'!D:D,"Must",'Recommendations'!L:L,"=Resolved")</f>
        <v>0</v>
      </c>
      <c r="D69" s="44">
        <f>COUNTIFS('Recommendations'!D:D,"=Must",'Recommendations'!L:L,"=Testing")</f>
        <v>0</v>
      </c>
      <c r="E69" s="44">
        <f>COUNTIFS('Recommendations'!D:D,"=Must",'Recommendations'!L:L,"=Outstanding")</f>
        <v>0</v>
      </c>
      <c r="F69" s="44">
        <f>SUM(C69:E69)</f>
        <v>0</v>
      </c>
    </row>
    <row r="70" spans="2:6" x14ac:dyDescent="0.35">
      <c r="B70" s="43" t="s">
        <v>318</v>
      </c>
      <c r="C70" s="44">
        <f>COUNTIFS('Recommendations'!D:D,"Should",'Recommendations'!L:L,"=Resolved")</f>
        <v>0</v>
      </c>
      <c r="D70" s="44">
        <f>COUNTIFS('Recommendations'!D:D,"=Should",'Recommendations'!L:L,"=Testing")</f>
        <v>0</v>
      </c>
      <c r="E70" s="44">
        <f>COUNTIFS('Recommendations'!D:D,"=Should",'Recommendations'!L:L,"=Outstanding")</f>
        <v>0</v>
      </c>
      <c r="F70" s="44">
        <f>SUM(C70:E70)</f>
        <v>0</v>
      </c>
    </row>
    <row r="71" spans="2:6" x14ac:dyDescent="0.35">
      <c r="B71" s="43" t="s">
        <v>319</v>
      </c>
      <c r="C71" s="44">
        <f>COUNTIFS('Recommendations'!D:D,"Could",'Recommendations'!L:L,"=Resolved")</f>
        <v>0</v>
      </c>
      <c r="D71" s="44">
        <f>COUNTIFS('Recommendations'!D:D,"=Could",'Recommendations'!L:L,"=Testing")</f>
        <v>0</v>
      </c>
      <c r="E71" s="44">
        <f>COUNTIFS('Recommendations'!D:D,"=Could",'Recommendations'!L:L,"=Outstanding")</f>
        <v>0</v>
      </c>
      <c r="F71" s="44">
        <f>SUM(C71:E71)</f>
        <v>0</v>
      </c>
    </row>
    <row r="72" spans="2:6" x14ac:dyDescent="0.35">
      <c r="B72" s="43" t="s">
        <v>320</v>
      </c>
      <c r="C72" s="44">
        <f>COUNTIFS('Recommendations'!D:D,"Won't",'Recommendations'!L:L,"=Resolved")</f>
        <v>0</v>
      </c>
      <c r="D72" s="44">
        <f>COUNTIFS('Recommendations'!D:D,"=Won't",'Recommendations'!L:L,"=Testing")</f>
        <v>0</v>
      </c>
      <c r="E72" s="44">
        <f>COUNTIFS('Recommendations'!D:D,"=Won't",'Recommendations'!L:L,"=Outstanding")</f>
        <v>0</v>
      </c>
      <c r="F72" s="44">
        <f>SUM(C72:E72)</f>
        <v>0</v>
      </c>
    </row>
    <row r="73" spans="2:6" x14ac:dyDescent="0.35">
      <c r="B73" s="43" t="s">
        <v>16</v>
      </c>
      <c r="C73" s="44">
        <f>COUNTIFS('Recommendations'!D:D,"Unassigned",'Recommendations'!L:L,"=Resolved")</f>
        <v>0</v>
      </c>
      <c r="D73" s="44">
        <f>COUNTIFS('Recommendations'!D:D,"=Unassigned",'Recommendations'!L:L,"=Testing")</f>
        <v>0</v>
      </c>
      <c r="E73" s="44">
        <f>COUNTIFS('Recommendations'!D:D,"=Unassigned",'Recommendations'!L:L,"=Outstanding")</f>
        <v>43</v>
      </c>
      <c r="F73" s="44">
        <f>SUM(C73:E73)</f>
        <v>43</v>
      </c>
    </row>
    <row r="75" spans="2:6" x14ac:dyDescent="0.35">
      <c r="B75" s="53" t="s">
        <v>308</v>
      </c>
    </row>
    <row r="76" spans="2:6" x14ac:dyDescent="0.35">
      <c r="B76" s="54" t="s">
        <v>3</v>
      </c>
      <c r="C76" s="54" t="s">
        <v>303</v>
      </c>
      <c r="D76" s="54" t="s">
        <v>304</v>
      </c>
      <c r="E76" s="54" t="s">
        <v>305</v>
      </c>
      <c r="F76" s="54" t="s">
        <v>19</v>
      </c>
    </row>
    <row r="77" spans="2:6" x14ac:dyDescent="0.35">
      <c r="B77" s="43" t="s">
        <v>317</v>
      </c>
      <c r="C77" s="45">
        <f>IF(F69&gt;0, C69/F69, 0)</f>
        <v>0</v>
      </c>
      <c r="D77" s="45">
        <f>IF(F69&gt;0, D69/F69, 0)</f>
        <v>0</v>
      </c>
      <c r="E77" s="45">
        <f>IF(F69&gt;0, E69/F69, 0)</f>
        <v>0</v>
      </c>
      <c r="F77" s="46" t="s">
        <v>19</v>
      </c>
    </row>
    <row r="78" spans="2:6" x14ac:dyDescent="0.35">
      <c r="B78" s="43" t="s">
        <v>318</v>
      </c>
      <c r="C78" s="45">
        <f>IF(F70&gt;0, C70/F70, 0)</f>
        <v>0</v>
      </c>
      <c r="D78" s="45">
        <f>IF(F70&gt;0, D70/F70, 0)</f>
        <v>0</v>
      </c>
      <c r="E78" s="45">
        <f>IF(F70&gt;0, E70/F70, 0)</f>
        <v>0</v>
      </c>
      <c r="F78" s="46" t="s">
        <v>19</v>
      </c>
    </row>
    <row r="79" spans="2:6" x14ac:dyDescent="0.35">
      <c r="B79" s="43" t="s">
        <v>319</v>
      </c>
      <c r="C79" s="45">
        <f>IF(F71&gt;0, C71/F71, 0)</f>
        <v>0</v>
      </c>
      <c r="D79" s="45">
        <f>IF(F71&gt;0, D71/F71, 0)</f>
        <v>0</v>
      </c>
      <c r="E79" s="45">
        <f>IF(F71&gt;0, E71/F71, 0)</f>
        <v>0</v>
      </c>
      <c r="F79" s="46" t="s">
        <v>19</v>
      </c>
    </row>
    <row r="80" spans="2:6" x14ac:dyDescent="0.35">
      <c r="B80" s="43" t="s">
        <v>320</v>
      </c>
      <c r="C80" s="45">
        <f>IF(F72&gt;0, C72/F72, 0)</f>
        <v>0</v>
      </c>
      <c r="D80" s="45">
        <f>IF(F72&gt;0, D72/F72, 0)</f>
        <v>0</v>
      </c>
      <c r="E80" s="45">
        <f>IF(F72&gt;0, E72/F72, 0)</f>
        <v>0</v>
      </c>
      <c r="F80" s="46" t="s">
        <v>19</v>
      </c>
    </row>
    <row r="81" spans="2:6" x14ac:dyDescent="0.35">
      <c r="B81" s="43" t="s">
        <v>16</v>
      </c>
      <c r="C81" s="45">
        <f>IF(F73&gt;0, C73/F73, 0)</f>
        <v>0</v>
      </c>
      <c r="D81" s="45">
        <f>IF(F73&gt;0, D73/F73, 0)</f>
        <v>0</v>
      </c>
      <c r="E81" s="45">
        <f>IF(F73&gt;0, E73/F73, 0)</f>
        <v>1</v>
      </c>
      <c r="F81" s="46" t="s">
        <v>19</v>
      </c>
    </row>
    <row r="86" spans="2:6" ht="18.5" x14ac:dyDescent="0.45">
      <c r="B86" s="39" t="s">
        <v>321</v>
      </c>
    </row>
    <row r="88" spans="2:6" x14ac:dyDescent="0.35">
      <c r="B88" s="53" t="s">
        <v>302</v>
      </c>
    </row>
    <row r="89" spans="2:6" x14ac:dyDescent="0.35">
      <c r="B89" s="41" t="s">
        <v>322</v>
      </c>
      <c r="C89" s="41" t="s">
        <v>303</v>
      </c>
      <c r="D89" s="41" t="s">
        <v>304</v>
      </c>
      <c r="E89" s="41" t="s">
        <v>305</v>
      </c>
      <c r="F89" s="41" t="s">
        <v>306</v>
      </c>
    </row>
    <row r="90" spans="2:6" x14ac:dyDescent="0.35">
      <c r="B90" s="43" t="s">
        <v>323</v>
      </c>
      <c r="C90" s="44">
        <f>COUNTIFS('Recommendations'!E:E,"Low",'Recommendations'!L:L,"=Resolved")</f>
        <v>0</v>
      </c>
      <c r="D90" s="44">
        <f>COUNTIFS('Recommendations'!E:E,"=Low",'Recommendations'!L:L,"=Testing")</f>
        <v>0</v>
      </c>
      <c r="E90" s="44">
        <f>COUNTIFS('Recommendations'!E:E,"=Low",'Recommendations'!L:L,"=Outstanding")</f>
        <v>0</v>
      </c>
      <c r="F90" s="44">
        <f>SUM(C90:E90)</f>
        <v>0</v>
      </c>
    </row>
    <row r="91" spans="2:6" x14ac:dyDescent="0.35">
      <c r="B91" s="43" t="s">
        <v>324</v>
      </c>
      <c r="C91" s="44">
        <f>COUNTIFS('Recommendations'!E:E,"Medium",'Recommendations'!L:L,"=Resolved")</f>
        <v>0</v>
      </c>
      <c r="D91" s="44">
        <f>COUNTIFS('Recommendations'!E:E,"=Medium",'Recommendations'!L:L,"=Testing")</f>
        <v>0</v>
      </c>
      <c r="E91" s="44">
        <f>COUNTIFS('Recommendations'!E:E,"=Medium",'Recommendations'!L:L,"=Outstanding")</f>
        <v>0</v>
      </c>
      <c r="F91" s="44">
        <f>SUM(C91:E91)</f>
        <v>0</v>
      </c>
    </row>
    <row r="92" spans="2:6" x14ac:dyDescent="0.35">
      <c r="B92" s="43" t="s">
        <v>325</v>
      </c>
      <c r="C92" s="44">
        <f>COUNTIFS('Recommendations'!E:E,"High",'Recommendations'!L:L,"=Resolved")</f>
        <v>0</v>
      </c>
      <c r="D92" s="44">
        <f>COUNTIFS('Recommendations'!E:E,"=High",'Recommendations'!L:L,"=Testing")</f>
        <v>0</v>
      </c>
      <c r="E92" s="44">
        <f>COUNTIFS('Recommendations'!E:E,"=High",'Recommendations'!L:L,"=Outstanding")</f>
        <v>0</v>
      </c>
      <c r="F92" s="44">
        <f>SUM(C92:E92)</f>
        <v>0</v>
      </c>
    </row>
    <row r="93" spans="2:6" x14ac:dyDescent="0.35">
      <c r="B93" s="43" t="s">
        <v>17</v>
      </c>
      <c r="C93" s="44">
        <f>COUNTIFS('Recommendations'!E:E,"Unassessed",'Recommendations'!L:L,"=Resolved")</f>
        <v>0</v>
      </c>
      <c r="D93" s="44">
        <f>COUNTIFS('Recommendations'!E:E,"=Unassessed",'Recommendations'!L:L,"=Testing")</f>
        <v>0</v>
      </c>
      <c r="E93" s="44">
        <f>COUNTIFS('Recommendations'!E:E,"=Unassessed",'Recommendations'!L:L,"=Outstanding")</f>
        <v>43</v>
      </c>
      <c r="F93" s="44">
        <f>SUM(C93:E93)</f>
        <v>43</v>
      </c>
    </row>
    <row r="95" spans="2:6" x14ac:dyDescent="0.35">
      <c r="B95" s="53" t="s">
        <v>308</v>
      </c>
    </row>
    <row r="96" spans="2:6" x14ac:dyDescent="0.35">
      <c r="B96" s="54" t="s">
        <v>322</v>
      </c>
      <c r="C96" s="54" t="s">
        <v>303</v>
      </c>
      <c r="D96" s="54" t="s">
        <v>304</v>
      </c>
      <c r="E96" s="54" t="s">
        <v>305</v>
      </c>
      <c r="F96" s="54" t="s">
        <v>19</v>
      </c>
    </row>
    <row r="97" spans="2:15" x14ac:dyDescent="0.35">
      <c r="B97" s="43" t="s">
        <v>323</v>
      </c>
      <c r="C97" s="45">
        <f>IF(F90&gt;0, C90/F90, 0)</f>
        <v>0</v>
      </c>
      <c r="D97" s="45">
        <f>IF(F90&gt;0, D90/F90, 0)</f>
        <v>0</v>
      </c>
      <c r="E97" s="45">
        <f>IF(F90&gt;0, E90/F90, 0)</f>
        <v>0</v>
      </c>
      <c r="F97" s="46" t="s">
        <v>19</v>
      </c>
    </row>
    <row r="98" spans="2:15" x14ac:dyDescent="0.35">
      <c r="B98" s="43" t="s">
        <v>324</v>
      </c>
      <c r="C98" s="45">
        <f>IF(F91&gt;0, C91/F91, 0)</f>
        <v>0</v>
      </c>
      <c r="D98" s="45">
        <f>IF(F91&gt;0, D91/F91, 0)</f>
        <v>0</v>
      </c>
      <c r="E98" s="45">
        <f>IF(F91&gt;0, E91/F91, 0)</f>
        <v>0</v>
      </c>
      <c r="F98" s="46" t="s">
        <v>19</v>
      </c>
    </row>
    <row r="99" spans="2:15" x14ac:dyDescent="0.35">
      <c r="B99" s="43" t="s">
        <v>325</v>
      </c>
      <c r="C99" s="45">
        <f>IF(F92&gt;0, C92/F92, 0)</f>
        <v>0</v>
      </c>
      <c r="D99" s="45">
        <f>IF(F92&gt;0, D92/F92, 0)</f>
        <v>0</v>
      </c>
      <c r="E99" s="45">
        <f>IF(F92&gt;0, E92/F92, 0)</f>
        <v>0</v>
      </c>
      <c r="F99" s="46" t="s">
        <v>19</v>
      </c>
    </row>
    <row r="100" spans="2:15" x14ac:dyDescent="0.35">
      <c r="B100" s="43" t="s">
        <v>17</v>
      </c>
      <c r="C100" s="45">
        <f>IF(F93&gt;0, C93/F93, 0)</f>
        <v>0</v>
      </c>
      <c r="D100" s="45">
        <f>IF(F93&gt;0, D93/F93, 0)</f>
        <v>0</v>
      </c>
      <c r="E100" s="45">
        <f>IF(F93&gt;0, E93/F93, 0)</f>
        <v>1</v>
      </c>
      <c r="F100" s="46" t="s">
        <v>19</v>
      </c>
    </row>
    <row r="105" spans="2:15" ht="18.5" x14ac:dyDescent="0.45">
      <c r="B105" s="39" t="s">
        <v>326</v>
      </c>
      <c r="J105" s="39" t="s">
        <v>327</v>
      </c>
    </row>
    <row r="106" spans="2:15" x14ac:dyDescent="0.35">
      <c r="B106" s="41" t="s">
        <v>5</v>
      </c>
      <c r="C106" s="261" t="s">
        <v>328</v>
      </c>
      <c r="D106" s="261"/>
      <c r="E106" s="41" t="s">
        <v>295</v>
      </c>
      <c r="F106" s="41" t="s">
        <v>303</v>
      </c>
      <c r="G106" s="261" t="s">
        <v>329</v>
      </c>
      <c r="H106" s="261"/>
      <c r="J106" s="41" t="s">
        <v>5</v>
      </c>
      <c r="K106" s="41" t="s">
        <v>317</v>
      </c>
      <c r="L106" s="41" t="s">
        <v>318</v>
      </c>
      <c r="M106" s="41" t="s">
        <v>319</v>
      </c>
      <c r="N106" s="41" t="s">
        <v>320</v>
      </c>
      <c r="O106" s="41" t="s">
        <v>16</v>
      </c>
    </row>
    <row r="107" spans="2:15" x14ac:dyDescent="0.35">
      <c r="B107" s="47" t="s">
        <v>310</v>
      </c>
      <c r="C107" s="262" t="s">
        <v>19</v>
      </c>
      <c r="D107" s="262"/>
      <c r="E107" s="44">
        <f>COUNTIF('Recommendations'!F:F,"Phase1")-COUNTIFS('Recommendations'!F:F,"Phase1",'Recommendations'!G:G,"Risk Accepted")-COUNTIFS('Recommendations'!F:F,"Phase1",'Recommendations'!G:G,"N/A")</f>
        <v>0</v>
      </c>
      <c r="F107" s="44">
        <f>COUNTIFS('Recommendations'!F:F,"Phase1",'Recommendations'!L:L,"Resolved")</f>
        <v>0</v>
      </c>
      <c r="G107" s="263">
        <f t="shared" ref="G107:G112" si="4">IF(E107&gt;0,F107/E107,0)</f>
        <v>0</v>
      </c>
      <c r="H107" s="263"/>
      <c r="J107" s="47" t="s">
        <v>310</v>
      </c>
      <c r="K107" s="44">
        <f>COUNTIFS('Recommendations'!F:F,"Phase1",'Recommendations'!D:D,"Must")</f>
        <v>0</v>
      </c>
      <c r="L107" s="44">
        <f>COUNTIFS('Recommendations'!F:F,"Phase1",'Recommendations'!D:D,"Should")</f>
        <v>0</v>
      </c>
      <c r="M107" s="44">
        <f>COUNTIFS('Recommendations'!F:F,"Phase1",'Recommendations'!D:D,"Could")</f>
        <v>0</v>
      </c>
      <c r="N107" s="44">
        <f>COUNTIFS('Recommendations'!F:F,"Phase1",'Recommendations'!D:D,"Won't")</f>
        <v>0</v>
      </c>
      <c r="O107" s="44">
        <f>COUNTIFS('Recommendations'!F:F,"Phase1",'Recommendations'!D:D,"Unassigned")</f>
        <v>0</v>
      </c>
    </row>
    <row r="108" spans="2:15" x14ac:dyDescent="0.35">
      <c r="B108" s="47" t="s">
        <v>311</v>
      </c>
      <c r="C108" s="262" t="s">
        <v>19</v>
      </c>
      <c r="D108" s="262"/>
      <c r="E108" s="44">
        <f>COUNTIF('Recommendations'!F:F,"Phase2")-COUNTIFS('Recommendations'!F:F,"Phase2",'Recommendations'!G:G,"Risk Accepted")-COUNTIFS('Recommendations'!F:F,"Phase2",'Recommendations'!G:G,"N/A")</f>
        <v>0</v>
      </c>
      <c r="F108" s="44">
        <f>COUNTIFS('Recommendations'!F:F,"Phase2",'Recommendations'!L:L,"Resolved")</f>
        <v>0</v>
      </c>
      <c r="G108" s="263">
        <f t="shared" si="4"/>
        <v>0</v>
      </c>
      <c r="H108" s="263"/>
      <c r="J108" s="47" t="s">
        <v>311</v>
      </c>
      <c r="K108" s="44">
        <f>COUNTIFS('Recommendations'!F:F,"Phase2",'Recommendations'!D:D,"Must")</f>
        <v>0</v>
      </c>
      <c r="L108" s="44">
        <f>COUNTIFS('Recommendations'!F:F,"Phase2",'Recommendations'!D:D,"Should")</f>
        <v>0</v>
      </c>
      <c r="M108" s="44">
        <f>COUNTIFS('Recommendations'!F:F,"Phase2",'Recommendations'!D:D,"Could")</f>
        <v>0</v>
      </c>
      <c r="N108" s="44">
        <f>COUNTIFS('Recommendations'!F:F,"Phase2",'Recommendations'!D:D,"Won't")</f>
        <v>0</v>
      </c>
      <c r="O108" s="44">
        <f>COUNTIFS('Recommendations'!F:F,"Phase2",'Recommendations'!D:D,"Unassigned")</f>
        <v>0</v>
      </c>
    </row>
    <row r="109" spans="2:15" x14ac:dyDescent="0.35">
      <c r="B109" s="47" t="s">
        <v>312</v>
      </c>
      <c r="C109" s="262" t="s">
        <v>19</v>
      </c>
      <c r="D109" s="262"/>
      <c r="E109" s="44">
        <f>COUNTIF('Recommendations'!F:F,"Phase3")-COUNTIFS('Recommendations'!F:F,"Phase3",'Recommendations'!G:G,"Risk Accepted")-COUNTIFS('Recommendations'!F:F,"Phase3",'Recommendations'!G:G,"N/A")</f>
        <v>0</v>
      </c>
      <c r="F109" s="44">
        <f>COUNTIFS('Recommendations'!F:F,"Phase3",'Recommendations'!L:L,"Resolved")</f>
        <v>0</v>
      </c>
      <c r="G109" s="263">
        <f t="shared" si="4"/>
        <v>0</v>
      </c>
      <c r="H109" s="263"/>
      <c r="J109" s="47" t="s">
        <v>312</v>
      </c>
      <c r="K109" s="44">
        <f>COUNTIFS('Recommendations'!F:F,"Phase3",'Recommendations'!D:D,"Must")</f>
        <v>0</v>
      </c>
      <c r="L109" s="44">
        <f>COUNTIFS('Recommendations'!F:F,"Phase3",'Recommendations'!D:D,"Should")</f>
        <v>0</v>
      </c>
      <c r="M109" s="44">
        <f>COUNTIFS('Recommendations'!F:F,"Phase3",'Recommendations'!D:D,"Could")</f>
        <v>0</v>
      </c>
      <c r="N109" s="44">
        <f>COUNTIFS('Recommendations'!F:F,"Phase3",'Recommendations'!D:D,"Won't")</f>
        <v>0</v>
      </c>
      <c r="O109" s="44">
        <f>COUNTIFS('Recommendations'!F:F,"Phase3",'Recommendations'!D:D,"Unassigned")</f>
        <v>0</v>
      </c>
    </row>
    <row r="110" spans="2:15" x14ac:dyDescent="0.35">
      <c r="B110" s="47" t="s">
        <v>313</v>
      </c>
      <c r="C110" s="262" t="s">
        <v>19</v>
      </c>
      <c r="D110" s="262"/>
      <c r="E110" s="44">
        <f>COUNTIF('Recommendations'!F:F,"Phase4")-COUNTIFS('Recommendations'!F:F,"Phase4",'Recommendations'!G:G,"Risk Accepted")-COUNTIFS('Recommendations'!F:F,"Phase4",'Recommendations'!G:G,"N/A")</f>
        <v>0</v>
      </c>
      <c r="F110" s="44">
        <f>COUNTIFS('Recommendations'!F:F,"Phase4",'Recommendations'!L:L,"Resolved")</f>
        <v>0</v>
      </c>
      <c r="G110" s="263">
        <f t="shared" si="4"/>
        <v>0</v>
      </c>
      <c r="H110" s="263"/>
      <c r="J110" s="47" t="s">
        <v>313</v>
      </c>
      <c r="K110" s="44">
        <f>COUNTIFS('Recommendations'!F:F,"Phase4",'Recommendations'!D:D,"Must")</f>
        <v>0</v>
      </c>
      <c r="L110" s="44">
        <f>COUNTIFS('Recommendations'!F:F,"Phase4",'Recommendations'!D:D,"Should")</f>
        <v>0</v>
      </c>
      <c r="M110" s="44">
        <f>COUNTIFS('Recommendations'!F:F,"Phase4",'Recommendations'!D:D,"Could")</f>
        <v>0</v>
      </c>
      <c r="N110" s="44">
        <f>COUNTIFS('Recommendations'!F:F,"Phase4",'Recommendations'!D:D,"Won't")</f>
        <v>0</v>
      </c>
      <c r="O110" s="44">
        <f>COUNTIFS('Recommendations'!F:F,"Phase4",'Recommendations'!D:D,"Unassigned")</f>
        <v>0</v>
      </c>
    </row>
    <row r="111" spans="2:15" x14ac:dyDescent="0.35">
      <c r="B111" s="47" t="s">
        <v>314</v>
      </c>
      <c r="C111" s="262" t="s">
        <v>19</v>
      </c>
      <c r="D111" s="262"/>
      <c r="E111" s="44">
        <f>COUNTIF('Recommendations'!F:F,"Phase5")-COUNTIFS('Recommendations'!F:F,"Phase5",'Recommendations'!G:G,"Risk Accepted")-COUNTIFS('Recommendations'!F:F,"Phase5",'Recommendations'!G:G,"N/A")</f>
        <v>0</v>
      </c>
      <c r="F111" s="44">
        <f>COUNTIFS('Recommendations'!F:F,"Phase5",'Recommendations'!L:L,"Resolved")</f>
        <v>0</v>
      </c>
      <c r="G111" s="263">
        <f t="shared" si="4"/>
        <v>0</v>
      </c>
      <c r="H111" s="263"/>
      <c r="J111" s="47" t="s">
        <v>314</v>
      </c>
      <c r="K111" s="44">
        <f>COUNTIFS('Recommendations'!F:F,"Phase5",'Recommendations'!D:D,"Must")</f>
        <v>0</v>
      </c>
      <c r="L111" s="44">
        <f>COUNTIFS('Recommendations'!F:F,"Phase5",'Recommendations'!D:D,"Should")</f>
        <v>0</v>
      </c>
      <c r="M111" s="44">
        <f>COUNTIFS('Recommendations'!F:F,"Phase5",'Recommendations'!D:D,"Could")</f>
        <v>0</v>
      </c>
      <c r="N111" s="44">
        <f>COUNTIFS('Recommendations'!F:F,"Phase5",'Recommendations'!D:D,"Won't")</f>
        <v>0</v>
      </c>
      <c r="O111" s="44">
        <f>COUNTIFS('Recommendations'!F:F,"Phase5",'Recommendations'!D:D,"Unassigned")</f>
        <v>0</v>
      </c>
    </row>
    <row r="112" spans="2:15" x14ac:dyDescent="0.35">
      <c r="B112" s="47" t="s">
        <v>18</v>
      </c>
      <c r="C112" s="262" t="s">
        <v>19</v>
      </c>
      <c r="D112" s="262"/>
      <c r="E112" s="44">
        <f>COUNTIF('Recommendations'!F:F,"Pending")-COUNTIFS('Recommendations'!F:F,"Pending",'Recommendations'!G:G,"Risk Accepted")-COUNTIFS('Recommendations'!F:F,"Pending",'Recommendations'!G:G,"N/A")</f>
        <v>43</v>
      </c>
      <c r="F112" s="44">
        <f>COUNTIFS('Recommendations'!F:F,"Pending",'Recommendations'!L:L,"Resolved")</f>
        <v>0</v>
      </c>
      <c r="G112" s="263">
        <f t="shared" si="4"/>
        <v>0</v>
      </c>
      <c r="H112" s="263"/>
      <c r="J112" s="47" t="s">
        <v>18</v>
      </c>
      <c r="K112" s="44">
        <f>COUNTIFS('Recommendations'!F:F,"Pending",'Recommendations'!D:D,"Must")</f>
        <v>0</v>
      </c>
      <c r="L112" s="44">
        <f>COUNTIFS('Recommendations'!F:F,"Pending",'Recommendations'!D:D,"Should")</f>
        <v>0</v>
      </c>
      <c r="M112" s="44">
        <f>COUNTIFS('Recommendations'!F:F,"Pending",'Recommendations'!D:D,"Could")</f>
        <v>0</v>
      </c>
      <c r="N112" s="44">
        <f>COUNTIFS('Recommendations'!F:F,"Pending",'Recommendations'!D:D,"Won't")</f>
        <v>0</v>
      </c>
      <c r="O112" s="44">
        <f>COUNTIFS('Recommendations'!F:F,"Pending",'Recommendations'!D:D,"Unassigned")</f>
        <v>43</v>
      </c>
    </row>
    <row r="119" spans="2:24" ht="21" x14ac:dyDescent="0.5">
      <c r="B119" s="39" t="s">
        <v>330</v>
      </c>
      <c r="P119" s="56" t="s">
        <v>331</v>
      </c>
    </row>
    <row r="121" spans="2:24" ht="60" customHeight="1" x14ac:dyDescent="0.35">
      <c r="B121" s="264" t="s">
        <v>332</v>
      </c>
      <c r="C121" s="257"/>
      <c r="D121" s="257"/>
      <c r="E121" s="257"/>
      <c r="F121" s="257"/>
      <c r="P121" s="264" t="s">
        <v>333</v>
      </c>
      <c r="Q121" s="257"/>
      <c r="R121" s="257"/>
      <c r="S121" s="257"/>
      <c r="T121" s="257"/>
      <c r="U121" s="257"/>
      <c r="V121" s="257"/>
      <c r="W121" s="257"/>
    </row>
    <row r="123" spans="2:24" ht="30" customHeight="1" x14ac:dyDescent="0.35">
      <c r="P123" s="57" t="s">
        <v>334</v>
      </c>
      <c r="Q123" s="58">
        <f>C16</f>
        <v>0</v>
      </c>
      <c r="R123" s="59"/>
      <c r="S123" s="58">
        <f>C69</f>
        <v>0</v>
      </c>
      <c r="T123" s="59"/>
      <c r="U123" s="58">
        <f>C70</f>
        <v>0</v>
      </c>
      <c r="V123" s="59"/>
      <c r="W123" s="58">
        <f>C71</f>
        <v>0</v>
      </c>
      <c r="X123" s="59"/>
    </row>
    <row r="124" spans="2:24" ht="35" customHeight="1" x14ac:dyDescent="0.35">
      <c r="P124" s="60" t="s">
        <v>335</v>
      </c>
      <c r="Q124" s="60" t="s">
        <v>336</v>
      </c>
      <c r="R124" s="60" t="s">
        <v>337</v>
      </c>
      <c r="S124" s="60" t="s">
        <v>338</v>
      </c>
      <c r="T124" s="60" t="s">
        <v>339</v>
      </c>
      <c r="U124" s="60" t="s">
        <v>340</v>
      </c>
      <c r="V124" s="60" t="s">
        <v>341</v>
      </c>
      <c r="W124" s="60" t="s">
        <v>342</v>
      </c>
      <c r="X124" s="60" t="s">
        <v>343</v>
      </c>
    </row>
    <row r="125" spans="2:24" x14ac:dyDescent="0.35">
      <c r="O125" s="61" t="s">
        <v>344</v>
      </c>
      <c r="P125" s="62" t="s">
        <v>345</v>
      </c>
      <c r="Q125" s="63">
        <v>0</v>
      </c>
      <c r="R125" s="64">
        <f>IF(Dashboard!F16&gt;0, Q125/Dashboard!F16, "")</f>
        <v>0</v>
      </c>
      <c r="S125" s="63">
        <v>0</v>
      </c>
      <c r="T125" s="64" t="str">
        <f>IF(AND(NOT(ISBLANK(S125)),Dashboard!F69&gt;0), S125/Dashboard!F69, "")</f>
        <v/>
      </c>
      <c r="U125" s="63">
        <v>0</v>
      </c>
      <c r="V125" s="64" t="str">
        <f>IF(AND(NOT(ISBLANK(U125)),Dashboard!F70&gt;0), U125/Dashboard!F70, "")</f>
        <v/>
      </c>
      <c r="W125" s="63">
        <v>0</v>
      </c>
      <c r="X125" s="64" t="str">
        <f>IF(AND(NOT(ISBLANK(W125)),Dashboard!F71&gt;0), W125/Dashboard!F71, "")</f>
        <v/>
      </c>
    </row>
    <row r="126" spans="2:24" x14ac:dyDescent="0.35">
      <c r="P126" s="55"/>
      <c r="Q126" s="42"/>
      <c r="R126" s="45" t="str">
        <f>IF(AND(NOT(ISBLANK(Q126)),Dashboard!F16&gt;0), Q126/Dashboard!F16, "")</f>
        <v/>
      </c>
      <c r="S126" s="42"/>
      <c r="T126" s="45" t="str">
        <f>IF(AND(NOT(ISBLANK(S126)),Dashboard!F69&gt;0), S126/Dashboard!F69, "")</f>
        <v/>
      </c>
      <c r="U126" s="42"/>
      <c r="V126" s="45" t="str">
        <f>IF(AND(NOT(ISBLANK(U126)),Dashboard!F70&gt;0), U126/Dashboard!F70, "")</f>
        <v/>
      </c>
      <c r="W126" s="42"/>
      <c r="X126" s="45" t="str">
        <f>IF(AND(NOT(ISBLANK(W126)),Dashboard!F71&gt;0), W126/Dashboard!F71, "")</f>
        <v/>
      </c>
    </row>
    <row r="127" spans="2:24" x14ac:dyDescent="0.35">
      <c r="P127" s="55"/>
      <c r="Q127" s="42"/>
      <c r="R127" s="45" t="str">
        <f>IF(AND(NOT(ISBLANK(Q127)),Dashboard!F16&gt;0), Q127/Dashboard!F16, "")</f>
        <v/>
      </c>
      <c r="S127" s="42"/>
      <c r="T127" s="45" t="str">
        <f>IF(AND(NOT(ISBLANK(S127)),Dashboard!F69&gt;0), S127/Dashboard!F69, "")</f>
        <v/>
      </c>
      <c r="U127" s="42"/>
      <c r="V127" s="45" t="str">
        <f>IF(AND(NOT(ISBLANK(U127)),Dashboard!F70&gt;0), U127/Dashboard!F70, "")</f>
        <v/>
      </c>
      <c r="W127" s="42"/>
      <c r="X127" s="45" t="str">
        <f>IF(AND(NOT(ISBLANK(W127)),Dashboard!F71&gt;0), W127/Dashboard!F71, "")</f>
        <v/>
      </c>
    </row>
    <row r="128" spans="2:24" x14ac:dyDescent="0.35">
      <c r="P128" s="55"/>
      <c r="Q128" s="42"/>
      <c r="R128" s="45" t="str">
        <f>IF(AND(NOT(ISBLANK(Q128)),Dashboard!F16&gt;0), Q128/Dashboard!F16, "")</f>
        <v/>
      </c>
      <c r="S128" s="42"/>
      <c r="T128" s="45" t="str">
        <f>IF(AND(NOT(ISBLANK(S128)),Dashboard!F69&gt;0), S128/Dashboard!F69, "")</f>
        <v/>
      </c>
      <c r="U128" s="42"/>
      <c r="V128" s="45" t="str">
        <f>IF(AND(NOT(ISBLANK(U128)),Dashboard!F70&gt;0), U128/Dashboard!F70, "")</f>
        <v/>
      </c>
      <c r="W128" s="42"/>
      <c r="X128" s="45" t="str">
        <f>IF(AND(NOT(ISBLANK(W128)),Dashboard!F71&gt;0), W128/Dashboard!F71, "")</f>
        <v/>
      </c>
    </row>
    <row r="129" spans="16:24" x14ac:dyDescent="0.35">
      <c r="P129" s="55"/>
      <c r="Q129" s="42"/>
      <c r="R129" s="45" t="str">
        <f>IF(AND(NOT(ISBLANK(Q129)),Dashboard!F16&gt;0), Q129/Dashboard!F16, "")</f>
        <v/>
      </c>
      <c r="S129" s="42"/>
      <c r="T129" s="45" t="str">
        <f>IF(AND(NOT(ISBLANK(S129)),Dashboard!F69&gt;0), S129/Dashboard!F69, "")</f>
        <v/>
      </c>
      <c r="U129" s="42"/>
      <c r="V129" s="45" t="str">
        <f>IF(AND(NOT(ISBLANK(U129)),Dashboard!F70&gt;0), U129/Dashboard!F70, "")</f>
        <v/>
      </c>
      <c r="W129" s="42"/>
      <c r="X129" s="45" t="str">
        <f>IF(AND(NOT(ISBLANK(W129)),Dashboard!F71&gt;0), W129/Dashboard!F71, "")</f>
        <v/>
      </c>
    </row>
    <row r="130" spans="16:24" x14ac:dyDescent="0.35">
      <c r="P130" s="55"/>
      <c r="Q130" s="42"/>
      <c r="R130" s="45" t="str">
        <f>IF(AND(NOT(ISBLANK(Q130)),Dashboard!F16&gt;0), Q130/Dashboard!F16, "")</f>
        <v/>
      </c>
      <c r="S130" s="42"/>
      <c r="T130" s="45" t="str">
        <f>IF(AND(NOT(ISBLANK(S130)),Dashboard!F69&gt;0), S130/Dashboard!F69, "")</f>
        <v/>
      </c>
      <c r="U130" s="42"/>
      <c r="V130" s="45" t="str">
        <f>IF(AND(NOT(ISBLANK(U130)),Dashboard!F70&gt;0), U130/Dashboard!F70, "")</f>
        <v/>
      </c>
      <c r="W130" s="42"/>
      <c r="X130" s="45" t="str">
        <f>IF(AND(NOT(ISBLANK(W130)),Dashboard!F71&gt;0), W130/Dashboard!F71, "")</f>
        <v/>
      </c>
    </row>
    <row r="131" spans="16:24" x14ac:dyDescent="0.35">
      <c r="P131" s="55"/>
      <c r="Q131" s="42"/>
      <c r="R131" s="45" t="str">
        <f>IF(AND(NOT(ISBLANK(Q131)),Dashboard!F16&gt;0), Q131/Dashboard!F16, "")</f>
        <v/>
      </c>
      <c r="S131" s="42"/>
      <c r="T131" s="45" t="str">
        <f>IF(AND(NOT(ISBLANK(S131)),Dashboard!F69&gt;0), S131/Dashboard!F69, "")</f>
        <v/>
      </c>
      <c r="U131" s="42"/>
      <c r="V131" s="45" t="str">
        <f>IF(AND(NOT(ISBLANK(U131)),Dashboard!F70&gt;0), U131/Dashboard!F70, "")</f>
        <v/>
      </c>
      <c r="W131" s="42"/>
      <c r="X131" s="45" t="str">
        <f>IF(AND(NOT(ISBLANK(W131)),Dashboard!F71&gt;0), W131/Dashboard!F71, "")</f>
        <v/>
      </c>
    </row>
    <row r="132" spans="16:24" x14ac:dyDescent="0.35">
      <c r="P132" s="55"/>
      <c r="Q132" s="42"/>
      <c r="R132" s="45" t="str">
        <f>IF(AND(NOT(ISBLANK(Q132)),Dashboard!F16&gt;0), Q132/Dashboard!F16, "")</f>
        <v/>
      </c>
      <c r="S132" s="42"/>
      <c r="T132" s="45" t="str">
        <f>IF(AND(NOT(ISBLANK(S132)),Dashboard!F69&gt;0), S132/Dashboard!F69, "")</f>
        <v/>
      </c>
      <c r="U132" s="42"/>
      <c r="V132" s="45" t="str">
        <f>IF(AND(NOT(ISBLANK(U132)),Dashboard!F70&gt;0), U132/Dashboard!F70, "")</f>
        <v/>
      </c>
      <c r="W132" s="42"/>
      <c r="X132" s="45" t="str">
        <f>IF(AND(NOT(ISBLANK(W132)),Dashboard!F71&gt;0), W132/Dashboard!F71, "")</f>
        <v/>
      </c>
    </row>
    <row r="133" spans="16:24" x14ac:dyDescent="0.35">
      <c r="P133" s="55"/>
      <c r="Q133" s="42"/>
      <c r="R133" s="45" t="str">
        <f>IF(AND(NOT(ISBLANK(Q133)),Dashboard!F16&gt;0), Q133/Dashboard!F16, "")</f>
        <v/>
      </c>
      <c r="S133" s="42"/>
      <c r="T133" s="45" t="str">
        <f>IF(AND(NOT(ISBLANK(S133)),Dashboard!F69&gt;0), S133/Dashboard!F69, "")</f>
        <v/>
      </c>
      <c r="U133" s="42"/>
      <c r="V133" s="45" t="str">
        <f>IF(AND(NOT(ISBLANK(U133)),Dashboard!F70&gt;0), U133/Dashboard!F70, "")</f>
        <v/>
      </c>
      <c r="W133" s="42"/>
      <c r="X133" s="45" t="str">
        <f>IF(AND(NOT(ISBLANK(W133)),Dashboard!F71&gt;0), W133/Dashboard!F71, "")</f>
        <v/>
      </c>
    </row>
    <row r="134" spans="16:24" x14ac:dyDescent="0.35">
      <c r="P134" s="55"/>
      <c r="Q134" s="42"/>
      <c r="R134" s="45" t="str">
        <f>IF(AND(NOT(ISBLANK(Q134)),Dashboard!F16&gt;0), Q134/Dashboard!F16, "")</f>
        <v/>
      </c>
      <c r="S134" s="42"/>
      <c r="T134" s="45" t="str">
        <f>IF(AND(NOT(ISBLANK(S134)),Dashboard!F69&gt;0), S134/Dashboard!F69, "")</f>
        <v/>
      </c>
      <c r="U134" s="42"/>
      <c r="V134" s="45" t="str">
        <f>IF(AND(NOT(ISBLANK(U134)),Dashboard!F70&gt;0), U134/Dashboard!F70, "")</f>
        <v/>
      </c>
      <c r="W134" s="42"/>
      <c r="X134" s="45" t="str">
        <f>IF(AND(NOT(ISBLANK(W134)),Dashboard!F71&gt;0), W134/Dashboard!F71, "")</f>
        <v/>
      </c>
    </row>
    <row r="135" spans="16:24" x14ac:dyDescent="0.35">
      <c r="P135" s="55"/>
      <c r="Q135" s="42"/>
      <c r="R135" s="45" t="str">
        <f>IF(AND(NOT(ISBLANK(Q135)),Dashboard!F16&gt;0), Q135/Dashboard!F16, "")</f>
        <v/>
      </c>
      <c r="S135" s="42"/>
      <c r="T135" s="45" t="str">
        <f>IF(AND(NOT(ISBLANK(S135)),Dashboard!F69&gt;0), S135/Dashboard!F69, "")</f>
        <v/>
      </c>
      <c r="U135" s="42"/>
      <c r="V135" s="45" t="str">
        <f>IF(AND(NOT(ISBLANK(U135)),Dashboard!F70&gt;0), U135/Dashboard!F70, "")</f>
        <v/>
      </c>
      <c r="W135" s="42"/>
      <c r="X135" s="45" t="str">
        <f>IF(AND(NOT(ISBLANK(W135)),Dashboard!F71&gt;0), W135/Dashboard!F71, "")</f>
        <v/>
      </c>
    </row>
    <row r="136" spans="16:24" x14ac:dyDescent="0.35">
      <c r="P136" s="55"/>
      <c r="Q136" s="42"/>
      <c r="R136" s="45" t="str">
        <f>IF(AND(NOT(ISBLANK(Q136)),Dashboard!F16&gt;0), Q136/Dashboard!F16, "")</f>
        <v/>
      </c>
      <c r="S136" s="42"/>
      <c r="T136" s="45" t="str">
        <f>IF(AND(NOT(ISBLANK(S136)),Dashboard!F69&gt;0), S136/Dashboard!F69, "")</f>
        <v/>
      </c>
      <c r="U136" s="42"/>
      <c r="V136" s="45" t="str">
        <f>IF(AND(NOT(ISBLANK(U136)),Dashboard!F70&gt;0), U136/Dashboard!F70, "")</f>
        <v/>
      </c>
      <c r="W136" s="42"/>
      <c r="X136" s="45" t="str">
        <f>IF(AND(NOT(ISBLANK(W136)),Dashboard!F71&gt;0), W136/Dashboard!F71, "")</f>
        <v/>
      </c>
    </row>
    <row r="137" spans="16:24" x14ac:dyDescent="0.35">
      <c r="P137" s="55"/>
      <c r="Q137" s="42"/>
      <c r="R137" s="45" t="str">
        <f>IF(AND(NOT(ISBLANK(Q137)),Dashboard!F16&gt;0), Q137/Dashboard!F16, "")</f>
        <v/>
      </c>
      <c r="S137" s="42"/>
      <c r="T137" s="45" t="str">
        <f>IF(AND(NOT(ISBLANK(S137)),Dashboard!F69&gt;0), S137/Dashboard!F69, "")</f>
        <v/>
      </c>
      <c r="U137" s="42"/>
      <c r="V137" s="45" t="str">
        <f>IF(AND(NOT(ISBLANK(U137)),Dashboard!F70&gt;0), U137/Dashboard!F70, "")</f>
        <v/>
      </c>
      <c r="W137" s="42"/>
      <c r="X137" s="45" t="str">
        <f>IF(AND(NOT(ISBLANK(W137)),Dashboard!F71&gt;0), W137/Dashboard!F71, "")</f>
        <v/>
      </c>
    </row>
    <row r="138" spans="16:24" x14ac:dyDescent="0.35">
      <c r="P138" s="55"/>
      <c r="Q138" s="42"/>
      <c r="R138" s="45" t="str">
        <f>IF(AND(NOT(ISBLANK(Q138)),Dashboard!F16&gt;0), Q138/Dashboard!F16, "")</f>
        <v/>
      </c>
      <c r="S138" s="42"/>
      <c r="T138" s="45" t="str">
        <f>IF(AND(NOT(ISBLANK(S138)),Dashboard!F69&gt;0), S138/Dashboard!F69, "")</f>
        <v/>
      </c>
      <c r="U138" s="42"/>
      <c r="V138" s="45" t="str">
        <f>IF(AND(NOT(ISBLANK(U138)),Dashboard!F70&gt;0), U138/Dashboard!F70, "")</f>
        <v/>
      </c>
      <c r="W138" s="42"/>
      <c r="X138" s="45" t="str">
        <f>IF(AND(NOT(ISBLANK(W138)),Dashboard!F71&gt;0), W138/Dashboard!F71, "")</f>
        <v/>
      </c>
    </row>
    <row r="139" spans="16:24" x14ac:dyDescent="0.35">
      <c r="P139" s="55"/>
      <c r="Q139" s="42"/>
      <c r="R139" s="45" t="str">
        <f>IF(AND(NOT(ISBLANK(Q139)),Dashboard!F16&gt;0), Q139/Dashboard!F16, "")</f>
        <v/>
      </c>
      <c r="S139" s="42"/>
      <c r="T139" s="45" t="str">
        <f>IF(AND(NOT(ISBLANK(S139)),Dashboard!F69&gt;0), S139/Dashboard!F69, "")</f>
        <v/>
      </c>
      <c r="U139" s="42"/>
      <c r="V139" s="45" t="str">
        <f>IF(AND(NOT(ISBLANK(U139)),Dashboard!F70&gt;0), U139/Dashboard!F70, "")</f>
        <v/>
      </c>
      <c r="W139" s="42"/>
      <c r="X139" s="45" t="str">
        <f>IF(AND(NOT(ISBLANK(W139)),Dashboard!F71&gt;0), W139/Dashboard!F71, "")</f>
        <v/>
      </c>
    </row>
    <row r="140" spans="16:24" x14ac:dyDescent="0.35">
      <c r="P140" s="55"/>
      <c r="Q140" s="42"/>
      <c r="R140" s="45" t="str">
        <f>IF(AND(NOT(ISBLANK(Q140)),Dashboard!F16&gt;0), Q140/Dashboard!F16, "")</f>
        <v/>
      </c>
      <c r="S140" s="42"/>
      <c r="T140" s="45" t="str">
        <f>IF(AND(NOT(ISBLANK(S140)),Dashboard!F69&gt;0), S140/Dashboard!F69, "")</f>
        <v/>
      </c>
      <c r="U140" s="42"/>
      <c r="V140" s="45" t="str">
        <f>IF(AND(NOT(ISBLANK(U140)),Dashboard!F70&gt;0), U140/Dashboard!F70, "")</f>
        <v/>
      </c>
      <c r="W140" s="42"/>
      <c r="X140" s="45" t="str">
        <f>IF(AND(NOT(ISBLANK(W140)),Dashboard!F71&gt;0), W140/Dashboard!F71, "")</f>
        <v/>
      </c>
    </row>
    <row r="141" spans="16:24" x14ac:dyDescent="0.35">
      <c r="P141" s="55"/>
      <c r="Q141" s="42"/>
      <c r="R141" s="45" t="str">
        <f>IF(AND(NOT(ISBLANK(Q141)),Dashboard!F16&gt;0), Q141/Dashboard!F16, "")</f>
        <v/>
      </c>
      <c r="S141" s="42"/>
      <c r="T141" s="45" t="str">
        <f>IF(AND(NOT(ISBLANK(S141)),Dashboard!F69&gt;0), S141/Dashboard!F69, "")</f>
        <v/>
      </c>
      <c r="U141" s="42"/>
      <c r="V141" s="45" t="str">
        <f>IF(AND(NOT(ISBLANK(U141)),Dashboard!F70&gt;0), U141/Dashboard!F70, "")</f>
        <v/>
      </c>
      <c r="W141" s="42"/>
      <c r="X141" s="45" t="str">
        <f>IF(AND(NOT(ISBLANK(W141)),Dashboard!F71&gt;0), W141/Dashboard!F71, "")</f>
        <v/>
      </c>
    </row>
    <row r="142" spans="16:24" x14ac:dyDescent="0.35">
      <c r="P142" s="55"/>
      <c r="Q142" s="42"/>
      <c r="R142" s="45" t="str">
        <f>IF(AND(NOT(ISBLANK(Q142)),Dashboard!F16&gt;0), Q142/Dashboard!F16, "")</f>
        <v/>
      </c>
      <c r="S142" s="42"/>
      <c r="T142" s="45" t="str">
        <f>IF(AND(NOT(ISBLANK(S142)),Dashboard!F69&gt;0), S142/Dashboard!F69, "")</f>
        <v/>
      </c>
      <c r="U142" s="42"/>
      <c r="V142" s="45" t="str">
        <f>IF(AND(NOT(ISBLANK(U142)),Dashboard!F70&gt;0), U142/Dashboard!F70, "")</f>
        <v/>
      </c>
      <c r="W142" s="42"/>
      <c r="X142" s="45" t="str">
        <f>IF(AND(NOT(ISBLANK(W142)),Dashboard!F71&gt;0), W142/Dashboard!F71, "")</f>
        <v/>
      </c>
    </row>
    <row r="143" spans="16:24" x14ac:dyDescent="0.35">
      <c r="P143" s="55"/>
      <c r="Q143" s="42"/>
      <c r="R143" s="45" t="str">
        <f>IF(AND(NOT(ISBLANK(Q143)),Dashboard!F16&gt;0), Q143/Dashboard!F16, "")</f>
        <v/>
      </c>
      <c r="S143" s="42"/>
      <c r="T143" s="45" t="str">
        <f>IF(AND(NOT(ISBLANK(S143)),Dashboard!F69&gt;0), S143/Dashboard!F69, "")</f>
        <v/>
      </c>
      <c r="U143" s="42"/>
      <c r="V143" s="45" t="str">
        <f>IF(AND(NOT(ISBLANK(U143)),Dashboard!F70&gt;0), U143/Dashboard!F70, "")</f>
        <v/>
      </c>
      <c r="W143" s="42"/>
      <c r="X143" s="45" t="str">
        <f>IF(AND(NOT(ISBLANK(W143)),Dashboard!F71&gt;0), W143/Dashboard!F71, "")</f>
        <v/>
      </c>
    </row>
    <row r="144" spans="16:24" x14ac:dyDescent="0.35">
      <c r="P144" s="55"/>
      <c r="Q144" s="42"/>
      <c r="R144" s="45" t="str">
        <f>IF(AND(NOT(ISBLANK(Q144)),Dashboard!F16&gt;0), Q144/Dashboard!F16, "")</f>
        <v/>
      </c>
      <c r="S144" s="42"/>
      <c r="T144" s="45" t="str">
        <f>IF(AND(NOT(ISBLANK(S144)),Dashboard!F69&gt;0), S144/Dashboard!F69, "")</f>
        <v/>
      </c>
      <c r="U144" s="42"/>
      <c r="V144" s="45" t="str">
        <f>IF(AND(NOT(ISBLANK(U144)),Dashboard!F70&gt;0), U144/Dashboard!F70, "")</f>
        <v/>
      </c>
      <c r="W144" s="42"/>
      <c r="X144" s="45" t="str">
        <f>IF(AND(NOT(ISBLANK(W144)),Dashboard!F71&gt;0), W144/Dashboard!F71, "")</f>
        <v/>
      </c>
    </row>
    <row r="145" spans="2:24" x14ac:dyDescent="0.35">
      <c r="P145" s="55"/>
      <c r="Q145" s="42"/>
      <c r="R145" s="45" t="str">
        <f>IF(AND(NOT(ISBLANK(Q145)),Dashboard!F16&gt;0), Q145/Dashboard!F16, "")</f>
        <v/>
      </c>
      <c r="S145" s="42"/>
      <c r="T145" s="45" t="str">
        <f>IF(AND(NOT(ISBLANK(S145)),Dashboard!F69&gt;0), S145/Dashboard!F69, "")</f>
        <v/>
      </c>
      <c r="U145" s="42"/>
      <c r="V145" s="45" t="str">
        <f>IF(AND(NOT(ISBLANK(U145)),Dashboard!F70&gt;0), U145/Dashboard!F70, "")</f>
        <v/>
      </c>
      <c r="W145" s="42"/>
      <c r="X145" s="45" t="str">
        <f>IF(AND(NOT(ISBLANK(W145)),Dashboard!F71&gt;0), W145/Dashboard!F71, "")</f>
        <v/>
      </c>
    </row>
    <row r="146" spans="2:24" x14ac:dyDescent="0.35">
      <c r="P146" s="55"/>
      <c r="Q146" s="42"/>
      <c r="R146" s="45" t="str">
        <f>IF(AND(NOT(ISBLANK(Q146)),Dashboard!F16&gt;0), Q146/Dashboard!F16, "")</f>
        <v/>
      </c>
      <c r="S146" s="42"/>
      <c r="T146" s="45" t="str">
        <f>IF(AND(NOT(ISBLANK(S146)),Dashboard!F69&gt;0), S146/Dashboard!F69, "")</f>
        <v/>
      </c>
      <c r="U146" s="42"/>
      <c r="V146" s="45" t="str">
        <f>IF(AND(NOT(ISBLANK(U146)),Dashboard!F70&gt;0), U146/Dashboard!F70, "")</f>
        <v/>
      </c>
      <c r="W146" s="42"/>
      <c r="X146" s="45" t="str">
        <f>IF(AND(NOT(ISBLANK(W146)),Dashboard!F71&gt;0), W146/Dashboard!F71, "")</f>
        <v/>
      </c>
    </row>
    <row r="147" spans="2:24" x14ac:dyDescent="0.35">
      <c r="P147" s="55"/>
      <c r="Q147" s="42"/>
      <c r="R147" s="45" t="str">
        <f>IF(AND(NOT(ISBLANK(Q147)),Dashboard!F16&gt;0), Q147/Dashboard!F16, "")</f>
        <v/>
      </c>
      <c r="S147" s="42"/>
      <c r="T147" s="45" t="str">
        <f>IF(AND(NOT(ISBLANK(S147)),Dashboard!F69&gt;0), S147/Dashboard!F69, "")</f>
        <v/>
      </c>
      <c r="U147" s="42"/>
      <c r="V147" s="45" t="str">
        <f>IF(AND(NOT(ISBLANK(U147)),Dashboard!F70&gt;0), U147/Dashboard!F70, "")</f>
        <v/>
      </c>
      <c r="W147" s="42"/>
      <c r="X147" s="45" t="str">
        <f>IF(AND(NOT(ISBLANK(W147)),Dashboard!F71&gt;0), W147/Dashboard!F71, "")</f>
        <v/>
      </c>
    </row>
    <row r="148" spans="2:24" x14ac:dyDescent="0.35">
      <c r="P148" s="55"/>
      <c r="Q148" s="42"/>
      <c r="R148" s="45" t="str">
        <f>IF(AND(NOT(ISBLANK(Q148)),Dashboard!F16&gt;0), Q148/Dashboard!F16, "")</f>
        <v/>
      </c>
      <c r="S148" s="42"/>
      <c r="T148" s="45" t="str">
        <f>IF(AND(NOT(ISBLANK(S148)),Dashboard!F69&gt;0), S148/Dashboard!F69, "")</f>
        <v/>
      </c>
      <c r="U148" s="42"/>
      <c r="V148" s="45" t="str">
        <f>IF(AND(NOT(ISBLANK(U148)),Dashboard!F70&gt;0), U148/Dashboard!F70, "")</f>
        <v/>
      </c>
      <c r="W148" s="42"/>
      <c r="X148" s="45" t="str">
        <f>IF(AND(NOT(ISBLANK(W148)),Dashboard!F71&gt;0), W148/Dashboard!F71, "")</f>
        <v/>
      </c>
    </row>
    <row r="149" spans="2:24" x14ac:dyDescent="0.35">
      <c r="P149" s="55"/>
      <c r="Q149" s="42"/>
      <c r="R149" s="45" t="str">
        <f>IF(AND(NOT(ISBLANK(Q149)),Dashboard!F16&gt;0), Q149/Dashboard!F16, "")</f>
        <v/>
      </c>
      <c r="S149" s="42"/>
      <c r="T149" s="45" t="str">
        <f>IF(AND(NOT(ISBLANK(S149)),Dashboard!F69&gt;0), S149/Dashboard!F69, "")</f>
        <v/>
      </c>
      <c r="U149" s="42"/>
      <c r="V149" s="45" t="str">
        <f>IF(AND(NOT(ISBLANK(U149)),Dashboard!F70&gt;0), U149/Dashboard!F70, "")</f>
        <v/>
      </c>
      <c r="W149" s="42"/>
      <c r="X149" s="45" t="str">
        <f>IF(AND(NOT(ISBLANK(W149)),Dashboard!F71&gt;0), W149/Dashboard!F71, "")</f>
        <v/>
      </c>
    </row>
    <row r="150" spans="2:24" x14ac:dyDescent="0.35">
      <c r="P150" s="55"/>
      <c r="Q150" s="42"/>
      <c r="R150" s="45" t="str">
        <f>IF(AND(NOT(ISBLANK(Q150)),Dashboard!F16&gt;0), Q150/Dashboard!F16, "")</f>
        <v/>
      </c>
      <c r="S150" s="42"/>
      <c r="T150" s="45" t="str">
        <f>IF(AND(NOT(ISBLANK(S150)),Dashboard!F69&gt;0), S150/Dashboard!F69, "")</f>
        <v/>
      </c>
      <c r="U150" s="42"/>
      <c r="V150" s="45" t="str">
        <f>IF(AND(NOT(ISBLANK(U150)),Dashboard!F70&gt;0), U150/Dashboard!F70, "")</f>
        <v/>
      </c>
      <c r="W150" s="42"/>
      <c r="X150" s="45" t="str">
        <f>IF(AND(NOT(ISBLANK(W150)),Dashboard!F71&gt;0), W150/Dashboard!F71, "")</f>
        <v/>
      </c>
    </row>
    <row r="151" spans="2:24" x14ac:dyDescent="0.35">
      <c r="P151" s="55"/>
      <c r="Q151" s="42"/>
      <c r="R151" s="45" t="str">
        <f>IF(AND(NOT(ISBLANK(Q151)),Dashboard!F16&gt;0), Q151/Dashboard!F16, "")</f>
        <v/>
      </c>
      <c r="S151" s="42"/>
      <c r="T151" s="45" t="str">
        <f>IF(AND(NOT(ISBLANK(S151)),Dashboard!F69&gt;0), S151/Dashboard!F69, "")</f>
        <v/>
      </c>
      <c r="U151" s="42"/>
      <c r="V151" s="45" t="str">
        <f>IF(AND(NOT(ISBLANK(U151)),Dashboard!F70&gt;0), U151/Dashboard!F70, "")</f>
        <v/>
      </c>
      <c r="W151" s="42"/>
      <c r="X151" s="45" t="str">
        <f>IF(AND(NOT(ISBLANK(W151)),Dashboard!F71&gt;0), W151/Dashboard!F71, "")</f>
        <v/>
      </c>
    </row>
    <row r="152" spans="2:24" x14ac:dyDescent="0.35">
      <c r="P152" s="55"/>
      <c r="Q152" s="42"/>
      <c r="R152" s="45" t="str">
        <f>IF(AND(NOT(ISBLANK(Q152)),Dashboard!F16&gt;0), Q152/Dashboard!F16, "")</f>
        <v/>
      </c>
      <c r="S152" s="42"/>
      <c r="T152" s="45" t="str">
        <f>IF(AND(NOT(ISBLANK(S152)),Dashboard!F69&gt;0), S152/Dashboard!F69, "")</f>
        <v/>
      </c>
      <c r="U152" s="42"/>
      <c r="V152" s="45" t="str">
        <f>IF(AND(NOT(ISBLANK(U152)),Dashboard!F70&gt;0), U152/Dashboard!F70, "")</f>
        <v/>
      </c>
      <c r="W152" s="42"/>
      <c r="X152" s="45" t="str">
        <f>IF(AND(NOT(ISBLANK(W152)),Dashboard!F71&gt;0), W152/Dashboard!F71, "")</f>
        <v/>
      </c>
    </row>
    <row r="153" spans="2:24" x14ac:dyDescent="0.35">
      <c r="P153" s="55"/>
      <c r="Q153" s="42"/>
      <c r="R153" s="45" t="str">
        <f>IF(AND(NOT(ISBLANK(Q153)),Dashboard!F16&gt;0), Q153/Dashboard!F16, "")</f>
        <v/>
      </c>
      <c r="S153" s="42"/>
      <c r="T153" s="45" t="str">
        <f>IF(AND(NOT(ISBLANK(S153)),Dashboard!F69&gt;0), S153/Dashboard!F69, "")</f>
        <v/>
      </c>
      <c r="U153" s="42"/>
      <c r="V153" s="45" t="str">
        <f>IF(AND(NOT(ISBLANK(U153)),Dashboard!F70&gt;0), U153/Dashboard!F70, "")</f>
        <v/>
      </c>
      <c r="W153" s="42"/>
      <c r="X153" s="45" t="str">
        <f>IF(AND(NOT(ISBLANK(W153)),Dashboard!F71&gt;0), W153/Dashboard!F71, "")</f>
        <v/>
      </c>
    </row>
    <row r="154" spans="2:24" x14ac:dyDescent="0.35">
      <c r="P154" s="55"/>
      <c r="Q154" s="42"/>
      <c r="R154" s="45" t="str">
        <f>IF(AND(NOT(ISBLANK(Q154)),Dashboard!F16&gt;0), Q154/Dashboard!F16, "")</f>
        <v/>
      </c>
      <c r="S154" s="42"/>
      <c r="T154" s="45" t="str">
        <f>IF(AND(NOT(ISBLANK(S154)),Dashboard!F69&gt;0), S154/Dashboard!F69, "")</f>
        <v/>
      </c>
      <c r="U154" s="42"/>
      <c r="V154" s="45" t="str">
        <f>IF(AND(NOT(ISBLANK(U154)),Dashboard!F70&gt;0), U154/Dashboard!F70, "")</f>
        <v/>
      </c>
      <c r="W154" s="42"/>
      <c r="X154" s="45" t="str">
        <f>IF(AND(NOT(ISBLANK(W154)),Dashboard!F71&gt;0), W154/Dashboard!F71, "")</f>
        <v/>
      </c>
    </row>
    <row r="155" spans="2:24" x14ac:dyDescent="0.35">
      <c r="P155" s="55"/>
      <c r="Q155" s="42"/>
      <c r="R155" s="45" t="str">
        <f>IF(AND(NOT(ISBLANK(Q155)),Dashboard!F16&gt;0), Q155/Dashboard!F16, "")</f>
        <v/>
      </c>
      <c r="S155" s="42"/>
      <c r="T155" s="45" t="str">
        <f>IF(AND(NOT(ISBLANK(S155)),Dashboard!F69&gt;0), S155/Dashboard!F69, "")</f>
        <v/>
      </c>
      <c r="U155" s="42"/>
      <c r="V155" s="45" t="str">
        <f>IF(AND(NOT(ISBLANK(U155)),Dashboard!F70&gt;0), U155/Dashboard!F70, "")</f>
        <v/>
      </c>
      <c r="W155" s="42"/>
      <c r="X155" s="45" t="str">
        <f>IF(AND(NOT(ISBLANK(W155)),Dashboard!F71&gt;0), W155/Dashboard!F71, "")</f>
        <v/>
      </c>
    </row>
    <row r="160" spans="2:24" ht="21" x14ac:dyDescent="0.5">
      <c r="B160" s="39" t="s">
        <v>346</v>
      </c>
      <c r="P160" s="56" t="s">
        <v>347</v>
      </c>
    </row>
    <row r="162" spans="2:22" ht="45" customHeight="1" x14ac:dyDescent="0.35">
      <c r="B162" s="264" t="s">
        <v>348</v>
      </c>
      <c r="C162" s="257"/>
      <c r="D162" s="257"/>
      <c r="E162" s="257"/>
      <c r="F162" s="257"/>
      <c r="P162" s="264" t="s">
        <v>349</v>
      </c>
      <c r="Q162" s="257"/>
      <c r="R162" s="257"/>
      <c r="S162" s="257"/>
      <c r="T162" s="257"/>
      <c r="U162" s="257"/>
    </row>
    <row r="163" spans="2:22" ht="35" customHeight="1" x14ac:dyDescent="0.35">
      <c r="P163" s="261" t="s">
        <v>350</v>
      </c>
      <c r="Q163" s="261"/>
      <c r="R163" s="261" t="s">
        <v>351</v>
      </c>
      <c r="S163" s="261"/>
      <c r="T163" s="261"/>
    </row>
    <row r="164" spans="2:22" ht="30" customHeight="1" x14ac:dyDescent="0.35">
      <c r="P164" s="265">
        <v>0</v>
      </c>
      <c r="Q164" s="266"/>
      <c r="R164" s="267" t="s">
        <v>352</v>
      </c>
      <c r="S164" s="268"/>
      <c r="T164" s="268"/>
    </row>
    <row r="167" spans="2:22" ht="25" customHeight="1" x14ac:dyDescent="0.35">
      <c r="P167" s="65" t="s">
        <v>335</v>
      </c>
      <c r="Q167" s="65" t="s">
        <v>353</v>
      </c>
      <c r="R167" s="65" t="s">
        <v>354</v>
      </c>
      <c r="S167" s="269" t="s">
        <v>7</v>
      </c>
      <c r="T167" s="269"/>
      <c r="U167" s="269"/>
      <c r="V167" s="257"/>
    </row>
    <row r="168" spans="2:22" ht="20" customHeight="1" x14ac:dyDescent="0.35">
      <c r="P168" s="67"/>
      <c r="Q168" s="68"/>
      <c r="R168" s="69" t="str">
        <f>IF(AND(NOT(ISBLANK(Q168)), Dashboard!$P164&gt;0), Q168/Dashboard!$P164, "")</f>
        <v/>
      </c>
      <c r="S168" s="270"/>
      <c r="T168" s="271"/>
      <c r="U168" s="271"/>
      <c r="V168" s="271"/>
    </row>
    <row r="169" spans="2:22" ht="20" customHeight="1" x14ac:dyDescent="0.35">
      <c r="P169" s="67"/>
      <c r="Q169" s="68"/>
      <c r="R169" s="69" t="str">
        <f>IF(AND(NOT(ISBLANK(Q169)), Dashboard!$P164&gt;0), Q169/Dashboard!$P164, "")</f>
        <v/>
      </c>
      <c r="S169" s="270"/>
      <c r="T169" s="271"/>
      <c r="U169" s="271"/>
      <c r="V169" s="271"/>
    </row>
    <row r="170" spans="2:22" ht="20" customHeight="1" x14ac:dyDescent="0.35">
      <c r="P170" s="67"/>
      <c r="Q170" s="68"/>
      <c r="R170" s="69" t="str">
        <f>IF(AND(NOT(ISBLANK(Q170)), Dashboard!$P164&gt;0), Q170/Dashboard!$P164, "")</f>
        <v/>
      </c>
      <c r="S170" s="270"/>
      <c r="T170" s="271"/>
      <c r="U170" s="271"/>
      <c r="V170" s="271"/>
    </row>
    <row r="171" spans="2:22" ht="20" customHeight="1" x14ac:dyDescent="0.35">
      <c r="P171" s="67"/>
      <c r="Q171" s="68"/>
      <c r="R171" s="69" t="str">
        <f>IF(AND(NOT(ISBLANK(Q171)), Dashboard!$P164&gt;0), Q171/Dashboard!$P164, "")</f>
        <v/>
      </c>
      <c r="S171" s="270"/>
      <c r="T171" s="271"/>
      <c r="U171" s="271"/>
      <c r="V171" s="271"/>
    </row>
    <row r="172" spans="2:22" ht="20" customHeight="1" x14ac:dyDescent="0.35">
      <c r="P172" s="67"/>
      <c r="Q172" s="68"/>
      <c r="R172" s="69" t="str">
        <f>IF(AND(NOT(ISBLANK(Q172)), Dashboard!$P164&gt;0), Q172/Dashboard!$P164, "")</f>
        <v/>
      </c>
      <c r="S172" s="270"/>
      <c r="T172" s="271"/>
      <c r="U172" s="271"/>
      <c r="V172" s="271"/>
    </row>
    <row r="173" spans="2:22" ht="20" customHeight="1" x14ac:dyDescent="0.35">
      <c r="P173" s="67"/>
      <c r="Q173" s="68"/>
      <c r="R173" s="69" t="str">
        <f>IF(AND(NOT(ISBLANK(Q173)), Dashboard!$P164&gt;0), Q173/Dashboard!$P164, "")</f>
        <v/>
      </c>
      <c r="S173" s="270"/>
      <c r="T173" s="271"/>
      <c r="U173" s="271"/>
      <c r="V173" s="271"/>
    </row>
    <row r="174" spans="2:22" ht="20" customHeight="1" x14ac:dyDescent="0.35">
      <c r="P174" s="67"/>
      <c r="Q174" s="68"/>
      <c r="R174" s="69" t="str">
        <f>IF(AND(NOT(ISBLANK(Q174)), Dashboard!$P164&gt;0), Q174/Dashboard!$P164, "")</f>
        <v/>
      </c>
      <c r="S174" s="270"/>
      <c r="T174" s="271"/>
      <c r="U174" s="271"/>
      <c r="V174" s="271"/>
    </row>
    <row r="175" spans="2:22" ht="20" customHeight="1" x14ac:dyDescent="0.35">
      <c r="P175" s="67"/>
      <c r="Q175" s="68"/>
      <c r="R175" s="69" t="str">
        <f>IF(AND(NOT(ISBLANK(Q175)), Dashboard!$P164&gt;0), Q175/Dashboard!$P164, "")</f>
        <v/>
      </c>
      <c r="S175" s="270"/>
      <c r="T175" s="271"/>
      <c r="U175" s="271"/>
      <c r="V175" s="271"/>
    </row>
    <row r="176" spans="2:22" ht="20" customHeight="1" x14ac:dyDescent="0.35">
      <c r="P176" s="67"/>
      <c r="Q176" s="68"/>
      <c r="R176" s="69" t="str">
        <f>IF(AND(NOT(ISBLANK(Q176)), Dashboard!$P164&gt;0), Q176/Dashboard!$P164, "")</f>
        <v/>
      </c>
      <c r="S176" s="270"/>
      <c r="T176" s="271"/>
      <c r="U176" s="271"/>
      <c r="V176" s="271"/>
    </row>
    <row r="177" spans="2:22" ht="20" customHeight="1" x14ac:dyDescent="0.35">
      <c r="P177" s="67"/>
      <c r="Q177" s="68"/>
      <c r="R177" s="69" t="str">
        <f>IF(AND(NOT(ISBLANK(Q177)), Dashboard!$P164&gt;0), Q177/Dashboard!$P164, "")</f>
        <v/>
      </c>
      <c r="S177" s="270"/>
      <c r="T177" s="271"/>
      <c r="U177" s="271"/>
      <c r="V177" s="271"/>
    </row>
    <row r="178" spans="2:22" ht="20" customHeight="1" x14ac:dyDescent="0.35">
      <c r="P178" s="67"/>
      <c r="Q178" s="68"/>
      <c r="R178" s="69" t="str">
        <f>IF(AND(NOT(ISBLANK(Q178)), Dashboard!$P164&gt;0), Q178/Dashboard!$P164, "")</f>
        <v/>
      </c>
      <c r="S178" s="270"/>
      <c r="T178" s="271"/>
      <c r="U178" s="271"/>
      <c r="V178" s="271"/>
    </row>
    <row r="179" spans="2:22" ht="20" customHeight="1" x14ac:dyDescent="0.35">
      <c r="P179" s="67"/>
      <c r="Q179" s="68"/>
      <c r="R179" s="69" t="str">
        <f>IF(AND(NOT(ISBLANK(Q179)), Dashboard!$P164&gt;0), Q179/Dashboard!$P164, "")</f>
        <v/>
      </c>
      <c r="S179" s="270"/>
      <c r="T179" s="271"/>
      <c r="U179" s="271"/>
      <c r="V179" s="271"/>
    </row>
    <row r="180" spans="2:22" ht="20" customHeight="1" x14ac:dyDescent="0.35">
      <c r="P180" s="67"/>
      <c r="Q180" s="68"/>
      <c r="R180" s="69" t="str">
        <f>IF(AND(NOT(ISBLANK(Q180)), Dashboard!$P164&gt;0), Q180/Dashboard!$P164, "")</f>
        <v/>
      </c>
      <c r="S180" s="270"/>
      <c r="T180" s="271"/>
      <c r="U180" s="271"/>
      <c r="V180" s="271"/>
    </row>
    <row r="181" spans="2:22" ht="20" customHeight="1" x14ac:dyDescent="0.35">
      <c r="P181" s="67"/>
      <c r="Q181" s="68"/>
      <c r="R181" s="69" t="str">
        <f>IF(AND(NOT(ISBLANK(Q181)), Dashboard!$P164&gt;0), Q181/Dashboard!$P164, "")</f>
        <v/>
      </c>
      <c r="S181" s="270"/>
      <c r="T181" s="271"/>
      <c r="U181" s="271"/>
      <c r="V181" s="271"/>
    </row>
    <row r="182" spans="2:22" ht="20" customHeight="1" x14ac:dyDescent="0.35">
      <c r="P182" s="67"/>
      <c r="Q182" s="68"/>
      <c r="R182" s="69" t="str">
        <f>IF(AND(NOT(ISBLANK(Q182)), Dashboard!$P164&gt;0), Q182/Dashboard!$P164, "")</f>
        <v/>
      </c>
      <c r="S182" s="270"/>
      <c r="T182" s="271"/>
      <c r="U182" s="271"/>
      <c r="V182" s="271"/>
    </row>
    <row r="183" spans="2:22" ht="20" customHeight="1" x14ac:dyDescent="0.35">
      <c r="P183" s="67"/>
      <c r="Q183" s="68"/>
      <c r="R183" s="69" t="str">
        <f>IF(AND(NOT(ISBLANK(Q183)), Dashboard!$P164&gt;0), Q183/Dashboard!$P164, "")</f>
        <v/>
      </c>
      <c r="S183" s="270"/>
      <c r="T183" s="271"/>
      <c r="U183" s="271"/>
      <c r="V183" s="271"/>
    </row>
    <row r="184" spans="2:22" ht="20" customHeight="1" x14ac:dyDescent="0.35">
      <c r="P184" s="67"/>
      <c r="Q184" s="68"/>
      <c r="R184" s="69" t="str">
        <f>IF(AND(NOT(ISBLANK(Q184)), Dashboard!$P164&gt;0), Q184/Dashboard!$P164, "")</f>
        <v/>
      </c>
      <c r="S184" s="270"/>
      <c r="T184" s="271"/>
      <c r="U184" s="271"/>
      <c r="V184" s="271"/>
    </row>
    <row r="185" spans="2:22" ht="20" customHeight="1" x14ac:dyDescent="0.35">
      <c r="P185" s="67"/>
      <c r="Q185" s="68"/>
      <c r="R185" s="69" t="str">
        <f>IF(AND(NOT(ISBLANK(Q185)), Dashboard!$P164&gt;0), Q185/Dashboard!$P164, "")</f>
        <v/>
      </c>
      <c r="S185" s="270"/>
      <c r="T185" s="271"/>
      <c r="U185" s="271"/>
      <c r="V185" s="271"/>
    </row>
    <row r="186" spans="2:22" ht="20" customHeight="1" x14ac:dyDescent="0.35">
      <c r="P186" s="67"/>
      <c r="Q186" s="68"/>
      <c r="R186" s="69" t="str">
        <f>IF(AND(NOT(ISBLANK(Q186)), Dashboard!$P164&gt;0), Q186/Dashboard!$P164, "")</f>
        <v/>
      </c>
      <c r="S186" s="270"/>
      <c r="T186" s="271"/>
      <c r="U186" s="271"/>
      <c r="V186" s="271"/>
    </row>
    <row r="187" spans="2:22" ht="20" customHeight="1" x14ac:dyDescent="0.35">
      <c r="P187" s="67"/>
      <c r="Q187" s="68"/>
      <c r="R187" s="69" t="str">
        <f>IF(AND(NOT(ISBLANK(Q187)), Dashboard!$P164&gt;0), Q187/Dashboard!$P164, "")</f>
        <v/>
      </c>
      <c r="S187" s="270"/>
      <c r="T187" s="271"/>
      <c r="U187" s="271"/>
      <c r="V187" s="271"/>
    </row>
    <row r="191" spans="2:22" ht="32" customHeight="1" x14ac:dyDescent="0.35">
      <c r="B191" s="255" t="s">
        <v>209</v>
      </c>
      <c r="C191" s="255"/>
      <c r="D191" s="255"/>
      <c r="E191" s="255"/>
      <c r="F191" s="255"/>
      <c r="G191" s="255"/>
      <c r="H191" s="255"/>
      <c r="I191" s="255"/>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77" priority="1" operator="greaterThanOrEqual">
      <formula>0.9</formula>
    </cfRule>
    <cfRule type="cellIs" dxfId="76" priority="2" operator="greaterThanOrEqual">
      <formula>0.5</formula>
    </cfRule>
    <cfRule type="cellIs" dxfId="75" priority="3" operator="lessThan">
      <formula>0.5</formula>
    </cfRule>
  </conditionalFormatting>
  <conditionalFormatting sqref="G107:H112">
    <cfRule type="expression" dxfId="74" priority="4">
      <formula>$G107&gt;=0.8</formula>
    </cfRule>
    <cfRule type="expression" dxfId="73" priority="5">
      <formula>AND($G107&gt;=0.5,$G107&lt;0.8)</formula>
    </cfRule>
    <cfRule type="expression" dxfId="72" priority="6">
      <formula>$G107&lt;0.5</formula>
    </cfRule>
  </conditionalFormatting>
  <conditionalFormatting sqref="K107:K112">
    <cfRule type="cellIs" dxfId="71" priority="7" operator="greaterThan">
      <formula>0</formula>
    </cfRule>
  </conditionalFormatting>
  <conditionalFormatting sqref="L107:L112">
    <cfRule type="cellIs" dxfId="70" priority="8" operator="greaterThan">
      <formula>0</formula>
    </cfRule>
  </conditionalFormatting>
  <conditionalFormatting sqref="M107:M112">
    <cfRule type="cellIs" dxfId="69" priority="9" operator="greaterThan">
      <formula>0</formula>
    </cfRule>
  </conditionalFormatting>
  <conditionalFormatting sqref="N107:N112">
    <cfRule type="cellIs" dxfId="68"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48"/>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44"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21</v>
      </c>
      <c r="K3" s="1" t="s">
        <v>26</v>
      </c>
      <c r="L3" s="3" t="str">
        <f t="shared" si="0"/>
        <v>Outstanding</v>
      </c>
      <c r="M3" s="11" t="s">
        <v>19</v>
      </c>
    </row>
    <row r="4" spans="1:13" ht="60" customHeight="1" x14ac:dyDescent="0.35">
      <c r="A4" s="9" t="s">
        <v>27</v>
      </c>
      <c r="B4" s="1" t="s">
        <v>28</v>
      </c>
      <c r="C4" s="2" t="s">
        <v>15</v>
      </c>
      <c r="D4" s="3" t="s">
        <v>16</v>
      </c>
      <c r="E4" s="3" t="s">
        <v>17</v>
      </c>
      <c r="F4" s="3" t="s">
        <v>18</v>
      </c>
      <c r="G4" s="3" t="s">
        <v>19</v>
      </c>
      <c r="H4" s="4" t="s">
        <v>19</v>
      </c>
      <c r="I4" s="1" t="s">
        <v>29</v>
      </c>
      <c r="J4" s="1" t="s">
        <v>21</v>
      </c>
      <c r="K4" s="1" t="s">
        <v>30</v>
      </c>
      <c r="L4" s="3" t="str">
        <f t="shared" si="0"/>
        <v>Outstanding</v>
      </c>
      <c r="M4" s="11" t="s">
        <v>19</v>
      </c>
    </row>
    <row r="5" spans="1:13" ht="60" customHeight="1" x14ac:dyDescent="0.35">
      <c r="A5" s="9" t="s">
        <v>31</v>
      </c>
      <c r="B5" s="1" t="s">
        <v>32</v>
      </c>
      <c r="C5" s="2" t="s">
        <v>15</v>
      </c>
      <c r="D5" s="3" t="s">
        <v>16</v>
      </c>
      <c r="E5" s="3" t="s">
        <v>17</v>
      </c>
      <c r="F5" s="3" t="s">
        <v>18</v>
      </c>
      <c r="G5" s="3" t="s">
        <v>19</v>
      </c>
      <c r="H5" s="4" t="s">
        <v>19</v>
      </c>
      <c r="I5" s="1" t="s">
        <v>33</v>
      </c>
      <c r="J5" s="1" t="s">
        <v>21</v>
      </c>
      <c r="K5" s="1" t="s">
        <v>34</v>
      </c>
      <c r="L5" s="3" t="str">
        <f t="shared" si="0"/>
        <v>Outstanding</v>
      </c>
      <c r="M5" s="11" t="s">
        <v>19</v>
      </c>
    </row>
    <row r="6" spans="1:13" ht="60" customHeight="1" x14ac:dyDescent="0.35">
      <c r="A6" s="9" t="s">
        <v>35</v>
      </c>
      <c r="B6" s="1" t="s">
        <v>36</v>
      </c>
      <c r="C6" s="2" t="s">
        <v>37</v>
      </c>
      <c r="D6" s="3" t="s">
        <v>16</v>
      </c>
      <c r="E6" s="3" t="s">
        <v>17</v>
      </c>
      <c r="F6" s="3" t="s">
        <v>18</v>
      </c>
      <c r="G6" s="3" t="s">
        <v>19</v>
      </c>
      <c r="H6" s="4" t="s">
        <v>19</v>
      </c>
      <c r="I6" s="1" t="s">
        <v>38</v>
      </c>
      <c r="J6" s="1" t="s">
        <v>39</v>
      </c>
      <c r="K6" s="1" t="s">
        <v>40</v>
      </c>
      <c r="L6" s="3" t="str">
        <f t="shared" si="0"/>
        <v>Outstanding</v>
      </c>
      <c r="M6" s="11" t="s">
        <v>19</v>
      </c>
    </row>
    <row r="7" spans="1:13" ht="60" customHeight="1" x14ac:dyDescent="0.35">
      <c r="A7" s="9" t="s">
        <v>41</v>
      </c>
      <c r="B7" s="1" t="s">
        <v>42</v>
      </c>
      <c r="C7" s="2" t="s">
        <v>37</v>
      </c>
      <c r="D7" s="3" t="s">
        <v>16</v>
      </c>
      <c r="E7" s="3" t="s">
        <v>17</v>
      </c>
      <c r="F7" s="3" t="s">
        <v>18</v>
      </c>
      <c r="G7" s="3" t="s">
        <v>19</v>
      </c>
      <c r="H7" s="4" t="s">
        <v>19</v>
      </c>
      <c r="I7" s="1" t="s">
        <v>43</v>
      </c>
      <c r="J7" s="1" t="s">
        <v>44</v>
      </c>
      <c r="K7" s="1" t="s">
        <v>45</v>
      </c>
      <c r="L7" s="3" t="str">
        <f t="shared" si="0"/>
        <v>Outstanding</v>
      </c>
      <c r="M7" s="11" t="s">
        <v>19</v>
      </c>
    </row>
    <row r="8" spans="1:13" ht="60" customHeight="1" x14ac:dyDescent="0.35">
      <c r="A8" s="9" t="s">
        <v>46</v>
      </c>
      <c r="B8" s="1" t="s">
        <v>47</v>
      </c>
      <c r="C8" s="2" t="s">
        <v>37</v>
      </c>
      <c r="D8" s="3" t="s">
        <v>16</v>
      </c>
      <c r="E8" s="3" t="s">
        <v>17</v>
      </c>
      <c r="F8" s="3" t="s">
        <v>18</v>
      </c>
      <c r="G8" s="3" t="s">
        <v>19</v>
      </c>
      <c r="H8" s="4" t="s">
        <v>19</v>
      </c>
      <c r="I8" s="1" t="s">
        <v>48</v>
      </c>
      <c r="J8" s="1" t="s">
        <v>49</v>
      </c>
      <c r="K8" s="1" t="s">
        <v>50</v>
      </c>
      <c r="L8" s="3" t="str">
        <f t="shared" si="0"/>
        <v>Outstanding</v>
      </c>
      <c r="M8" s="11" t="s">
        <v>19</v>
      </c>
    </row>
    <row r="9" spans="1:13" ht="60" customHeight="1" x14ac:dyDescent="0.35">
      <c r="A9" s="9" t="s">
        <v>51</v>
      </c>
      <c r="B9" s="1" t="s">
        <v>52</v>
      </c>
      <c r="C9" s="2" t="s">
        <v>53</v>
      </c>
      <c r="D9" s="3" t="s">
        <v>16</v>
      </c>
      <c r="E9" s="3" t="s">
        <v>17</v>
      </c>
      <c r="F9" s="3" t="s">
        <v>18</v>
      </c>
      <c r="G9" s="3" t="s">
        <v>19</v>
      </c>
      <c r="H9" s="4" t="s">
        <v>19</v>
      </c>
      <c r="I9" s="1" t="s">
        <v>54</v>
      </c>
      <c r="J9" s="1" t="s">
        <v>55</v>
      </c>
      <c r="K9" s="1" t="s">
        <v>56</v>
      </c>
      <c r="L9" s="3" t="str">
        <f t="shared" si="0"/>
        <v>Outstanding</v>
      </c>
      <c r="M9" s="11" t="s">
        <v>19</v>
      </c>
    </row>
    <row r="10" spans="1:13" ht="60" customHeight="1" x14ac:dyDescent="0.35">
      <c r="A10" s="9" t="s">
        <v>57</v>
      </c>
      <c r="B10" s="1" t="s">
        <v>58</v>
      </c>
      <c r="C10" s="2" t="s">
        <v>15</v>
      </c>
      <c r="D10" s="3" t="s">
        <v>16</v>
      </c>
      <c r="E10" s="3" t="s">
        <v>17</v>
      </c>
      <c r="F10" s="3" t="s">
        <v>18</v>
      </c>
      <c r="G10" s="3" t="s">
        <v>19</v>
      </c>
      <c r="H10" s="4" t="s">
        <v>19</v>
      </c>
      <c r="I10" s="1" t="s">
        <v>59</v>
      </c>
      <c r="J10" s="1" t="s">
        <v>60</v>
      </c>
      <c r="K10" s="1" t="s">
        <v>61</v>
      </c>
      <c r="L10" s="3" t="str">
        <f t="shared" si="0"/>
        <v>Outstanding</v>
      </c>
      <c r="M10" s="11" t="s">
        <v>19</v>
      </c>
    </row>
    <row r="11" spans="1:13" ht="60" customHeight="1" x14ac:dyDescent="0.35">
      <c r="A11" s="9" t="s">
        <v>62</v>
      </c>
      <c r="B11" s="1" t="s">
        <v>63</v>
      </c>
      <c r="C11" s="2" t="s">
        <v>15</v>
      </c>
      <c r="D11" s="3" t="s">
        <v>16</v>
      </c>
      <c r="E11" s="3" t="s">
        <v>17</v>
      </c>
      <c r="F11" s="3" t="s">
        <v>18</v>
      </c>
      <c r="G11" s="3" t="s">
        <v>19</v>
      </c>
      <c r="H11" s="4" t="s">
        <v>19</v>
      </c>
      <c r="I11" s="1" t="s">
        <v>64</v>
      </c>
      <c r="J11" s="1" t="s">
        <v>60</v>
      </c>
      <c r="K11" s="1" t="s">
        <v>65</v>
      </c>
      <c r="L11" s="3" t="str">
        <f t="shared" si="0"/>
        <v>Outstanding</v>
      </c>
      <c r="M11" s="11" t="s">
        <v>19</v>
      </c>
    </row>
    <row r="12" spans="1:13" ht="60" customHeight="1" x14ac:dyDescent="0.35">
      <c r="A12" s="9" t="s">
        <v>66</v>
      </c>
      <c r="B12" s="1" t="s">
        <v>67</v>
      </c>
      <c r="C12" s="2" t="s">
        <v>15</v>
      </c>
      <c r="D12" s="3" t="s">
        <v>16</v>
      </c>
      <c r="E12" s="3" t="s">
        <v>17</v>
      </c>
      <c r="F12" s="3" t="s">
        <v>18</v>
      </c>
      <c r="G12" s="3" t="s">
        <v>19</v>
      </c>
      <c r="H12" s="4" t="s">
        <v>19</v>
      </c>
      <c r="I12" s="1" t="s">
        <v>68</v>
      </c>
      <c r="J12" s="1" t="s">
        <v>60</v>
      </c>
      <c r="K12" s="1" t="s">
        <v>69</v>
      </c>
      <c r="L12" s="3" t="str">
        <f t="shared" si="0"/>
        <v>Outstanding</v>
      </c>
      <c r="M12" s="11" t="s">
        <v>19</v>
      </c>
    </row>
    <row r="13" spans="1:13" ht="60" customHeight="1" x14ac:dyDescent="0.35">
      <c r="A13" s="9" t="s">
        <v>70</v>
      </c>
      <c r="B13" s="1" t="s">
        <v>71</v>
      </c>
      <c r="C13" s="2" t="s">
        <v>15</v>
      </c>
      <c r="D13" s="3" t="s">
        <v>16</v>
      </c>
      <c r="E13" s="3" t="s">
        <v>17</v>
      </c>
      <c r="F13" s="3" t="s">
        <v>18</v>
      </c>
      <c r="G13" s="3" t="s">
        <v>19</v>
      </c>
      <c r="H13" s="4" t="s">
        <v>19</v>
      </c>
      <c r="I13" s="1" t="s">
        <v>72</v>
      </c>
      <c r="J13" s="1" t="s">
        <v>60</v>
      </c>
      <c r="K13" s="1" t="s">
        <v>73</v>
      </c>
      <c r="L13" s="3" t="str">
        <f t="shared" si="0"/>
        <v>Outstanding</v>
      </c>
      <c r="M13" s="11" t="s">
        <v>19</v>
      </c>
    </row>
    <row r="14" spans="1:13" ht="60" customHeight="1" x14ac:dyDescent="0.35">
      <c r="A14" s="9" t="s">
        <v>74</v>
      </c>
      <c r="B14" s="1" t="s">
        <v>75</v>
      </c>
      <c r="C14" s="2" t="s">
        <v>15</v>
      </c>
      <c r="D14" s="3" t="s">
        <v>16</v>
      </c>
      <c r="E14" s="3" t="s">
        <v>17</v>
      </c>
      <c r="F14" s="3" t="s">
        <v>18</v>
      </c>
      <c r="G14" s="3" t="s">
        <v>19</v>
      </c>
      <c r="H14" s="4" t="s">
        <v>19</v>
      </c>
      <c r="I14" s="1" t="s">
        <v>76</v>
      </c>
      <c r="J14" s="1" t="s">
        <v>60</v>
      </c>
      <c r="K14" s="1" t="s">
        <v>77</v>
      </c>
      <c r="L14" s="3" t="str">
        <f t="shared" si="0"/>
        <v>Outstanding</v>
      </c>
      <c r="M14" s="11" t="s">
        <v>19</v>
      </c>
    </row>
    <row r="15" spans="1:13" ht="60" customHeight="1" x14ac:dyDescent="0.35">
      <c r="A15" s="9" t="s">
        <v>78</v>
      </c>
      <c r="B15" s="1" t="s">
        <v>79</v>
      </c>
      <c r="C15" s="2" t="s">
        <v>15</v>
      </c>
      <c r="D15" s="3" t="s">
        <v>16</v>
      </c>
      <c r="E15" s="3" t="s">
        <v>17</v>
      </c>
      <c r="F15" s="3" t="s">
        <v>18</v>
      </c>
      <c r="G15" s="3" t="s">
        <v>19</v>
      </c>
      <c r="H15" s="4" t="s">
        <v>19</v>
      </c>
      <c r="I15" s="1" t="s">
        <v>80</v>
      </c>
      <c r="J15" s="1" t="s">
        <v>60</v>
      </c>
      <c r="K15" s="1" t="s">
        <v>81</v>
      </c>
      <c r="L15" s="3" t="str">
        <f t="shared" si="0"/>
        <v>Outstanding</v>
      </c>
      <c r="M15" s="11" t="s">
        <v>19</v>
      </c>
    </row>
    <row r="16" spans="1:13" ht="60" customHeight="1" x14ac:dyDescent="0.35">
      <c r="A16" s="9" t="s">
        <v>82</v>
      </c>
      <c r="B16" s="1" t="s">
        <v>83</v>
      </c>
      <c r="C16" s="2" t="s">
        <v>15</v>
      </c>
      <c r="D16" s="3" t="s">
        <v>16</v>
      </c>
      <c r="E16" s="3" t="s">
        <v>17</v>
      </c>
      <c r="F16" s="3" t="s">
        <v>18</v>
      </c>
      <c r="G16" s="3" t="s">
        <v>19</v>
      </c>
      <c r="H16" s="4" t="s">
        <v>19</v>
      </c>
      <c r="I16" s="1" t="s">
        <v>84</v>
      </c>
      <c r="J16" s="1" t="s">
        <v>60</v>
      </c>
      <c r="K16" s="1" t="s">
        <v>85</v>
      </c>
      <c r="L16" s="3" t="str">
        <f t="shared" si="0"/>
        <v>Outstanding</v>
      </c>
      <c r="M16" s="11" t="s">
        <v>19</v>
      </c>
    </row>
    <row r="17" spans="1:13" ht="60" customHeight="1" x14ac:dyDescent="0.35">
      <c r="A17" s="9" t="s">
        <v>86</v>
      </c>
      <c r="B17" s="1" t="s">
        <v>87</v>
      </c>
      <c r="C17" s="2" t="s">
        <v>15</v>
      </c>
      <c r="D17" s="3" t="s">
        <v>16</v>
      </c>
      <c r="E17" s="3" t="s">
        <v>17</v>
      </c>
      <c r="F17" s="3" t="s">
        <v>18</v>
      </c>
      <c r="G17" s="3" t="s">
        <v>19</v>
      </c>
      <c r="H17" s="4" t="s">
        <v>19</v>
      </c>
      <c r="I17" s="1" t="s">
        <v>88</v>
      </c>
      <c r="J17" s="1" t="s">
        <v>60</v>
      </c>
      <c r="K17" s="1" t="s">
        <v>89</v>
      </c>
      <c r="L17" s="3" t="str">
        <f t="shared" si="0"/>
        <v>Outstanding</v>
      </c>
      <c r="M17" s="11" t="s">
        <v>19</v>
      </c>
    </row>
    <row r="18" spans="1:13" ht="60" customHeight="1" x14ac:dyDescent="0.35">
      <c r="A18" s="9" t="s">
        <v>90</v>
      </c>
      <c r="B18" s="1" t="s">
        <v>91</v>
      </c>
      <c r="C18" s="2" t="s">
        <v>15</v>
      </c>
      <c r="D18" s="3" t="s">
        <v>16</v>
      </c>
      <c r="E18" s="3" t="s">
        <v>17</v>
      </c>
      <c r="F18" s="3" t="s">
        <v>18</v>
      </c>
      <c r="G18" s="3" t="s">
        <v>19</v>
      </c>
      <c r="H18" s="4" t="s">
        <v>19</v>
      </c>
      <c r="I18" s="1" t="s">
        <v>92</v>
      </c>
      <c r="J18" s="1" t="s">
        <v>60</v>
      </c>
      <c r="K18" s="1" t="s">
        <v>93</v>
      </c>
      <c r="L18" s="3" t="str">
        <f t="shared" si="0"/>
        <v>Outstanding</v>
      </c>
      <c r="M18" s="11" t="s">
        <v>19</v>
      </c>
    </row>
    <row r="19" spans="1:13" ht="60" customHeight="1" x14ac:dyDescent="0.35">
      <c r="A19" s="9" t="s">
        <v>94</v>
      </c>
      <c r="B19" s="1" t="s">
        <v>95</v>
      </c>
      <c r="C19" s="2" t="s">
        <v>15</v>
      </c>
      <c r="D19" s="3" t="s">
        <v>16</v>
      </c>
      <c r="E19" s="3" t="s">
        <v>17</v>
      </c>
      <c r="F19" s="3" t="s">
        <v>18</v>
      </c>
      <c r="G19" s="3" t="s">
        <v>19</v>
      </c>
      <c r="H19" s="4" t="s">
        <v>19</v>
      </c>
      <c r="I19" s="1" t="s">
        <v>96</v>
      </c>
      <c r="J19" s="1" t="s">
        <v>60</v>
      </c>
      <c r="K19" s="1" t="s">
        <v>97</v>
      </c>
      <c r="L19" s="3" t="str">
        <f t="shared" si="0"/>
        <v>Outstanding</v>
      </c>
      <c r="M19" s="11" t="s">
        <v>19</v>
      </c>
    </row>
    <row r="20" spans="1:13" ht="60" customHeight="1" x14ac:dyDescent="0.35">
      <c r="A20" s="9" t="s">
        <v>98</v>
      </c>
      <c r="B20" s="1" t="s">
        <v>99</v>
      </c>
      <c r="C20" s="2" t="s">
        <v>15</v>
      </c>
      <c r="D20" s="3" t="s">
        <v>16</v>
      </c>
      <c r="E20" s="3" t="s">
        <v>17</v>
      </c>
      <c r="F20" s="3" t="s">
        <v>18</v>
      </c>
      <c r="G20" s="3" t="s">
        <v>19</v>
      </c>
      <c r="H20" s="4" t="s">
        <v>19</v>
      </c>
      <c r="I20" s="1" t="s">
        <v>100</v>
      </c>
      <c r="J20" s="1" t="s">
        <v>60</v>
      </c>
      <c r="K20" s="1" t="s">
        <v>101</v>
      </c>
      <c r="L20" s="3" t="str">
        <f t="shared" si="0"/>
        <v>Outstanding</v>
      </c>
      <c r="M20" s="11" t="s">
        <v>19</v>
      </c>
    </row>
    <row r="21" spans="1:13" ht="60" customHeight="1" x14ac:dyDescent="0.35">
      <c r="A21" s="9" t="s">
        <v>102</v>
      </c>
      <c r="B21" s="1" t="s">
        <v>103</v>
      </c>
      <c r="C21" s="2" t="s">
        <v>15</v>
      </c>
      <c r="D21" s="3" t="s">
        <v>16</v>
      </c>
      <c r="E21" s="3" t="s">
        <v>17</v>
      </c>
      <c r="F21" s="3" t="s">
        <v>18</v>
      </c>
      <c r="G21" s="3" t="s">
        <v>19</v>
      </c>
      <c r="H21" s="4" t="s">
        <v>19</v>
      </c>
      <c r="I21" s="1" t="s">
        <v>104</v>
      </c>
      <c r="J21" s="1" t="s">
        <v>60</v>
      </c>
      <c r="K21" s="1" t="s">
        <v>105</v>
      </c>
      <c r="L21" s="3" t="str">
        <f t="shared" si="0"/>
        <v>Outstanding</v>
      </c>
      <c r="M21" s="11" t="s">
        <v>19</v>
      </c>
    </row>
    <row r="22" spans="1:13" ht="60" customHeight="1" x14ac:dyDescent="0.35">
      <c r="A22" s="9" t="s">
        <v>106</v>
      </c>
      <c r="B22" s="1" t="s">
        <v>107</v>
      </c>
      <c r="C22" s="2" t="s">
        <v>15</v>
      </c>
      <c r="D22" s="3" t="s">
        <v>16</v>
      </c>
      <c r="E22" s="3" t="s">
        <v>17</v>
      </c>
      <c r="F22" s="3" t="s">
        <v>18</v>
      </c>
      <c r="G22" s="3" t="s">
        <v>19</v>
      </c>
      <c r="H22" s="4" t="s">
        <v>19</v>
      </c>
      <c r="I22" s="1" t="s">
        <v>108</v>
      </c>
      <c r="J22" s="1" t="s">
        <v>60</v>
      </c>
      <c r="K22" s="1" t="s">
        <v>109</v>
      </c>
      <c r="L22" s="3" t="str">
        <f t="shared" si="0"/>
        <v>Outstanding</v>
      </c>
      <c r="M22" s="11" t="s">
        <v>19</v>
      </c>
    </row>
    <row r="23" spans="1:13" ht="60" customHeight="1" x14ac:dyDescent="0.35">
      <c r="A23" s="9" t="s">
        <v>110</v>
      </c>
      <c r="B23" s="1" t="s">
        <v>111</v>
      </c>
      <c r="C23" s="2" t="s">
        <v>15</v>
      </c>
      <c r="D23" s="3" t="s">
        <v>16</v>
      </c>
      <c r="E23" s="3" t="s">
        <v>17</v>
      </c>
      <c r="F23" s="3" t="s">
        <v>18</v>
      </c>
      <c r="G23" s="3" t="s">
        <v>19</v>
      </c>
      <c r="H23" s="4" t="s">
        <v>19</v>
      </c>
      <c r="I23" s="1" t="s">
        <v>112</v>
      </c>
      <c r="J23" s="1" t="s">
        <v>60</v>
      </c>
      <c r="K23" s="1" t="s">
        <v>113</v>
      </c>
      <c r="L23" s="3" t="str">
        <f t="shared" si="0"/>
        <v>Outstanding</v>
      </c>
      <c r="M23" s="11" t="s">
        <v>19</v>
      </c>
    </row>
    <row r="24" spans="1:13" ht="60" customHeight="1" x14ac:dyDescent="0.35">
      <c r="A24" s="9" t="s">
        <v>114</v>
      </c>
      <c r="B24" s="1" t="s">
        <v>115</v>
      </c>
      <c r="C24" s="2" t="s">
        <v>15</v>
      </c>
      <c r="D24" s="3" t="s">
        <v>16</v>
      </c>
      <c r="E24" s="3" t="s">
        <v>17</v>
      </c>
      <c r="F24" s="3" t="s">
        <v>18</v>
      </c>
      <c r="G24" s="3" t="s">
        <v>19</v>
      </c>
      <c r="H24" s="4" t="s">
        <v>19</v>
      </c>
      <c r="I24" s="1" t="s">
        <v>116</v>
      </c>
      <c r="J24" s="1" t="s">
        <v>60</v>
      </c>
      <c r="K24" s="1" t="s">
        <v>117</v>
      </c>
      <c r="L24" s="3" t="str">
        <f t="shared" si="0"/>
        <v>Outstanding</v>
      </c>
      <c r="M24" s="11" t="s">
        <v>19</v>
      </c>
    </row>
    <row r="25" spans="1:13" ht="60" customHeight="1" x14ac:dyDescent="0.35">
      <c r="A25" s="9" t="s">
        <v>118</v>
      </c>
      <c r="B25" s="1" t="s">
        <v>119</v>
      </c>
      <c r="C25" s="2" t="s">
        <v>15</v>
      </c>
      <c r="D25" s="3" t="s">
        <v>16</v>
      </c>
      <c r="E25" s="3" t="s">
        <v>17</v>
      </c>
      <c r="F25" s="3" t="s">
        <v>18</v>
      </c>
      <c r="G25" s="3" t="s">
        <v>19</v>
      </c>
      <c r="H25" s="4" t="s">
        <v>19</v>
      </c>
      <c r="I25" s="1" t="s">
        <v>120</v>
      </c>
      <c r="J25" s="1" t="s">
        <v>60</v>
      </c>
      <c r="K25" s="1" t="s">
        <v>121</v>
      </c>
      <c r="L25" s="3" t="str">
        <f t="shared" si="0"/>
        <v>Outstanding</v>
      </c>
      <c r="M25" s="11" t="s">
        <v>19</v>
      </c>
    </row>
    <row r="26" spans="1:13" ht="60" customHeight="1" x14ac:dyDescent="0.35">
      <c r="A26" s="9" t="s">
        <v>122</v>
      </c>
      <c r="B26" s="1" t="s">
        <v>123</v>
      </c>
      <c r="C26" s="2" t="s">
        <v>15</v>
      </c>
      <c r="D26" s="3" t="s">
        <v>16</v>
      </c>
      <c r="E26" s="3" t="s">
        <v>17</v>
      </c>
      <c r="F26" s="3" t="s">
        <v>18</v>
      </c>
      <c r="G26" s="3" t="s">
        <v>19</v>
      </c>
      <c r="H26" s="4" t="s">
        <v>19</v>
      </c>
      <c r="I26" s="1" t="s">
        <v>124</v>
      </c>
      <c r="J26" s="1" t="s">
        <v>60</v>
      </c>
      <c r="K26" s="1" t="s">
        <v>125</v>
      </c>
      <c r="L26" s="3" t="str">
        <f t="shared" si="0"/>
        <v>Outstanding</v>
      </c>
      <c r="M26" s="11" t="s">
        <v>19</v>
      </c>
    </row>
    <row r="27" spans="1:13" ht="60" customHeight="1" x14ac:dyDescent="0.35">
      <c r="A27" s="9" t="s">
        <v>126</v>
      </c>
      <c r="B27" s="1" t="s">
        <v>127</v>
      </c>
      <c r="C27" s="2" t="s">
        <v>15</v>
      </c>
      <c r="D27" s="3" t="s">
        <v>16</v>
      </c>
      <c r="E27" s="3" t="s">
        <v>17</v>
      </c>
      <c r="F27" s="3" t="s">
        <v>18</v>
      </c>
      <c r="G27" s="3" t="s">
        <v>19</v>
      </c>
      <c r="H27" s="4" t="s">
        <v>19</v>
      </c>
      <c r="I27" s="1" t="s">
        <v>128</v>
      </c>
      <c r="J27" s="1" t="s">
        <v>60</v>
      </c>
      <c r="K27" s="1" t="s">
        <v>129</v>
      </c>
      <c r="L27" s="3" t="str">
        <f t="shared" si="0"/>
        <v>Outstanding</v>
      </c>
      <c r="M27" s="11" t="s">
        <v>19</v>
      </c>
    </row>
    <row r="28" spans="1:13" ht="60" customHeight="1" x14ac:dyDescent="0.35">
      <c r="A28" s="9" t="s">
        <v>130</v>
      </c>
      <c r="B28" s="1" t="s">
        <v>131</v>
      </c>
      <c r="C28" s="2" t="s">
        <v>15</v>
      </c>
      <c r="D28" s="3" t="s">
        <v>16</v>
      </c>
      <c r="E28" s="3" t="s">
        <v>17</v>
      </c>
      <c r="F28" s="3" t="s">
        <v>18</v>
      </c>
      <c r="G28" s="3" t="s">
        <v>19</v>
      </c>
      <c r="H28" s="4" t="s">
        <v>19</v>
      </c>
      <c r="I28" s="1" t="s">
        <v>132</v>
      </c>
      <c r="J28" s="1" t="s">
        <v>133</v>
      </c>
      <c r="K28" s="1" t="s">
        <v>134</v>
      </c>
      <c r="L28" s="3" t="str">
        <f t="shared" si="0"/>
        <v>Outstanding</v>
      </c>
      <c r="M28" s="11" t="s">
        <v>19</v>
      </c>
    </row>
    <row r="29" spans="1:13" ht="60" customHeight="1" x14ac:dyDescent="0.35">
      <c r="A29" s="9" t="s">
        <v>135</v>
      </c>
      <c r="B29" s="1" t="s">
        <v>136</v>
      </c>
      <c r="C29" s="2" t="s">
        <v>53</v>
      </c>
      <c r="D29" s="3" t="s">
        <v>16</v>
      </c>
      <c r="E29" s="3" t="s">
        <v>17</v>
      </c>
      <c r="F29" s="3" t="s">
        <v>18</v>
      </c>
      <c r="G29" s="3" t="s">
        <v>19</v>
      </c>
      <c r="H29" s="4" t="s">
        <v>19</v>
      </c>
      <c r="I29" s="1" t="s">
        <v>137</v>
      </c>
      <c r="J29" s="1" t="s">
        <v>138</v>
      </c>
      <c r="K29" s="1" t="s">
        <v>139</v>
      </c>
      <c r="L29" s="3" t="str">
        <f t="shared" si="0"/>
        <v>Outstanding</v>
      </c>
      <c r="M29" s="11" t="s">
        <v>19</v>
      </c>
    </row>
    <row r="30" spans="1:13" ht="60" customHeight="1" x14ac:dyDescent="0.35">
      <c r="A30" s="9" t="s">
        <v>140</v>
      </c>
      <c r="B30" s="1" t="s">
        <v>141</v>
      </c>
      <c r="C30" s="2" t="s">
        <v>15</v>
      </c>
      <c r="D30" s="3" t="s">
        <v>16</v>
      </c>
      <c r="E30" s="3" t="s">
        <v>17</v>
      </c>
      <c r="F30" s="3" t="s">
        <v>18</v>
      </c>
      <c r="G30" s="3" t="s">
        <v>19</v>
      </c>
      <c r="H30" s="4" t="s">
        <v>19</v>
      </c>
      <c r="I30" s="1" t="s">
        <v>142</v>
      </c>
      <c r="J30" s="1" t="s">
        <v>138</v>
      </c>
      <c r="K30" s="1" t="s">
        <v>143</v>
      </c>
      <c r="L30" s="3" t="str">
        <f t="shared" si="0"/>
        <v>Outstanding</v>
      </c>
      <c r="M30" s="11" t="s">
        <v>19</v>
      </c>
    </row>
    <row r="31" spans="1:13" ht="60" customHeight="1" x14ac:dyDescent="0.35">
      <c r="A31" s="9" t="s">
        <v>144</v>
      </c>
      <c r="B31" s="1" t="s">
        <v>145</v>
      </c>
      <c r="C31" s="2" t="s">
        <v>53</v>
      </c>
      <c r="D31" s="3" t="s">
        <v>16</v>
      </c>
      <c r="E31" s="3" t="s">
        <v>17</v>
      </c>
      <c r="F31" s="3" t="s">
        <v>18</v>
      </c>
      <c r="G31" s="3" t="s">
        <v>19</v>
      </c>
      <c r="H31" s="4" t="s">
        <v>19</v>
      </c>
      <c r="I31" s="1" t="s">
        <v>146</v>
      </c>
      <c r="J31" s="1" t="s">
        <v>138</v>
      </c>
      <c r="K31" s="1" t="s">
        <v>147</v>
      </c>
      <c r="L31" s="3" t="str">
        <f t="shared" si="0"/>
        <v>Outstanding</v>
      </c>
      <c r="M31" s="11" t="s">
        <v>19</v>
      </c>
    </row>
    <row r="32" spans="1:13" ht="60" customHeight="1" x14ac:dyDescent="0.35">
      <c r="A32" s="9" t="s">
        <v>148</v>
      </c>
      <c r="B32" s="1" t="s">
        <v>149</v>
      </c>
      <c r="C32" s="2" t="s">
        <v>53</v>
      </c>
      <c r="D32" s="3" t="s">
        <v>16</v>
      </c>
      <c r="E32" s="3" t="s">
        <v>17</v>
      </c>
      <c r="F32" s="3" t="s">
        <v>18</v>
      </c>
      <c r="G32" s="3" t="s">
        <v>19</v>
      </c>
      <c r="H32" s="4" t="s">
        <v>19</v>
      </c>
      <c r="I32" s="1" t="s">
        <v>150</v>
      </c>
      <c r="J32" s="1" t="s">
        <v>138</v>
      </c>
      <c r="K32" s="1" t="s">
        <v>151</v>
      </c>
      <c r="L32" s="3" t="str">
        <f t="shared" si="0"/>
        <v>Outstanding</v>
      </c>
      <c r="M32" s="11" t="s">
        <v>19</v>
      </c>
    </row>
    <row r="33" spans="1:13" ht="60" customHeight="1" x14ac:dyDescent="0.35">
      <c r="A33" s="9" t="s">
        <v>152</v>
      </c>
      <c r="B33" s="1" t="s">
        <v>153</v>
      </c>
      <c r="C33" s="2" t="s">
        <v>53</v>
      </c>
      <c r="D33" s="3" t="s">
        <v>16</v>
      </c>
      <c r="E33" s="3" t="s">
        <v>17</v>
      </c>
      <c r="F33" s="3" t="s">
        <v>18</v>
      </c>
      <c r="G33" s="3" t="s">
        <v>19</v>
      </c>
      <c r="H33" s="4" t="s">
        <v>19</v>
      </c>
      <c r="I33" s="1" t="s">
        <v>154</v>
      </c>
      <c r="J33" s="1" t="s">
        <v>138</v>
      </c>
      <c r="K33" s="1" t="s">
        <v>155</v>
      </c>
      <c r="L33" s="3" t="str">
        <f t="shared" si="0"/>
        <v>Outstanding</v>
      </c>
      <c r="M33" s="11" t="s">
        <v>19</v>
      </c>
    </row>
    <row r="34" spans="1:13" ht="60" customHeight="1" x14ac:dyDescent="0.35">
      <c r="A34" s="9" t="s">
        <v>156</v>
      </c>
      <c r="B34" s="1" t="s">
        <v>157</v>
      </c>
      <c r="C34" s="2" t="s">
        <v>53</v>
      </c>
      <c r="D34" s="3" t="s">
        <v>16</v>
      </c>
      <c r="E34" s="3" t="s">
        <v>17</v>
      </c>
      <c r="F34" s="3" t="s">
        <v>18</v>
      </c>
      <c r="G34" s="3" t="s">
        <v>19</v>
      </c>
      <c r="H34" s="4" t="s">
        <v>19</v>
      </c>
      <c r="I34" s="1" t="s">
        <v>158</v>
      </c>
      <c r="J34" s="1" t="s">
        <v>159</v>
      </c>
      <c r="K34" s="1" t="s">
        <v>160</v>
      </c>
      <c r="L34" s="3" t="str">
        <f t="shared" si="0"/>
        <v>Outstanding</v>
      </c>
      <c r="M34" s="11" t="s">
        <v>19</v>
      </c>
    </row>
    <row r="35" spans="1:13" ht="60" customHeight="1" x14ac:dyDescent="0.35">
      <c r="A35" s="9" t="s">
        <v>161</v>
      </c>
      <c r="B35" s="1" t="s">
        <v>162</v>
      </c>
      <c r="C35" s="2" t="s">
        <v>53</v>
      </c>
      <c r="D35" s="3" t="s">
        <v>16</v>
      </c>
      <c r="E35" s="3" t="s">
        <v>17</v>
      </c>
      <c r="F35" s="3" t="s">
        <v>18</v>
      </c>
      <c r="G35" s="3" t="s">
        <v>19</v>
      </c>
      <c r="H35" s="4" t="s">
        <v>19</v>
      </c>
      <c r="I35" s="1" t="s">
        <v>163</v>
      </c>
      <c r="J35" s="1" t="s">
        <v>164</v>
      </c>
      <c r="K35" s="1" t="s">
        <v>165</v>
      </c>
      <c r="L35" s="3" t="str">
        <f t="shared" si="0"/>
        <v>Outstanding</v>
      </c>
      <c r="M35" s="11" t="s">
        <v>19</v>
      </c>
    </row>
    <row r="36" spans="1:13" ht="60" customHeight="1" x14ac:dyDescent="0.35">
      <c r="A36" s="9" t="s">
        <v>166</v>
      </c>
      <c r="B36" s="1" t="s">
        <v>167</v>
      </c>
      <c r="C36" s="2" t="s">
        <v>15</v>
      </c>
      <c r="D36" s="3" t="s">
        <v>16</v>
      </c>
      <c r="E36" s="3" t="s">
        <v>17</v>
      </c>
      <c r="F36" s="3" t="s">
        <v>18</v>
      </c>
      <c r="G36" s="3" t="s">
        <v>19</v>
      </c>
      <c r="H36" s="4" t="s">
        <v>19</v>
      </c>
      <c r="I36" s="1" t="s">
        <v>168</v>
      </c>
      <c r="J36" s="1" t="s">
        <v>169</v>
      </c>
      <c r="K36" s="1" t="s">
        <v>170</v>
      </c>
      <c r="L36" s="3" t="str">
        <f t="shared" si="0"/>
        <v>Outstanding</v>
      </c>
      <c r="M36" s="11" t="s">
        <v>19</v>
      </c>
    </row>
    <row r="37" spans="1:13" ht="60" customHeight="1" x14ac:dyDescent="0.35">
      <c r="A37" s="9" t="s">
        <v>171</v>
      </c>
      <c r="B37" s="1" t="s">
        <v>172</v>
      </c>
      <c r="C37" s="2" t="s">
        <v>15</v>
      </c>
      <c r="D37" s="3" t="s">
        <v>16</v>
      </c>
      <c r="E37" s="3" t="s">
        <v>17</v>
      </c>
      <c r="F37" s="3" t="s">
        <v>18</v>
      </c>
      <c r="G37" s="3" t="s">
        <v>19</v>
      </c>
      <c r="H37" s="4" t="s">
        <v>19</v>
      </c>
      <c r="I37" s="1" t="s">
        <v>173</v>
      </c>
      <c r="J37" s="1" t="s">
        <v>174</v>
      </c>
      <c r="K37" s="1" t="s">
        <v>175</v>
      </c>
      <c r="L37" s="3" t="str">
        <f t="shared" si="0"/>
        <v>Outstanding</v>
      </c>
      <c r="M37" s="11" t="s">
        <v>19</v>
      </c>
    </row>
    <row r="38" spans="1:13" ht="60" customHeight="1" x14ac:dyDescent="0.35">
      <c r="A38" s="9" t="s">
        <v>176</v>
      </c>
      <c r="B38" s="1" t="s">
        <v>177</v>
      </c>
      <c r="C38" s="2" t="s">
        <v>53</v>
      </c>
      <c r="D38" s="3" t="s">
        <v>16</v>
      </c>
      <c r="E38" s="3" t="s">
        <v>17</v>
      </c>
      <c r="F38" s="3" t="s">
        <v>18</v>
      </c>
      <c r="G38" s="3" t="s">
        <v>19</v>
      </c>
      <c r="H38" s="4" t="s">
        <v>19</v>
      </c>
      <c r="I38" s="1" t="s">
        <v>178</v>
      </c>
      <c r="J38" s="1" t="s">
        <v>179</v>
      </c>
      <c r="K38" s="1" t="s">
        <v>180</v>
      </c>
      <c r="L38" s="3" t="str">
        <f t="shared" si="0"/>
        <v>Outstanding</v>
      </c>
      <c r="M38" s="11" t="s">
        <v>19</v>
      </c>
    </row>
    <row r="39" spans="1:13" ht="60" customHeight="1" x14ac:dyDescent="0.35">
      <c r="A39" s="9" t="s">
        <v>181</v>
      </c>
      <c r="B39" s="1" t="s">
        <v>177</v>
      </c>
      <c r="C39" s="2" t="s">
        <v>53</v>
      </c>
      <c r="D39" s="3" t="s">
        <v>16</v>
      </c>
      <c r="E39" s="3" t="s">
        <v>17</v>
      </c>
      <c r="F39" s="3" t="s">
        <v>18</v>
      </c>
      <c r="G39" s="3" t="s">
        <v>19</v>
      </c>
      <c r="H39" s="4" t="s">
        <v>19</v>
      </c>
      <c r="I39" s="1" t="s">
        <v>182</v>
      </c>
      <c r="J39" s="1" t="s">
        <v>179</v>
      </c>
      <c r="K39" s="1" t="s">
        <v>183</v>
      </c>
      <c r="L39" s="3" t="str">
        <f t="shared" si="0"/>
        <v>Outstanding</v>
      </c>
      <c r="M39" s="11" t="s">
        <v>19</v>
      </c>
    </row>
    <row r="40" spans="1:13" ht="60" customHeight="1" x14ac:dyDescent="0.35">
      <c r="A40" s="9" t="s">
        <v>184</v>
      </c>
      <c r="B40" s="1" t="s">
        <v>185</v>
      </c>
      <c r="C40" s="2" t="s">
        <v>53</v>
      </c>
      <c r="D40" s="3" t="s">
        <v>16</v>
      </c>
      <c r="E40" s="3" t="s">
        <v>17</v>
      </c>
      <c r="F40" s="3" t="s">
        <v>18</v>
      </c>
      <c r="G40" s="3" t="s">
        <v>19</v>
      </c>
      <c r="H40" s="4" t="s">
        <v>19</v>
      </c>
      <c r="I40" s="1" t="s">
        <v>186</v>
      </c>
      <c r="J40" s="1" t="s">
        <v>187</v>
      </c>
      <c r="K40" s="1" t="s">
        <v>188</v>
      </c>
      <c r="L40" s="3" t="str">
        <f t="shared" si="0"/>
        <v>Outstanding</v>
      </c>
      <c r="M40" s="11" t="s">
        <v>19</v>
      </c>
    </row>
    <row r="41" spans="1:13" ht="60" customHeight="1" x14ac:dyDescent="0.35">
      <c r="A41" s="9" t="s">
        <v>189</v>
      </c>
      <c r="B41" s="1" t="s">
        <v>190</v>
      </c>
      <c r="C41" s="2" t="s">
        <v>15</v>
      </c>
      <c r="D41" s="3" t="s">
        <v>16</v>
      </c>
      <c r="E41" s="3" t="s">
        <v>17</v>
      </c>
      <c r="F41" s="3" t="s">
        <v>18</v>
      </c>
      <c r="G41" s="3" t="s">
        <v>19</v>
      </c>
      <c r="H41" s="4" t="s">
        <v>19</v>
      </c>
      <c r="I41" s="1" t="s">
        <v>191</v>
      </c>
      <c r="J41" s="1" t="s">
        <v>192</v>
      </c>
      <c r="K41" s="1" t="s">
        <v>193</v>
      </c>
      <c r="L41" s="3" t="str">
        <f t="shared" si="0"/>
        <v>Outstanding</v>
      </c>
      <c r="M41" s="11" t="s">
        <v>19</v>
      </c>
    </row>
    <row r="42" spans="1:13" ht="60" customHeight="1" x14ac:dyDescent="0.35">
      <c r="A42" s="9" t="s">
        <v>194</v>
      </c>
      <c r="B42" s="1" t="s">
        <v>195</v>
      </c>
      <c r="C42" s="2" t="s">
        <v>15</v>
      </c>
      <c r="D42" s="3" t="s">
        <v>16</v>
      </c>
      <c r="E42" s="3" t="s">
        <v>17</v>
      </c>
      <c r="F42" s="3" t="s">
        <v>18</v>
      </c>
      <c r="G42" s="3" t="s">
        <v>19</v>
      </c>
      <c r="H42" s="4" t="s">
        <v>19</v>
      </c>
      <c r="I42" s="1" t="s">
        <v>196</v>
      </c>
      <c r="J42" s="1" t="s">
        <v>197</v>
      </c>
      <c r="K42" s="1" t="s">
        <v>198</v>
      </c>
      <c r="L42" s="3" t="str">
        <f t="shared" si="0"/>
        <v>Outstanding</v>
      </c>
      <c r="M42" s="11" t="s">
        <v>19</v>
      </c>
    </row>
    <row r="43" spans="1:13" ht="60" customHeight="1" x14ac:dyDescent="0.35">
      <c r="A43" s="9" t="s">
        <v>199</v>
      </c>
      <c r="B43" s="1" t="s">
        <v>200</v>
      </c>
      <c r="C43" s="2" t="s">
        <v>15</v>
      </c>
      <c r="D43" s="3" t="s">
        <v>16</v>
      </c>
      <c r="E43" s="3" t="s">
        <v>17</v>
      </c>
      <c r="F43" s="3" t="s">
        <v>18</v>
      </c>
      <c r="G43" s="3" t="s">
        <v>19</v>
      </c>
      <c r="H43" s="4" t="s">
        <v>19</v>
      </c>
      <c r="I43" s="1" t="s">
        <v>201</v>
      </c>
      <c r="J43" s="1" t="s">
        <v>202</v>
      </c>
      <c r="K43" s="1" t="s">
        <v>203</v>
      </c>
      <c r="L43" s="3" t="str">
        <f t="shared" si="0"/>
        <v>Outstanding</v>
      </c>
      <c r="M43" s="11" t="s">
        <v>19</v>
      </c>
    </row>
    <row r="44" spans="1:13" ht="60" customHeight="1" x14ac:dyDescent="0.35">
      <c r="A44" s="10" t="s">
        <v>204</v>
      </c>
      <c r="B44" s="5" t="s">
        <v>205</v>
      </c>
      <c r="C44" s="6" t="s">
        <v>53</v>
      </c>
      <c r="D44" s="7" t="s">
        <v>16</v>
      </c>
      <c r="E44" s="7" t="s">
        <v>17</v>
      </c>
      <c r="F44" s="7" t="s">
        <v>18</v>
      </c>
      <c r="G44" s="7" t="s">
        <v>19</v>
      </c>
      <c r="H44" s="8" t="s">
        <v>19</v>
      </c>
      <c r="I44" s="5" t="s">
        <v>206</v>
      </c>
      <c r="J44" s="5" t="s">
        <v>207</v>
      </c>
      <c r="K44" s="5" t="s">
        <v>208</v>
      </c>
      <c r="L44" s="7" t="str">
        <f t="shared" si="0"/>
        <v>Outstanding</v>
      </c>
      <c r="M44" s="12" t="s">
        <v>19</v>
      </c>
    </row>
    <row r="48" spans="1:13" ht="32" customHeight="1" x14ac:dyDescent="0.35">
      <c r="A48" s="255" t="s">
        <v>209</v>
      </c>
      <c r="B48" s="255"/>
      <c r="C48" s="255"/>
      <c r="D48" s="255"/>
    </row>
  </sheetData>
  <mergeCells count="1">
    <mergeCell ref="A48:D48"/>
  </mergeCells>
  <conditionalFormatting sqref="C2:C44">
    <cfRule type="expression" dxfId="67" priority="14">
      <formula>LEFT($C2,7)="CAT III"</formula>
    </cfRule>
    <cfRule type="expression" dxfId="66" priority="15">
      <formula>LEFT($C2,6)="CAT II"</formula>
    </cfRule>
    <cfRule type="expression" dxfId="65" priority="16">
      <formula>LEFT($C2,5)="CAT I"</formula>
    </cfRule>
  </conditionalFormatting>
  <conditionalFormatting sqref="D2:D44">
    <cfRule type="cellIs" dxfId="64" priority="1" operator="equal">
      <formula>"Must"</formula>
    </cfRule>
    <cfRule type="cellIs" dxfId="63" priority="2" operator="equal">
      <formula>"Should"</formula>
    </cfRule>
    <cfRule type="cellIs" dxfId="62" priority="3" operator="equal">
      <formula>"Could"</formula>
    </cfRule>
    <cfRule type="cellIs" dxfId="61" priority="4" operator="equal">
      <formula>"Won't"</formula>
    </cfRule>
  </conditionalFormatting>
  <conditionalFormatting sqref="E2:E44">
    <cfRule type="cellIs" dxfId="60" priority="5" operator="equal">
      <formula>"Low"</formula>
    </cfRule>
    <cfRule type="cellIs" dxfId="59" priority="6" operator="equal">
      <formula>"Medium"</formula>
    </cfRule>
    <cfRule type="cellIs" dxfId="58" priority="7" operator="equal">
      <formula>"High"</formula>
    </cfRule>
  </conditionalFormatting>
  <conditionalFormatting sqref="G2:G44">
    <cfRule type="cellIs" dxfId="57" priority="8" operator="equal">
      <formula>"Implemented"</formula>
    </cfRule>
    <cfRule type="cellIs" dxfId="56" priority="9" operator="equal">
      <formula>"Compensated"</formula>
    </cfRule>
    <cfRule type="cellIs" dxfId="55" priority="10" operator="equal">
      <formula>"Testing"</formula>
    </cfRule>
    <cfRule type="cellIs" dxfId="54" priority="11" operator="equal">
      <formula>"Failed"</formula>
    </cfRule>
    <cfRule type="cellIs" dxfId="53" priority="12" operator="equal">
      <formula>"Risk Accepted"</formula>
    </cfRule>
    <cfRule type="cellIs" dxfId="52" priority="13" operator="equal">
      <formula>"N/A"</formula>
    </cfRule>
  </conditionalFormatting>
  <dataValidations count="4">
    <dataValidation type="list" showErrorMessage="1" errorTitle="Invalid Value" error="Please select a value from the list: Must, Should, Could, Won't, Unassigned." sqref="D2:D44" xr:uid="{00000000-0002-0000-0200-000000000000}">
      <formula1>"Must,Should,Could,Won't,Unassigned"</formula1>
    </dataValidation>
    <dataValidation type="list" showErrorMessage="1" errorTitle="Invalid Value" error="Please select a value from the list: Low, Medium, High, Unassessed." sqref="E2:E44" xr:uid="{00000000-0002-0000-0200-000001000000}">
      <formula1>"Low,Medium,High,Unassessed"</formula1>
    </dataValidation>
    <dataValidation type="list" showErrorMessage="1" errorTitle="Invalid Value" error="Please select a value from the list: Phase1, Phase2, Phase3, Phase4, Phase5, Pending." sqref="F2:F44"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44" xr:uid="{00000000-0002-0000-0200-000003000000}">
      <formula1>"Implemented,Testing,Failed,Compensated,Risk Accepted,N/A"</formula1>
    </dataValidation>
  </dataValidations>
  <hyperlinks>
    <hyperlink ref="A48"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272" t="s">
        <v>355</v>
      </c>
      <c r="C2" s="272" t="s">
        <v>355</v>
      </c>
      <c r="D2" s="272" t="s">
        <v>355</v>
      </c>
      <c r="E2" s="272" t="s">
        <v>355</v>
      </c>
      <c r="F2" s="272" t="s">
        <v>355</v>
      </c>
      <c r="G2" s="272" t="s">
        <v>355</v>
      </c>
      <c r="H2" s="276" t="s">
        <v>356</v>
      </c>
      <c r="I2" s="276" t="s">
        <v>356</v>
      </c>
      <c r="J2" s="276" t="s">
        <v>356</v>
      </c>
      <c r="K2" s="276" t="s">
        <v>356</v>
      </c>
      <c r="L2" s="276" t="s">
        <v>356</v>
      </c>
      <c r="M2" s="275" t="s">
        <v>357</v>
      </c>
      <c r="N2" s="275" t="s">
        <v>357</v>
      </c>
      <c r="O2" s="277" t="s">
        <v>358</v>
      </c>
      <c r="P2" s="277" t="s">
        <v>358</v>
      </c>
      <c r="Q2" s="273" t="s">
        <v>11</v>
      </c>
      <c r="R2" s="273" t="s">
        <v>11</v>
      </c>
      <c r="S2" s="273" t="s">
        <v>11</v>
      </c>
      <c r="T2" s="274" t="s">
        <v>359</v>
      </c>
    </row>
    <row r="3" spans="2:20" ht="35" customHeight="1" x14ac:dyDescent="0.35">
      <c r="B3" s="70" t="s">
        <v>360</v>
      </c>
      <c r="C3" s="70" t="s">
        <v>361</v>
      </c>
      <c r="D3" s="70" t="s">
        <v>362</v>
      </c>
      <c r="E3" s="70" t="s">
        <v>363</v>
      </c>
      <c r="F3" s="70" t="s">
        <v>364</v>
      </c>
      <c r="G3" s="70" t="s">
        <v>9</v>
      </c>
      <c r="H3" s="71" t="s">
        <v>365</v>
      </c>
      <c r="I3" s="71" t="s">
        <v>366</v>
      </c>
      <c r="J3" s="71" t="s">
        <v>367</v>
      </c>
      <c r="K3" s="71" t="s">
        <v>368</v>
      </c>
      <c r="L3" s="71" t="s">
        <v>300</v>
      </c>
      <c r="M3" s="72" t="s">
        <v>369</v>
      </c>
      <c r="N3" s="72" t="s">
        <v>370</v>
      </c>
      <c r="O3" s="73" t="s">
        <v>371</v>
      </c>
      <c r="P3" s="73" t="s">
        <v>372</v>
      </c>
      <c r="Q3" s="74" t="s">
        <v>11</v>
      </c>
      <c r="R3" s="74" t="s">
        <v>373</v>
      </c>
      <c r="S3" s="74" t="s">
        <v>374</v>
      </c>
      <c r="T3" s="75" t="s">
        <v>375</v>
      </c>
    </row>
    <row r="4" spans="2:20" ht="60" customHeight="1" x14ac:dyDescent="0.35">
      <c r="B4" s="76" t="s">
        <v>376</v>
      </c>
      <c r="C4" s="76" t="s">
        <v>377</v>
      </c>
      <c r="D4" s="76" t="s">
        <v>378</v>
      </c>
      <c r="E4" s="76" t="s">
        <v>379</v>
      </c>
      <c r="F4" s="76" t="s">
        <v>380</v>
      </c>
      <c r="G4" s="76" t="s">
        <v>381</v>
      </c>
      <c r="H4" s="76" t="s">
        <v>382</v>
      </c>
      <c r="I4" s="76" t="s">
        <v>383</v>
      </c>
      <c r="J4" s="76" t="s">
        <v>384</v>
      </c>
      <c r="K4" s="76" t="s">
        <v>385</v>
      </c>
      <c r="L4" s="76" t="s">
        <v>386</v>
      </c>
      <c r="M4" s="76" t="s">
        <v>387</v>
      </c>
      <c r="N4" s="76" t="s">
        <v>388</v>
      </c>
      <c r="O4" s="76" t="s">
        <v>389</v>
      </c>
      <c r="P4" s="76" t="s">
        <v>390</v>
      </c>
      <c r="Q4" s="76" t="s">
        <v>391</v>
      </c>
      <c r="R4" s="76" t="s">
        <v>392</v>
      </c>
      <c r="S4" s="76" t="s">
        <v>393</v>
      </c>
      <c r="T4" s="76" t="s">
        <v>394</v>
      </c>
    </row>
    <row r="5" spans="2:20" ht="60" customHeight="1" x14ac:dyDescent="0.35">
      <c r="B5" s="38" t="s">
        <v>395</v>
      </c>
      <c r="C5" s="77"/>
      <c r="D5" s="78"/>
      <c r="E5" s="78" t="s">
        <v>19</v>
      </c>
      <c r="F5" s="78" t="str">
        <f>IF(E5&lt;&gt;"", IFERROR(VLOOKUP(E5, Dashboard!$B29:$F34, 5, FALSE), ""), "")</f>
        <v/>
      </c>
      <c r="G5" s="79"/>
      <c r="H5" s="66"/>
      <c r="I5" s="66"/>
      <c r="J5" s="79"/>
      <c r="K5" s="79"/>
      <c r="L5" s="40"/>
      <c r="M5" s="40"/>
      <c r="N5" s="79"/>
      <c r="O5" s="79"/>
      <c r="P5" s="40"/>
      <c r="Q5" s="40" t="s">
        <v>19</v>
      </c>
      <c r="R5" s="79"/>
      <c r="S5" s="66"/>
      <c r="T5" s="79"/>
    </row>
    <row r="6" spans="2:20" ht="60" customHeight="1" x14ac:dyDescent="0.35">
      <c r="B6" s="38" t="s">
        <v>396</v>
      </c>
      <c r="C6" s="77"/>
      <c r="D6" s="78"/>
      <c r="E6" s="78" t="s">
        <v>19</v>
      </c>
      <c r="F6" s="78" t="str">
        <f>IF(E6&lt;&gt;"", IFERROR(VLOOKUP(E6, Dashboard!$B29:$F34, 5, FALSE), ""), "")</f>
        <v/>
      </c>
      <c r="G6" s="79"/>
      <c r="H6" s="66"/>
      <c r="I6" s="66"/>
      <c r="J6" s="79"/>
      <c r="K6" s="79"/>
      <c r="L6" s="40"/>
      <c r="M6" s="40"/>
      <c r="N6" s="79"/>
      <c r="O6" s="79"/>
      <c r="P6" s="40"/>
      <c r="Q6" s="40" t="s">
        <v>19</v>
      </c>
      <c r="R6" s="79"/>
      <c r="S6" s="66"/>
      <c r="T6" s="79"/>
    </row>
    <row r="7" spans="2:20" ht="60" customHeight="1" x14ac:dyDescent="0.35">
      <c r="B7" s="38" t="s">
        <v>397</v>
      </c>
      <c r="C7" s="77"/>
      <c r="D7" s="78"/>
      <c r="E7" s="78" t="s">
        <v>19</v>
      </c>
      <c r="F7" s="78" t="str">
        <f>IF(E7&lt;&gt;"", IFERROR(VLOOKUP(E7, Dashboard!$B29:$F34, 5, FALSE), ""), "")</f>
        <v/>
      </c>
      <c r="G7" s="79"/>
      <c r="H7" s="66"/>
      <c r="I7" s="66"/>
      <c r="J7" s="79"/>
      <c r="K7" s="79"/>
      <c r="L7" s="40"/>
      <c r="M7" s="40"/>
      <c r="N7" s="79"/>
      <c r="O7" s="79"/>
      <c r="P7" s="40"/>
      <c r="Q7" s="40" t="s">
        <v>19</v>
      </c>
      <c r="R7" s="79"/>
      <c r="S7" s="66"/>
      <c r="T7" s="79"/>
    </row>
    <row r="8" spans="2:20" ht="60" customHeight="1" x14ac:dyDescent="0.35">
      <c r="B8" s="38" t="s">
        <v>398</v>
      </c>
      <c r="C8" s="77"/>
      <c r="D8" s="78"/>
      <c r="E8" s="78" t="s">
        <v>19</v>
      </c>
      <c r="F8" s="78" t="str">
        <f>IF(E8&lt;&gt;"", IFERROR(VLOOKUP(E8, Dashboard!$B29:$F34, 5, FALSE), ""), "")</f>
        <v/>
      </c>
      <c r="G8" s="79"/>
      <c r="H8" s="66"/>
      <c r="I8" s="66"/>
      <c r="J8" s="79"/>
      <c r="K8" s="79"/>
      <c r="L8" s="40"/>
      <c r="M8" s="40"/>
      <c r="N8" s="79"/>
      <c r="O8" s="79"/>
      <c r="P8" s="40"/>
      <c r="Q8" s="40" t="s">
        <v>19</v>
      </c>
      <c r="R8" s="79"/>
      <c r="S8" s="66"/>
      <c r="T8" s="79"/>
    </row>
    <row r="9" spans="2:20" ht="60" customHeight="1" x14ac:dyDescent="0.35">
      <c r="B9" s="38" t="s">
        <v>399</v>
      </c>
      <c r="C9" s="77"/>
      <c r="D9" s="78"/>
      <c r="E9" s="78" t="s">
        <v>19</v>
      </c>
      <c r="F9" s="78" t="str">
        <f>IF(E9&lt;&gt;"", IFERROR(VLOOKUP(E9, Dashboard!$B29:$F34, 5, FALSE), ""), "")</f>
        <v/>
      </c>
      <c r="G9" s="79"/>
      <c r="H9" s="66"/>
      <c r="I9" s="66"/>
      <c r="J9" s="79"/>
      <c r="K9" s="79"/>
      <c r="L9" s="40"/>
      <c r="M9" s="40"/>
      <c r="N9" s="79"/>
      <c r="O9" s="79"/>
      <c r="P9" s="40"/>
      <c r="Q9" s="40" t="s">
        <v>19</v>
      </c>
      <c r="R9" s="79"/>
      <c r="S9" s="66"/>
      <c r="T9" s="79"/>
    </row>
    <row r="10" spans="2:20" ht="60" customHeight="1" x14ac:dyDescent="0.35">
      <c r="B10" s="38" t="s">
        <v>400</v>
      </c>
      <c r="C10" s="77"/>
      <c r="D10" s="78"/>
      <c r="E10" s="78" t="s">
        <v>19</v>
      </c>
      <c r="F10" s="78" t="str">
        <f>IF(E10&lt;&gt;"", IFERROR(VLOOKUP(E10, Dashboard!$B29:$F34, 5, FALSE), ""), "")</f>
        <v/>
      </c>
      <c r="G10" s="79"/>
      <c r="H10" s="66"/>
      <c r="I10" s="66"/>
      <c r="J10" s="79"/>
      <c r="K10" s="79"/>
      <c r="L10" s="40"/>
      <c r="M10" s="40"/>
      <c r="N10" s="79"/>
      <c r="O10" s="79"/>
      <c r="P10" s="40"/>
      <c r="Q10" s="40" t="s">
        <v>19</v>
      </c>
      <c r="R10" s="79"/>
      <c r="S10" s="66"/>
      <c r="T10" s="79"/>
    </row>
    <row r="11" spans="2:20" ht="60" customHeight="1" x14ac:dyDescent="0.35">
      <c r="B11" s="38" t="s">
        <v>401</v>
      </c>
      <c r="C11" s="77"/>
      <c r="D11" s="78"/>
      <c r="E11" s="78" t="s">
        <v>19</v>
      </c>
      <c r="F11" s="78" t="str">
        <f>IF(E11&lt;&gt;"", IFERROR(VLOOKUP(E11, Dashboard!$B29:$F34, 5, FALSE), ""), "")</f>
        <v/>
      </c>
      <c r="G11" s="79"/>
      <c r="H11" s="66"/>
      <c r="I11" s="66"/>
      <c r="J11" s="79"/>
      <c r="K11" s="79"/>
      <c r="L11" s="40"/>
      <c r="M11" s="40"/>
      <c r="N11" s="79"/>
      <c r="O11" s="79"/>
      <c r="P11" s="40"/>
      <c r="Q11" s="40" t="s">
        <v>19</v>
      </c>
      <c r="R11" s="79"/>
      <c r="S11" s="66"/>
      <c r="T11" s="79"/>
    </row>
    <row r="12" spans="2:20" ht="60" customHeight="1" x14ac:dyDescent="0.35">
      <c r="B12" s="38" t="s">
        <v>402</v>
      </c>
      <c r="C12" s="77"/>
      <c r="D12" s="78"/>
      <c r="E12" s="78" t="s">
        <v>19</v>
      </c>
      <c r="F12" s="78" t="str">
        <f>IF(E12&lt;&gt;"", IFERROR(VLOOKUP(E12, Dashboard!$B29:$F34, 5, FALSE), ""), "")</f>
        <v/>
      </c>
      <c r="G12" s="79"/>
      <c r="H12" s="66"/>
      <c r="I12" s="66"/>
      <c r="J12" s="79"/>
      <c r="K12" s="79"/>
      <c r="L12" s="40"/>
      <c r="M12" s="40"/>
      <c r="N12" s="79"/>
      <c r="O12" s="79"/>
      <c r="P12" s="40"/>
      <c r="Q12" s="40" t="s">
        <v>19</v>
      </c>
      <c r="R12" s="79"/>
      <c r="S12" s="66"/>
      <c r="T12" s="79"/>
    </row>
    <row r="13" spans="2:20" ht="60" customHeight="1" x14ac:dyDescent="0.35">
      <c r="B13" s="38" t="s">
        <v>403</v>
      </c>
      <c r="C13" s="77"/>
      <c r="D13" s="78"/>
      <c r="E13" s="78" t="s">
        <v>19</v>
      </c>
      <c r="F13" s="78" t="str">
        <f>IF(E13&lt;&gt;"", IFERROR(VLOOKUP(E13, Dashboard!$B29:$F34, 5, FALSE), ""), "")</f>
        <v/>
      </c>
      <c r="G13" s="79"/>
      <c r="H13" s="66"/>
      <c r="I13" s="66"/>
      <c r="J13" s="79"/>
      <c r="K13" s="79"/>
      <c r="L13" s="40"/>
      <c r="M13" s="40"/>
      <c r="N13" s="79"/>
      <c r="O13" s="79"/>
      <c r="P13" s="40"/>
      <c r="Q13" s="40" t="s">
        <v>19</v>
      </c>
      <c r="R13" s="79"/>
      <c r="S13" s="66"/>
      <c r="T13" s="79"/>
    </row>
    <row r="14" spans="2:20" ht="60" customHeight="1" x14ac:dyDescent="0.35">
      <c r="B14" s="38" t="s">
        <v>404</v>
      </c>
      <c r="C14" s="77"/>
      <c r="D14" s="78"/>
      <c r="E14" s="78" t="s">
        <v>19</v>
      </c>
      <c r="F14" s="78" t="str">
        <f>IF(E14&lt;&gt;"", IFERROR(VLOOKUP(E14, Dashboard!$B29:$F34, 5, FALSE), ""), "")</f>
        <v/>
      </c>
      <c r="G14" s="79"/>
      <c r="H14" s="66"/>
      <c r="I14" s="66"/>
      <c r="J14" s="79"/>
      <c r="K14" s="79"/>
      <c r="L14" s="40"/>
      <c r="M14" s="40"/>
      <c r="N14" s="79"/>
      <c r="O14" s="79"/>
      <c r="P14" s="40"/>
      <c r="Q14" s="40" t="s">
        <v>19</v>
      </c>
      <c r="R14" s="79"/>
      <c r="S14" s="66"/>
      <c r="T14" s="79"/>
    </row>
    <row r="15" spans="2:20" ht="60" customHeight="1" x14ac:dyDescent="0.35">
      <c r="B15" s="38" t="s">
        <v>405</v>
      </c>
      <c r="C15" s="77"/>
      <c r="D15" s="78"/>
      <c r="E15" s="78" t="s">
        <v>19</v>
      </c>
      <c r="F15" s="78" t="str">
        <f>IF(E15&lt;&gt;"", IFERROR(VLOOKUP(E15, Dashboard!$B29:$F34, 5, FALSE), ""), "")</f>
        <v/>
      </c>
      <c r="G15" s="79"/>
      <c r="H15" s="66"/>
      <c r="I15" s="66"/>
      <c r="J15" s="79"/>
      <c r="K15" s="79"/>
      <c r="L15" s="40"/>
      <c r="M15" s="40"/>
      <c r="N15" s="79"/>
      <c r="O15" s="79"/>
      <c r="P15" s="40"/>
      <c r="Q15" s="40" t="s">
        <v>19</v>
      </c>
      <c r="R15" s="79"/>
      <c r="S15" s="66"/>
      <c r="T15" s="79"/>
    </row>
    <row r="16" spans="2:20" ht="60" customHeight="1" x14ac:dyDescent="0.35">
      <c r="B16" s="38" t="s">
        <v>406</v>
      </c>
      <c r="C16" s="77"/>
      <c r="D16" s="78"/>
      <c r="E16" s="78" t="s">
        <v>19</v>
      </c>
      <c r="F16" s="78" t="str">
        <f>IF(E16&lt;&gt;"", IFERROR(VLOOKUP(E16, Dashboard!$B29:$F34, 5, FALSE), ""), "")</f>
        <v/>
      </c>
      <c r="G16" s="79"/>
      <c r="H16" s="66"/>
      <c r="I16" s="66"/>
      <c r="J16" s="79"/>
      <c r="K16" s="79"/>
      <c r="L16" s="40"/>
      <c r="M16" s="40"/>
      <c r="N16" s="79"/>
      <c r="O16" s="79"/>
      <c r="P16" s="40"/>
      <c r="Q16" s="40" t="s">
        <v>19</v>
      </c>
      <c r="R16" s="79"/>
      <c r="S16" s="66"/>
      <c r="T16" s="79"/>
    </row>
    <row r="17" spans="2:20" ht="60" customHeight="1" x14ac:dyDescent="0.35">
      <c r="B17" s="38" t="s">
        <v>407</v>
      </c>
      <c r="C17" s="77"/>
      <c r="D17" s="78"/>
      <c r="E17" s="78" t="s">
        <v>19</v>
      </c>
      <c r="F17" s="78" t="str">
        <f>IF(E17&lt;&gt;"", IFERROR(VLOOKUP(E17, Dashboard!$B29:$F34, 5, FALSE), ""), "")</f>
        <v/>
      </c>
      <c r="G17" s="79"/>
      <c r="H17" s="66"/>
      <c r="I17" s="66"/>
      <c r="J17" s="79"/>
      <c r="K17" s="79"/>
      <c r="L17" s="40"/>
      <c r="M17" s="40"/>
      <c r="N17" s="79"/>
      <c r="O17" s="79"/>
      <c r="P17" s="40"/>
      <c r="Q17" s="40" t="s">
        <v>19</v>
      </c>
      <c r="R17" s="79"/>
      <c r="S17" s="66"/>
      <c r="T17" s="79"/>
    </row>
    <row r="18" spans="2:20" ht="60" customHeight="1" x14ac:dyDescent="0.35">
      <c r="B18" s="38" t="s">
        <v>408</v>
      </c>
      <c r="C18" s="77"/>
      <c r="D18" s="78"/>
      <c r="E18" s="78" t="s">
        <v>19</v>
      </c>
      <c r="F18" s="78" t="str">
        <f>IF(E18&lt;&gt;"", IFERROR(VLOOKUP(E18, Dashboard!$B29:$F34, 5, FALSE), ""), "")</f>
        <v/>
      </c>
      <c r="G18" s="79"/>
      <c r="H18" s="66"/>
      <c r="I18" s="66"/>
      <c r="J18" s="79"/>
      <c r="K18" s="79"/>
      <c r="L18" s="40"/>
      <c r="M18" s="40"/>
      <c r="N18" s="79"/>
      <c r="O18" s="79"/>
      <c r="P18" s="40"/>
      <c r="Q18" s="40" t="s">
        <v>19</v>
      </c>
      <c r="R18" s="79"/>
      <c r="S18" s="66"/>
      <c r="T18" s="79"/>
    </row>
    <row r="19" spans="2:20" ht="60" customHeight="1" x14ac:dyDescent="0.35">
      <c r="B19" s="38" t="s">
        <v>409</v>
      </c>
      <c r="C19" s="77"/>
      <c r="D19" s="78"/>
      <c r="E19" s="78" t="s">
        <v>19</v>
      </c>
      <c r="F19" s="78" t="str">
        <f>IF(E19&lt;&gt;"", IFERROR(VLOOKUP(E19, Dashboard!$B29:$F34, 5, FALSE), ""), "")</f>
        <v/>
      </c>
      <c r="G19" s="79"/>
      <c r="H19" s="66"/>
      <c r="I19" s="66"/>
      <c r="J19" s="79"/>
      <c r="K19" s="79"/>
      <c r="L19" s="40"/>
      <c r="M19" s="40"/>
      <c r="N19" s="79"/>
      <c r="O19" s="79"/>
      <c r="P19" s="40"/>
      <c r="Q19" s="40" t="s">
        <v>19</v>
      </c>
      <c r="R19" s="79"/>
      <c r="S19" s="66"/>
      <c r="T19" s="79"/>
    </row>
    <row r="20" spans="2:20" ht="60" customHeight="1" x14ac:dyDescent="0.35">
      <c r="B20" s="38" t="s">
        <v>410</v>
      </c>
      <c r="C20" s="77"/>
      <c r="D20" s="78"/>
      <c r="E20" s="78" t="s">
        <v>19</v>
      </c>
      <c r="F20" s="78" t="str">
        <f>IF(E20&lt;&gt;"", IFERROR(VLOOKUP(E20, Dashboard!$B29:$F34, 5, FALSE), ""), "")</f>
        <v/>
      </c>
      <c r="G20" s="79"/>
      <c r="H20" s="66"/>
      <c r="I20" s="66"/>
      <c r="J20" s="79"/>
      <c r="K20" s="79"/>
      <c r="L20" s="40"/>
      <c r="M20" s="40"/>
      <c r="N20" s="79"/>
      <c r="O20" s="79"/>
      <c r="P20" s="40"/>
      <c r="Q20" s="40" t="s">
        <v>19</v>
      </c>
      <c r="R20" s="79"/>
      <c r="S20" s="66"/>
      <c r="T20" s="79"/>
    </row>
    <row r="21" spans="2:20" ht="60" customHeight="1" x14ac:dyDescent="0.35">
      <c r="B21" s="38" t="s">
        <v>411</v>
      </c>
      <c r="C21" s="77"/>
      <c r="D21" s="78"/>
      <c r="E21" s="78" t="s">
        <v>19</v>
      </c>
      <c r="F21" s="78" t="str">
        <f>IF(E21&lt;&gt;"", IFERROR(VLOOKUP(E21, Dashboard!$B29:$F34, 5, FALSE), ""), "")</f>
        <v/>
      </c>
      <c r="G21" s="79"/>
      <c r="H21" s="66"/>
      <c r="I21" s="66"/>
      <c r="J21" s="79"/>
      <c r="K21" s="79"/>
      <c r="L21" s="40"/>
      <c r="M21" s="40"/>
      <c r="N21" s="79"/>
      <c r="O21" s="79"/>
      <c r="P21" s="40"/>
      <c r="Q21" s="40" t="s">
        <v>19</v>
      </c>
      <c r="R21" s="79"/>
      <c r="S21" s="66"/>
      <c r="T21" s="79"/>
    </row>
    <row r="22" spans="2:20" ht="60" customHeight="1" x14ac:dyDescent="0.35">
      <c r="B22" s="38" t="s">
        <v>412</v>
      </c>
      <c r="C22" s="77"/>
      <c r="D22" s="78"/>
      <c r="E22" s="78" t="s">
        <v>19</v>
      </c>
      <c r="F22" s="78" t="str">
        <f>IF(E22&lt;&gt;"", IFERROR(VLOOKUP(E22, Dashboard!$B29:$F34, 5, FALSE), ""), "")</f>
        <v/>
      </c>
      <c r="G22" s="79"/>
      <c r="H22" s="66"/>
      <c r="I22" s="66"/>
      <c r="J22" s="79"/>
      <c r="K22" s="79"/>
      <c r="L22" s="40"/>
      <c r="M22" s="40"/>
      <c r="N22" s="79"/>
      <c r="O22" s="79"/>
      <c r="P22" s="40"/>
      <c r="Q22" s="40" t="s">
        <v>19</v>
      </c>
      <c r="R22" s="79"/>
      <c r="S22" s="66"/>
      <c r="T22" s="79"/>
    </row>
    <row r="23" spans="2:20" ht="60" customHeight="1" x14ac:dyDescent="0.35">
      <c r="B23" s="38" t="s">
        <v>413</v>
      </c>
      <c r="C23" s="77"/>
      <c r="D23" s="78"/>
      <c r="E23" s="78" t="s">
        <v>19</v>
      </c>
      <c r="F23" s="78" t="str">
        <f>IF(E23&lt;&gt;"", IFERROR(VLOOKUP(E23, Dashboard!$B29:$F34, 5, FALSE), ""), "")</f>
        <v/>
      </c>
      <c r="G23" s="79"/>
      <c r="H23" s="66"/>
      <c r="I23" s="66"/>
      <c r="J23" s="79"/>
      <c r="K23" s="79"/>
      <c r="L23" s="40"/>
      <c r="M23" s="40"/>
      <c r="N23" s="79"/>
      <c r="O23" s="79"/>
      <c r="P23" s="40"/>
      <c r="Q23" s="40" t="s">
        <v>19</v>
      </c>
      <c r="R23" s="79"/>
      <c r="S23" s="66"/>
      <c r="T23" s="79"/>
    </row>
    <row r="24" spans="2:20" ht="60" customHeight="1" x14ac:dyDescent="0.35">
      <c r="B24" s="38" t="s">
        <v>414</v>
      </c>
      <c r="C24" s="77"/>
      <c r="D24" s="78"/>
      <c r="E24" s="78" t="s">
        <v>19</v>
      </c>
      <c r="F24" s="78" t="str">
        <f>IF(E24&lt;&gt;"", IFERROR(VLOOKUP(E24, Dashboard!$B29:$F34, 5, FALSE), ""), "")</f>
        <v/>
      </c>
      <c r="G24" s="79"/>
      <c r="H24" s="66"/>
      <c r="I24" s="66"/>
      <c r="J24" s="79"/>
      <c r="K24" s="79"/>
      <c r="L24" s="40"/>
      <c r="M24" s="40"/>
      <c r="N24" s="79"/>
      <c r="O24" s="79"/>
      <c r="P24" s="40"/>
      <c r="Q24" s="40" t="s">
        <v>19</v>
      </c>
      <c r="R24" s="79"/>
      <c r="S24" s="66"/>
      <c r="T24" s="79"/>
    </row>
    <row r="25" spans="2:20" ht="60" customHeight="1" x14ac:dyDescent="0.35">
      <c r="B25" s="38" t="s">
        <v>415</v>
      </c>
      <c r="C25" s="77"/>
      <c r="D25" s="78"/>
      <c r="E25" s="78" t="s">
        <v>19</v>
      </c>
      <c r="F25" s="78" t="str">
        <f>IF(E25&lt;&gt;"", IFERROR(VLOOKUP(E25, Dashboard!$B29:$F34, 5, FALSE), ""), "")</f>
        <v/>
      </c>
      <c r="G25" s="79"/>
      <c r="H25" s="66"/>
      <c r="I25" s="66"/>
      <c r="J25" s="79"/>
      <c r="K25" s="79"/>
      <c r="L25" s="40"/>
      <c r="M25" s="40"/>
      <c r="N25" s="79"/>
      <c r="O25" s="79"/>
      <c r="P25" s="40"/>
      <c r="Q25" s="40" t="s">
        <v>19</v>
      </c>
      <c r="R25" s="79"/>
      <c r="S25" s="66"/>
      <c r="T25" s="79"/>
    </row>
    <row r="26" spans="2:20" ht="60" customHeight="1" x14ac:dyDescent="0.35">
      <c r="B26" s="38" t="s">
        <v>416</v>
      </c>
      <c r="C26" s="77"/>
      <c r="D26" s="78"/>
      <c r="E26" s="78" t="s">
        <v>19</v>
      </c>
      <c r="F26" s="78" t="str">
        <f>IF(E26&lt;&gt;"", IFERROR(VLOOKUP(E26, Dashboard!$B29:$F34, 5, FALSE), ""), "")</f>
        <v/>
      </c>
      <c r="G26" s="79"/>
      <c r="H26" s="66"/>
      <c r="I26" s="66"/>
      <c r="J26" s="79"/>
      <c r="K26" s="79"/>
      <c r="L26" s="40"/>
      <c r="M26" s="40"/>
      <c r="N26" s="79"/>
      <c r="O26" s="79"/>
      <c r="P26" s="40"/>
      <c r="Q26" s="40" t="s">
        <v>19</v>
      </c>
      <c r="R26" s="79"/>
      <c r="S26" s="66"/>
      <c r="T26" s="79"/>
    </row>
    <row r="27" spans="2:20" ht="60" customHeight="1" x14ac:dyDescent="0.35">
      <c r="B27" s="38" t="s">
        <v>417</v>
      </c>
      <c r="C27" s="77"/>
      <c r="D27" s="78"/>
      <c r="E27" s="78" t="s">
        <v>19</v>
      </c>
      <c r="F27" s="78" t="str">
        <f>IF(E27&lt;&gt;"", IFERROR(VLOOKUP(E27, Dashboard!$B29:$F34, 5, FALSE), ""), "")</f>
        <v/>
      </c>
      <c r="G27" s="79"/>
      <c r="H27" s="66"/>
      <c r="I27" s="66"/>
      <c r="J27" s="79"/>
      <c r="K27" s="79"/>
      <c r="L27" s="40"/>
      <c r="M27" s="40"/>
      <c r="N27" s="79"/>
      <c r="O27" s="79"/>
      <c r="P27" s="40"/>
      <c r="Q27" s="40" t="s">
        <v>19</v>
      </c>
      <c r="R27" s="79"/>
      <c r="S27" s="66"/>
      <c r="T27" s="79"/>
    </row>
    <row r="28" spans="2:20" ht="60" customHeight="1" x14ac:dyDescent="0.35">
      <c r="B28" s="38" t="s">
        <v>418</v>
      </c>
      <c r="C28" s="77"/>
      <c r="D28" s="78"/>
      <c r="E28" s="78" t="s">
        <v>19</v>
      </c>
      <c r="F28" s="78" t="str">
        <f>IF(E28&lt;&gt;"", IFERROR(VLOOKUP(E28, Dashboard!$B29:$F34, 5, FALSE), ""), "")</f>
        <v/>
      </c>
      <c r="G28" s="79"/>
      <c r="H28" s="66"/>
      <c r="I28" s="66"/>
      <c r="J28" s="79"/>
      <c r="K28" s="79"/>
      <c r="L28" s="40"/>
      <c r="M28" s="40"/>
      <c r="N28" s="79"/>
      <c r="O28" s="79"/>
      <c r="P28" s="40"/>
      <c r="Q28" s="40" t="s">
        <v>19</v>
      </c>
      <c r="R28" s="79"/>
      <c r="S28" s="66"/>
      <c r="T28" s="79"/>
    </row>
    <row r="29" spans="2:20" ht="60" customHeight="1" x14ac:dyDescent="0.35">
      <c r="B29" s="38" t="s">
        <v>419</v>
      </c>
      <c r="C29" s="77"/>
      <c r="D29" s="78"/>
      <c r="E29" s="78" t="s">
        <v>19</v>
      </c>
      <c r="F29" s="78" t="str">
        <f>IF(E29&lt;&gt;"", IFERROR(VLOOKUP(E29, Dashboard!$B29:$F34, 5, FALSE), ""), "")</f>
        <v/>
      </c>
      <c r="G29" s="79"/>
      <c r="H29" s="66"/>
      <c r="I29" s="66"/>
      <c r="J29" s="79"/>
      <c r="K29" s="79"/>
      <c r="L29" s="40"/>
      <c r="M29" s="40"/>
      <c r="N29" s="79"/>
      <c r="O29" s="79"/>
      <c r="P29" s="40"/>
      <c r="Q29" s="40" t="s">
        <v>19</v>
      </c>
      <c r="R29" s="79"/>
      <c r="S29" s="66"/>
      <c r="T29" s="79"/>
    </row>
    <row r="30" spans="2:20" ht="60" customHeight="1" x14ac:dyDescent="0.35">
      <c r="B30" s="38" t="s">
        <v>420</v>
      </c>
      <c r="C30" s="77"/>
      <c r="D30" s="78"/>
      <c r="E30" s="78" t="s">
        <v>19</v>
      </c>
      <c r="F30" s="78" t="str">
        <f>IF(E30&lt;&gt;"", IFERROR(VLOOKUP(E30, Dashboard!$B29:$F34, 5, FALSE), ""), "")</f>
        <v/>
      </c>
      <c r="G30" s="79"/>
      <c r="H30" s="66"/>
      <c r="I30" s="66"/>
      <c r="J30" s="79"/>
      <c r="K30" s="79"/>
      <c r="L30" s="40"/>
      <c r="M30" s="40"/>
      <c r="N30" s="79"/>
      <c r="O30" s="79"/>
      <c r="P30" s="40"/>
      <c r="Q30" s="40" t="s">
        <v>19</v>
      </c>
      <c r="R30" s="79"/>
      <c r="S30" s="66"/>
      <c r="T30" s="79"/>
    </row>
    <row r="31" spans="2:20" ht="60" customHeight="1" x14ac:dyDescent="0.35">
      <c r="B31" s="38" t="s">
        <v>421</v>
      </c>
      <c r="C31" s="77"/>
      <c r="D31" s="78"/>
      <c r="E31" s="78" t="s">
        <v>19</v>
      </c>
      <c r="F31" s="78" t="str">
        <f>IF(E31&lt;&gt;"", IFERROR(VLOOKUP(E31, Dashboard!$B29:$F34, 5, FALSE), ""), "")</f>
        <v/>
      </c>
      <c r="G31" s="79"/>
      <c r="H31" s="66"/>
      <c r="I31" s="66"/>
      <c r="J31" s="79"/>
      <c r="K31" s="79"/>
      <c r="L31" s="40"/>
      <c r="M31" s="40"/>
      <c r="N31" s="79"/>
      <c r="O31" s="79"/>
      <c r="P31" s="40"/>
      <c r="Q31" s="40" t="s">
        <v>19</v>
      </c>
      <c r="R31" s="79"/>
      <c r="S31" s="66"/>
      <c r="T31" s="79"/>
    </row>
    <row r="32" spans="2:20" ht="60" customHeight="1" x14ac:dyDescent="0.35">
      <c r="B32" s="38" t="s">
        <v>422</v>
      </c>
      <c r="C32" s="77"/>
      <c r="D32" s="78"/>
      <c r="E32" s="78" t="s">
        <v>19</v>
      </c>
      <c r="F32" s="78" t="str">
        <f>IF(E32&lt;&gt;"", IFERROR(VLOOKUP(E32, Dashboard!$B29:$F34, 5, FALSE), ""), "")</f>
        <v/>
      </c>
      <c r="G32" s="79"/>
      <c r="H32" s="66"/>
      <c r="I32" s="66"/>
      <c r="J32" s="79"/>
      <c r="K32" s="79"/>
      <c r="L32" s="40"/>
      <c r="M32" s="40"/>
      <c r="N32" s="79"/>
      <c r="O32" s="79"/>
      <c r="P32" s="40"/>
      <c r="Q32" s="40" t="s">
        <v>19</v>
      </c>
      <c r="R32" s="79"/>
      <c r="S32" s="66"/>
      <c r="T32" s="79"/>
    </row>
    <row r="33" spans="2:20" ht="60" customHeight="1" x14ac:dyDescent="0.35">
      <c r="B33" s="38" t="s">
        <v>423</v>
      </c>
      <c r="C33" s="77"/>
      <c r="D33" s="78"/>
      <c r="E33" s="78" t="s">
        <v>19</v>
      </c>
      <c r="F33" s="78" t="str">
        <f>IF(E33&lt;&gt;"", IFERROR(VLOOKUP(E33, Dashboard!$B29:$F34, 5, FALSE), ""), "")</f>
        <v/>
      </c>
      <c r="G33" s="79"/>
      <c r="H33" s="66"/>
      <c r="I33" s="66"/>
      <c r="J33" s="79"/>
      <c r="K33" s="79"/>
      <c r="L33" s="40"/>
      <c r="M33" s="40"/>
      <c r="N33" s="79"/>
      <c r="O33" s="79"/>
      <c r="P33" s="40"/>
      <c r="Q33" s="40" t="s">
        <v>19</v>
      </c>
      <c r="R33" s="79"/>
      <c r="S33" s="66"/>
      <c r="T33" s="79"/>
    </row>
    <row r="34" spans="2:20" ht="60" customHeight="1" x14ac:dyDescent="0.35">
      <c r="B34" s="38" t="s">
        <v>424</v>
      </c>
      <c r="C34" s="77"/>
      <c r="D34" s="78"/>
      <c r="E34" s="78" t="s">
        <v>19</v>
      </c>
      <c r="F34" s="78" t="str">
        <f>IF(E34&lt;&gt;"", IFERROR(VLOOKUP(E34, Dashboard!$B29:$F34, 5, FALSE), ""), "")</f>
        <v/>
      </c>
      <c r="G34" s="79"/>
      <c r="H34" s="66"/>
      <c r="I34" s="66"/>
      <c r="J34" s="79"/>
      <c r="K34" s="79"/>
      <c r="L34" s="40"/>
      <c r="M34" s="40"/>
      <c r="N34" s="79"/>
      <c r="O34" s="79"/>
      <c r="P34" s="40"/>
      <c r="Q34" s="40" t="s">
        <v>19</v>
      </c>
      <c r="R34" s="79"/>
      <c r="S34" s="66"/>
      <c r="T34" s="79"/>
    </row>
    <row r="35" spans="2:20" ht="60" customHeight="1" x14ac:dyDescent="0.35">
      <c r="B35" s="38" t="s">
        <v>425</v>
      </c>
      <c r="C35" s="77"/>
      <c r="D35" s="78"/>
      <c r="E35" s="78" t="s">
        <v>19</v>
      </c>
      <c r="F35" s="78" t="str">
        <f>IF(E35&lt;&gt;"", IFERROR(VLOOKUP(E35, Dashboard!$B29:$F34, 5, FALSE), ""), "")</f>
        <v/>
      </c>
      <c r="G35" s="79"/>
      <c r="H35" s="66"/>
      <c r="I35" s="66"/>
      <c r="J35" s="79"/>
      <c r="K35" s="79"/>
      <c r="L35" s="40"/>
      <c r="M35" s="40"/>
      <c r="N35" s="79"/>
      <c r="O35" s="79"/>
      <c r="P35" s="40"/>
      <c r="Q35" s="40" t="s">
        <v>19</v>
      </c>
      <c r="R35" s="79"/>
      <c r="S35" s="66"/>
      <c r="T35" s="79"/>
    </row>
    <row r="36" spans="2:20" ht="60" customHeight="1" x14ac:dyDescent="0.35">
      <c r="B36" s="38" t="s">
        <v>426</v>
      </c>
      <c r="C36" s="77"/>
      <c r="D36" s="78"/>
      <c r="E36" s="78" t="s">
        <v>19</v>
      </c>
      <c r="F36" s="78" t="str">
        <f>IF(E36&lt;&gt;"", IFERROR(VLOOKUP(E36, Dashboard!$B29:$F34, 5, FALSE), ""), "")</f>
        <v/>
      </c>
      <c r="G36" s="79"/>
      <c r="H36" s="66"/>
      <c r="I36" s="66"/>
      <c r="J36" s="79"/>
      <c r="K36" s="79"/>
      <c r="L36" s="40"/>
      <c r="M36" s="40"/>
      <c r="N36" s="79"/>
      <c r="O36" s="79"/>
      <c r="P36" s="40"/>
      <c r="Q36" s="40" t="s">
        <v>19</v>
      </c>
      <c r="R36" s="79"/>
      <c r="S36" s="66"/>
      <c r="T36" s="79"/>
    </row>
    <row r="37" spans="2:20" ht="60" customHeight="1" x14ac:dyDescent="0.35">
      <c r="B37" s="38" t="s">
        <v>427</v>
      </c>
      <c r="C37" s="77"/>
      <c r="D37" s="78"/>
      <c r="E37" s="78" t="s">
        <v>19</v>
      </c>
      <c r="F37" s="78" t="str">
        <f>IF(E37&lt;&gt;"", IFERROR(VLOOKUP(E37, Dashboard!$B29:$F34, 5, FALSE), ""), "")</f>
        <v/>
      </c>
      <c r="G37" s="79"/>
      <c r="H37" s="66"/>
      <c r="I37" s="66"/>
      <c r="J37" s="79"/>
      <c r="K37" s="79"/>
      <c r="L37" s="40"/>
      <c r="M37" s="40"/>
      <c r="N37" s="79"/>
      <c r="O37" s="79"/>
      <c r="P37" s="40"/>
      <c r="Q37" s="40" t="s">
        <v>19</v>
      </c>
      <c r="R37" s="79"/>
      <c r="S37" s="66"/>
      <c r="T37" s="79"/>
    </row>
    <row r="38" spans="2:20" ht="60" customHeight="1" x14ac:dyDescent="0.35">
      <c r="B38" s="38" t="s">
        <v>428</v>
      </c>
      <c r="C38" s="77"/>
      <c r="D38" s="78"/>
      <c r="E38" s="78" t="s">
        <v>19</v>
      </c>
      <c r="F38" s="78" t="str">
        <f>IF(E38&lt;&gt;"", IFERROR(VLOOKUP(E38, Dashboard!$B29:$F34, 5, FALSE), ""), "")</f>
        <v/>
      </c>
      <c r="G38" s="79"/>
      <c r="H38" s="66"/>
      <c r="I38" s="66"/>
      <c r="J38" s="79"/>
      <c r="K38" s="79"/>
      <c r="L38" s="40"/>
      <c r="M38" s="40"/>
      <c r="N38" s="79"/>
      <c r="O38" s="79"/>
      <c r="P38" s="40"/>
      <c r="Q38" s="40" t="s">
        <v>19</v>
      </c>
      <c r="R38" s="79"/>
      <c r="S38" s="66"/>
      <c r="T38" s="79"/>
    </row>
    <row r="39" spans="2:20" ht="60" customHeight="1" x14ac:dyDescent="0.35">
      <c r="B39" s="38" t="s">
        <v>429</v>
      </c>
      <c r="C39" s="77"/>
      <c r="D39" s="78"/>
      <c r="E39" s="78" t="s">
        <v>19</v>
      </c>
      <c r="F39" s="78" t="str">
        <f>IF(E39&lt;&gt;"", IFERROR(VLOOKUP(E39, Dashboard!$B29:$F34, 5, FALSE), ""), "")</f>
        <v/>
      </c>
      <c r="G39" s="79"/>
      <c r="H39" s="66"/>
      <c r="I39" s="66"/>
      <c r="J39" s="79"/>
      <c r="K39" s="79"/>
      <c r="L39" s="40"/>
      <c r="M39" s="40"/>
      <c r="N39" s="79"/>
      <c r="O39" s="79"/>
      <c r="P39" s="40"/>
      <c r="Q39" s="40" t="s">
        <v>19</v>
      </c>
      <c r="R39" s="79"/>
      <c r="S39" s="66"/>
      <c r="T39" s="79"/>
    </row>
    <row r="40" spans="2:20" ht="60" customHeight="1" x14ac:dyDescent="0.35">
      <c r="B40" s="38" t="s">
        <v>430</v>
      </c>
      <c r="C40" s="77"/>
      <c r="D40" s="78"/>
      <c r="E40" s="78" t="s">
        <v>19</v>
      </c>
      <c r="F40" s="78" t="str">
        <f>IF(E40&lt;&gt;"", IFERROR(VLOOKUP(E40, Dashboard!$B29:$F34, 5, FALSE), ""), "")</f>
        <v/>
      </c>
      <c r="G40" s="79"/>
      <c r="H40" s="66"/>
      <c r="I40" s="66"/>
      <c r="J40" s="79"/>
      <c r="K40" s="79"/>
      <c r="L40" s="40"/>
      <c r="M40" s="40"/>
      <c r="N40" s="79"/>
      <c r="O40" s="79"/>
      <c r="P40" s="40"/>
      <c r="Q40" s="40" t="s">
        <v>19</v>
      </c>
      <c r="R40" s="79"/>
      <c r="S40" s="66"/>
      <c r="T40" s="79"/>
    </row>
    <row r="41" spans="2:20" ht="60" customHeight="1" x14ac:dyDescent="0.35">
      <c r="B41" s="38" t="s">
        <v>431</v>
      </c>
      <c r="C41" s="77"/>
      <c r="D41" s="78"/>
      <c r="E41" s="78" t="s">
        <v>19</v>
      </c>
      <c r="F41" s="78" t="str">
        <f>IF(E41&lt;&gt;"", IFERROR(VLOOKUP(E41, Dashboard!$B29:$F34, 5, FALSE), ""), "")</f>
        <v/>
      </c>
      <c r="G41" s="79"/>
      <c r="H41" s="66"/>
      <c r="I41" s="66"/>
      <c r="J41" s="79"/>
      <c r="K41" s="79"/>
      <c r="L41" s="40"/>
      <c r="M41" s="40"/>
      <c r="N41" s="79"/>
      <c r="O41" s="79"/>
      <c r="P41" s="40"/>
      <c r="Q41" s="40" t="s">
        <v>19</v>
      </c>
      <c r="R41" s="79"/>
      <c r="S41" s="66"/>
      <c r="T41" s="79"/>
    </row>
    <row r="42" spans="2:20" ht="60" customHeight="1" x14ac:dyDescent="0.35">
      <c r="B42" s="38" t="s">
        <v>432</v>
      </c>
      <c r="C42" s="77"/>
      <c r="D42" s="78"/>
      <c r="E42" s="78" t="s">
        <v>19</v>
      </c>
      <c r="F42" s="78" t="str">
        <f>IF(E42&lt;&gt;"", IFERROR(VLOOKUP(E42, Dashboard!$B29:$F34, 5, FALSE), ""), "")</f>
        <v/>
      </c>
      <c r="G42" s="79"/>
      <c r="H42" s="66"/>
      <c r="I42" s="66"/>
      <c r="J42" s="79"/>
      <c r="K42" s="79"/>
      <c r="L42" s="40"/>
      <c r="M42" s="40"/>
      <c r="N42" s="79"/>
      <c r="O42" s="79"/>
      <c r="P42" s="40"/>
      <c r="Q42" s="40" t="s">
        <v>19</v>
      </c>
      <c r="R42" s="79"/>
      <c r="S42" s="66"/>
      <c r="T42" s="79"/>
    </row>
    <row r="43" spans="2:20" ht="60" customHeight="1" x14ac:dyDescent="0.35">
      <c r="B43" s="38" t="s">
        <v>433</v>
      </c>
      <c r="C43" s="77"/>
      <c r="D43" s="78"/>
      <c r="E43" s="78" t="s">
        <v>19</v>
      </c>
      <c r="F43" s="78" t="str">
        <f>IF(E43&lt;&gt;"", IFERROR(VLOOKUP(E43, Dashboard!$B29:$F34, 5, FALSE), ""), "")</f>
        <v/>
      </c>
      <c r="G43" s="79"/>
      <c r="H43" s="66"/>
      <c r="I43" s="66"/>
      <c r="J43" s="79"/>
      <c r="K43" s="79"/>
      <c r="L43" s="40"/>
      <c r="M43" s="40"/>
      <c r="N43" s="79"/>
      <c r="O43" s="79"/>
      <c r="P43" s="40"/>
      <c r="Q43" s="40" t="s">
        <v>19</v>
      </c>
      <c r="R43" s="79"/>
      <c r="S43" s="66"/>
      <c r="T43" s="79"/>
    </row>
    <row r="44" spans="2:20" ht="60" customHeight="1" x14ac:dyDescent="0.35">
      <c r="B44" s="38" t="s">
        <v>434</v>
      </c>
      <c r="C44" s="77"/>
      <c r="D44" s="78"/>
      <c r="E44" s="78" t="s">
        <v>19</v>
      </c>
      <c r="F44" s="78" t="str">
        <f>IF(E44&lt;&gt;"", IFERROR(VLOOKUP(E44, Dashboard!$B29:$F34, 5, FALSE), ""), "")</f>
        <v/>
      </c>
      <c r="G44" s="79"/>
      <c r="H44" s="66"/>
      <c r="I44" s="66"/>
      <c r="J44" s="79"/>
      <c r="K44" s="79"/>
      <c r="L44" s="40"/>
      <c r="M44" s="40"/>
      <c r="N44" s="79"/>
      <c r="O44" s="79"/>
      <c r="P44" s="40"/>
      <c r="Q44" s="40" t="s">
        <v>19</v>
      </c>
      <c r="R44" s="79"/>
      <c r="S44" s="66"/>
      <c r="T44" s="79"/>
    </row>
    <row r="45" spans="2:20" ht="60" customHeight="1" x14ac:dyDescent="0.35">
      <c r="B45" s="38" t="s">
        <v>435</v>
      </c>
      <c r="C45" s="77"/>
      <c r="D45" s="78"/>
      <c r="E45" s="78" t="s">
        <v>19</v>
      </c>
      <c r="F45" s="78" t="str">
        <f>IF(E45&lt;&gt;"", IFERROR(VLOOKUP(E45, Dashboard!$B29:$F34, 5, FALSE), ""), "")</f>
        <v/>
      </c>
      <c r="G45" s="79"/>
      <c r="H45" s="66"/>
      <c r="I45" s="66"/>
      <c r="J45" s="79"/>
      <c r="K45" s="79"/>
      <c r="L45" s="40"/>
      <c r="M45" s="40"/>
      <c r="N45" s="79"/>
      <c r="O45" s="79"/>
      <c r="P45" s="40"/>
      <c r="Q45" s="40" t="s">
        <v>19</v>
      </c>
      <c r="R45" s="79"/>
      <c r="S45" s="66"/>
      <c r="T45" s="79"/>
    </row>
    <row r="46" spans="2:20" ht="60" customHeight="1" x14ac:dyDescent="0.35">
      <c r="B46" s="38" t="s">
        <v>436</v>
      </c>
      <c r="C46" s="77"/>
      <c r="D46" s="78"/>
      <c r="E46" s="78" t="s">
        <v>19</v>
      </c>
      <c r="F46" s="78" t="str">
        <f>IF(E46&lt;&gt;"", IFERROR(VLOOKUP(E46, Dashboard!$B29:$F34, 5, FALSE), ""), "")</f>
        <v/>
      </c>
      <c r="G46" s="79"/>
      <c r="H46" s="66"/>
      <c r="I46" s="66"/>
      <c r="J46" s="79"/>
      <c r="K46" s="79"/>
      <c r="L46" s="40"/>
      <c r="M46" s="40"/>
      <c r="N46" s="79"/>
      <c r="O46" s="79"/>
      <c r="P46" s="40"/>
      <c r="Q46" s="40" t="s">
        <v>19</v>
      </c>
      <c r="R46" s="79"/>
      <c r="S46" s="66"/>
      <c r="T46" s="79"/>
    </row>
    <row r="47" spans="2:20" ht="60" customHeight="1" x14ac:dyDescent="0.35">
      <c r="B47" s="38" t="s">
        <v>437</v>
      </c>
      <c r="C47" s="77"/>
      <c r="D47" s="78"/>
      <c r="E47" s="78" t="s">
        <v>19</v>
      </c>
      <c r="F47" s="78" t="str">
        <f>IF(E47&lt;&gt;"", IFERROR(VLOOKUP(E47, Dashboard!$B29:$F34, 5, FALSE), ""), "")</f>
        <v/>
      </c>
      <c r="G47" s="79"/>
      <c r="H47" s="66"/>
      <c r="I47" s="66"/>
      <c r="J47" s="79"/>
      <c r="K47" s="79"/>
      <c r="L47" s="40"/>
      <c r="M47" s="40"/>
      <c r="N47" s="79"/>
      <c r="O47" s="79"/>
      <c r="P47" s="40"/>
      <c r="Q47" s="40" t="s">
        <v>19</v>
      </c>
      <c r="R47" s="79"/>
      <c r="S47" s="66"/>
      <c r="T47" s="79"/>
    </row>
    <row r="48" spans="2:20" ht="60" customHeight="1" x14ac:dyDescent="0.35">
      <c r="B48" s="38" t="s">
        <v>438</v>
      </c>
      <c r="C48" s="77"/>
      <c r="D48" s="78"/>
      <c r="E48" s="78" t="s">
        <v>19</v>
      </c>
      <c r="F48" s="78" t="str">
        <f>IF(E48&lt;&gt;"", IFERROR(VLOOKUP(E48, Dashboard!$B29:$F34, 5, FALSE), ""), "")</f>
        <v/>
      </c>
      <c r="G48" s="79"/>
      <c r="H48" s="66"/>
      <c r="I48" s="66"/>
      <c r="J48" s="79"/>
      <c r="K48" s="79"/>
      <c r="L48" s="40"/>
      <c r="M48" s="40"/>
      <c r="N48" s="79"/>
      <c r="O48" s="79"/>
      <c r="P48" s="40"/>
      <c r="Q48" s="40" t="s">
        <v>19</v>
      </c>
      <c r="R48" s="79"/>
      <c r="S48" s="66"/>
      <c r="T48" s="79"/>
    </row>
    <row r="49" spans="2:20" ht="60" customHeight="1" x14ac:dyDescent="0.35">
      <c r="B49" s="38" t="s">
        <v>439</v>
      </c>
      <c r="C49" s="77"/>
      <c r="D49" s="78"/>
      <c r="E49" s="78" t="s">
        <v>19</v>
      </c>
      <c r="F49" s="78" t="str">
        <f>IF(E49&lt;&gt;"", IFERROR(VLOOKUP(E49, Dashboard!$B29:$F34, 5, FALSE), ""), "")</f>
        <v/>
      </c>
      <c r="G49" s="79"/>
      <c r="H49" s="66"/>
      <c r="I49" s="66"/>
      <c r="J49" s="79"/>
      <c r="K49" s="79"/>
      <c r="L49" s="40"/>
      <c r="M49" s="40"/>
      <c r="N49" s="79"/>
      <c r="O49" s="79"/>
      <c r="P49" s="40"/>
      <c r="Q49" s="40" t="s">
        <v>19</v>
      </c>
      <c r="R49" s="79"/>
      <c r="S49" s="66"/>
      <c r="T49" s="79"/>
    </row>
    <row r="50" spans="2:20" ht="60" customHeight="1" x14ac:dyDescent="0.35">
      <c r="B50" s="38" t="s">
        <v>440</v>
      </c>
      <c r="C50" s="77"/>
      <c r="D50" s="78"/>
      <c r="E50" s="78" t="s">
        <v>19</v>
      </c>
      <c r="F50" s="78" t="str">
        <f>IF(E50&lt;&gt;"", IFERROR(VLOOKUP(E50, Dashboard!$B29:$F34, 5, FALSE), ""), "")</f>
        <v/>
      </c>
      <c r="G50" s="79"/>
      <c r="H50" s="66"/>
      <c r="I50" s="66"/>
      <c r="J50" s="79"/>
      <c r="K50" s="79"/>
      <c r="L50" s="40"/>
      <c r="M50" s="40"/>
      <c r="N50" s="79"/>
      <c r="O50" s="79"/>
      <c r="P50" s="40"/>
      <c r="Q50" s="40" t="s">
        <v>19</v>
      </c>
      <c r="R50" s="79"/>
      <c r="S50" s="66"/>
      <c r="T50" s="79"/>
    </row>
    <row r="51" spans="2:20" ht="60" customHeight="1" x14ac:dyDescent="0.35">
      <c r="B51" s="38" t="s">
        <v>441</v>
      </c>
      <c r="C51" s="77"/>
      <c r="D51" s="78"/>
      <c r="E51" s="78" t="s">
        <v>19</v>
      </c>
      <c r="F51" s="78" t="str">
        <f>IF(E51&lt;&gt;"", IFERROR(VLOOKUP(E51, Dashboard!$B29:$F34, 5, FALSE), ""), "")</f>
        <v/>
      </c>
      <c r="G51" s="79"/>
      <c r="H51" s="66"/>
      <c r="I51" s="66"/>
      <c r="J51" s="79"/>
      <c r="K51" s="79"/>
      <c r="L51" s="40"/>
      <c r="M51" s="40"/>
      <c r="N51" s="79"/>
      <c r="O51" s="79"/>
      <c r="P51" s="40"/>
      <c r="Q51" s="40" t="s">
        <v>19</v>
      </c>
      <c r="R51" s="79"/>
      <c r="S51" s="66"/>
      <c r="T51" s="79"/>
    </row>
    <row r="52" spans="2:20" ht="60" customHeight="1" x14ac:dyDescent="0.35">
      <c r="B52" s="38" t="s">
        <v>442</v>
      </c>
      <c r="C52" s="77"/>
      <c r="D52" s="78"/>
      <c r="E52" s="78" t="s">
        <v>19</v>
      </c>
      <c r="F52" s="78" t="str">
        <f>IF(E52&lt;&gt;"", IFERROR(VLOOKUP(E52, Dashboard!$B29:$F34, 5, FALSE), ""), "")</f>
        <v/>
      </c>
      <c r="G52" s="79"/>
      <c r="H52" s="66"/>
      <c r="I52" s="66"/>
      <c r="J52" s="79"/>
      <c r="K52" s="79"/>
      <c r="L52" s="40"/>
      <c r="M52" s="40"/>
      <c r="N52" s="79"/>
      <c r="O52" s="79"/>
      <c r="P52" s="40"/>
      <c r="Q52" s="40" t="s">
        <v>19</v>
      </c>
      <c r="R52" s="79"/>
      <c r="S52" s="66"/>
      <c r="T52" s="79"/>
    </row>
    <row r="53" spans="2:20" ht="60" customHeight="1" x14ac:dyDescent="0.35">
      <c r="B53" s="38" t="s">
        <v>443</v>
      </c>
      <c r="C53" s="77"/>
      <c r="D53" s="78"/>
      <c r="E53" s="78" t="s">
        <v>19</v>
      </c>
      <c r="F53" s="78" t="str">
        <f>IF(E53&lt;&gt;"", IFERROR(VLOOKUP(E53, Dashboard!$B29:$F34, 5, FALSE), ""), "")</f>
        <v/>
      </c>
      <c r="G53" s="79"/>
      <c r="H53" s="66"/>
      <c r="I53" s="66"/>
      <c r="J53" s="79"/>
      <c r="K53" s="79"/>
      <c r="L53" s="40"/>
      <c r="M53" s="40"/>
      <c r="N53" s="79"/>
      <c r="O53" s="79"/>
      <c r="P53" s="40"/>
      <c r="Q53" s="40" t="s">
        <v>19</v>
      </c>
      <c r="R53" s="79"/>
      <c r="S53" s="66"/>
      <c r="T53" s="79"/>
    </row>
    <row r="54" spans="2:20" ht="60" customHeight="1" x14ac:dyDescent="0.35">
      <c r="B54" s="38" t="s">
        <v>444</v>
      </c>
      <c r="C54" s="77"/>
      <c r="D54" s="78"/>
      <c r="E54" s="78" t="s">
        <v>19</v>
      </c>
      <c r="F54" s="78" t="str">
        <f>IF(E54&lt;&gt;"", IFERROR(VLOOKUP(E54, Dashboard!$B29:$F34, 5, FALSE), ""), "")</f>
        <v/>
      </c>
      <c r="G54" s="79"/>
      <c r="H54" s="66"/>
      <c r="I54" s="66"/>
      <c r="J54" s="79"/>
      <c r="K54" s="79"/>
      <c r="L54" s="40"/>
      <c r="M54" s="40"/>
      <c r="N54" s="79"/>
      <c r="O54" s="79"/>
      <c r="P54" s="40"/>
      <c r="Q54" s="40" t="s">
        <v>19</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55" t="s">
        <v>209</v>
      </c>
      <c r="C58" s="255"/>
      <c r="D58" s="255"/>
      <c r="E58" s="255"/>
      <c r="F58" s="255"/>
      <c r="G58" s="255"/>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1" priority="8">
      <formula>AND(OR($Q5="In Progress",$Q5="Testing"),ISBLANK($H5))</formula>
    </cfRule>
  </conditionalFormatting>
  <conditionalFormatting sqref="I5:I1000">
    <cfRule type="expression" dxfId="50" priority="10">
      <formula>AND(NOT(ISBLANK($I5)),$I5&lt;TODAY(),NOT(OR($Q5="Completed",$Q5="Cancelled")))</formula>
    </cfRule>
  </conditionalFormatting>
  <conditionalFormatting sqref="P5:P1000">
    <cfRule type="expression" dxfId="49" priority="9">
      <formula>AND($L5="Prod",ISBLANK($P5))</formula>
    </cfRule>
  </conditionalFormatting>
  <conditionalFormatting sqref="Q5:Q1000">
    <cfRule type="containsText" dxfId="48" priority="1" operator="containsText" text="Planning">
      <formula>NOT(ISERROR(SEARCH("Planning",Q5)))</formula>
    </cfRule>
    <cfRule type="containsText" dxfId="47" priority="2" operator="containsText" text="In Progress">
      <formula>NOT(ISERROR(SEARCH("In Progress",Q5)))</formula>
    </cfRule>
    <cfRule type="containsText" dxfId="46" priority="3" operator="containsText" text="Testing">
      <formula>NOT(ISERROR(SEARCH("Testing",Q5)))</formula>
    </cfRule>
    <cfRule type="containsText" dxfId="45" priority="4" operator="containsText" text="Completed">
      <formula>NOT(ISERROR(SEARCH("Completed",Q5)))</formula>
    </cfRule>
    <cfRule type="containsText" dxfId="44" priority="5" operator="containsText" text="On Hold">
      <formula>NOT(ISERROR(SEARCH("On Hold",Q5)))</formula>
    </cfRule>
    <cfRule type="containsText" dxfId="43" priority="6" operator="containsText" text="Cancelled">
      <formula>NOT(ISERROR(SEARCH("Cancelled",Q5)))</formula>
    </cfRule>
  </conditionalFormatting>
  <conditionalFormatting sqref="S5:S1000">
    <cfRule type="expression" dxfId="42"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445</v>
      </c>
      <c r="B1" s="104" t="s">
        <v>0</v>
      </c>
      <c r="C1" s="104" t="s">
        <v>446</v>
      </c>
      <c r="D1" s="104" t="s">
        <v>9</v>
      </c>
      <c r="E1" s="104" t="s">
        <v>447</v>
      </c>
      <c r="F1" s="104" t="s">
        <v>448</v>
      </c>
      <c r="G1" s="104" t="s">
        <v>449</v>
      </c>
      <c r="H1" s="104" t="s">
        <v>450</v>
      </c>
      <c r="I1" s="104" t="s">
        <v>451</v>
      </c>
      <c r="J1" s="104" t="s">
        <v>452</v>
      </c>
      <c r="K1" s="104" t="s">
        <v>453</v>
      </c>
      <c r="L1" s="104" t="s">
        <v>454</v>
      </c>
      <c r="M1" s="104" t="s">
        <v>455</v>
      </c>
      <c r="N1" s="104" t="s">
        <v>456</v>
      </c>
      <c r="O1" s="104" t="s">
        <v>457</v>
      </c>
      <c r="P1" s="104" t="s">
        <v>458</v>
      </c>
      <c r="Q1" s="104" t="s">
        <v>459</v>
      </c>
      <c r="R1" s="104" t="s">
        <v>460</v>
      </c>
      <c r="S1" s="104" t="s">
        <v>461</v>
      </c>
      <c r="T1" s="104" t="s">
        <v>462</v>
      </c>
      <c r="U1" s="104" t="s">
        <v>463</v>
      </c>
      <c r="V1" s="104" t="s">
        <v>464</v>
      </c>
      <c r="W1" s="104" t="s">
        <v>465</v>
      </c>
      <c r="X1" s="104" t="s">
        <v>466</v>
      </c>
      <c r="Y1" s="104" t="s">
        <v>467</v>
      </c>
      <c r="Z1" s="104" t="s">
        <v>468</v>
      </c>
      <c r="AA1" s="104" t="s">
        <v>469</v>
      </c>
      <c r="AB1" s="104" t="s">
        <v>470</v>
      </c>
      <c r="AC1" s="104" t="s">
        <v>471</v>
      </c>
      <c r="AD1" s="104" t="s">
        <v>472</v>
      </c>
      <c r="AE1" s="104" t="s">
        <v>473</v>
      </c>
      <c r="AF1" s="104" t="s">
        <v>474</v>
      </c>
      <c r="AG1" s="104" t="s">
        <v>475</v>
      </c>
      <c r="AH1" s="104" t="s">
        <v>476</v>
      </c>
      <c r="AI1" s="104" t="s">
        <v>477</v>
      </c>
      <c r="AJ1" s="104" t="s">
        <v>478</v>
      </c>
      <c r="AK1" s="104" t="s">
        <v>479</v>
      </c>
      <c r="AL1" s="104" t="s">
        <v>480</v>
      </c>
      <c r="AM1" s="104" t="s">
        <v>481</v>
      </c>
      <c r="AN1" s="104" t="s">
        <v>482</v>
      </c>
      <c r="AO1" s="104" t="s">
        <v>483</v>
      </c>
      <c r="AP1" s="104" t="s">
        <v>484</v>
      </c>
      <c r="AQ1" s="104" t="s">
        <v>485</v>
      </c>
      <c r="AR1" s="104" t="s">
        <v>486</v>
      </c>
      <c r="AS1" s="104" t="s">
        <v>487</v>
      </c>
      <c r="AT1" s="104" t="s">
        <v>488</v>
      </c>
      <c r="AU1" s="104" t="s">
        <v>489</v>
      </c>
      <c r="AV1" s="104" t="s">
        <v>490</v>
      </c>
      <c r="AW1" s="105" t="s">
        <v>491</v>
      </c>
    </row>
    <row r="2" spans="1:49" ht="60" customHeight="1" outlineLevel="1" x14ac:dyDescent="0.35">
      <c r="A2" s="97" t="s">
        <v>492</v>
      </c>
      <c r="B2" s="80">
        <v>1</v>
      </c>
      <c r="C2" s="82" t="s">
        <v>19</v>
      </c>
      <c r="D2" s="84" t="s">
        <v>493</v>
      </c>
      <c r="E2" s="84" t="s">
        <v>19</v>
      </c>
      <c r="F2" s="80" t="s">
        <v>19</v>
      </c>
      <c r="G2" s="80" t="s">
        <v>19</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492</v>
      </c>
      <c r="B3" s="81" t="s">
        <v>494</v>
      </c>
      <c r="C3" s="83" t="s">
        <v>495</v>
      </c>
      <c r="D3" s="85" t="s">
        <v>496</v>
      </c>
      <c r="E3" s="85" t="s">
        <v>497</v>
      </c>
      <c r="F3" s="86" t="s">
        <v>498</v>
      </c>
      <c r="G3" s="86" t="s">
        <v>499</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492</v>
      </c>
      <c r="B4" s="81" t="s">
        <v>500</v>
      </c>
      <c r="C4" s="83" t="s">
        <v>501</v>
      </c>
      <c r="D4" s="85" t="s">
        <v>502</v>
      </c>
      <c r="E4" s="85" t="s">
        <v>503</v>
      </c>
      <c r="F4" s="86" t="s">
        <v>498</v>
      </c>
      <c r="G4" s="86" t="s">
        <v>504</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492</v>
      </c>
      <c r="B5" s="81" t="s">
        <v>505</v>
      </c>
      <c r="C5" s="83" t="s">
        <v>506</v>
      </c>
      <c r="D5" s="85" t="s">
        <v>507</v>
      </c>
      <c r="E5" s="85" t="s">
        <v>508</v>
      </c>
      <c r="F5" s="86" t="s">
        <v>498</v>
      </c>
      <c r="G5" s="86" t="s">
        <v>509</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492</v>
      </c>
      <c r="B6" s="81" t="s">
        <v>510</v>
      </c>
      <c r="C6" s="83" t="s">
        <v>511</v>
      </c>
      <c r="D6" s="85" t="s">
        <v>512</v>
      </c>
      <c r="E6" s="85" t="s">
        <v>513</v>
      </c>
      <c r="F6" s="86" t="s">
        <v>498</v>
      </c>
      <c r="G6" s="86" t="s">
        <v>499</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492</v>
      </c>
      <c r="B7" s="81" t="s">
        <v>514</v>
      </c>
      <c r="C7" s="83" t="s">
        <v>515</v>
      </c>
      <c r="D7" s="85" t="s">
        <v>516</v>
      </c>
      <c r="E7" s="85" t="s">
        <v>517</v>
      </c>
      <c r="F7" s="86" t="s">
        <v>498</v>
      </c>
      <c r="G7" s="86" t="s">
        <v>509</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518</v>
      </c>
      <c r="B8" s="80">
        <v>2</v>
      </c>
      <c r="C8" s="82" t="s">
        <v>19</v>
      </c>
      <c r="D8" s="84" t="s">
        <v>519</v>
      </c>
      <c r="E8" s="84" t="s">
        <v>19</v>
      </c>
      <c r="F8" s="80" t="s">
        <v>19</v>
      </c>
      <c r="G8" s="80" t="s">
        <v>19</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518</v>
      </c>
      <c r="B9" s="81" t="s">
        <v>520</v>
      </c>
      <c r="C9" s="83" t="s">
        <v>521</v>
      </c>
      <c r="D9" s="85" t="s">
        <v>522</v>
      </c>
      <c r="E9" s="85" t="s">
        <v>523</v>
      </c>
      <c r="F9" s="86" t="s">
        <v>524</v>
      </c>
      <c r="G9" s="86" t="s">
        <v>499</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518</v>
      </c>
      <c r="B10" s="81" t="s">
        <v>525</v>
      </c>
      <c r="C10" s="83" t="s">
        <v>526</v>
      </c>
      <c r="D10" s="85" t="s">
        <v>527</v>
      </c>
      <c r="E10" s="85" t="s">
        <v>528</v>
      </c>
      <c r="F10" s="86" t="s">
        <v>524</v>
      </c>
      <c r="G10" s="86" t="s">
        <v>499</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518</v>
      </c>
      <c r="B11" s="81" t="s">
        <v>529</v>
      </c>
      <c r="C11" s="83" t="s">
        <v>530</v>
      </c>
      <c r="D11" s="85" t="s">
        <v>531</v>
      </c>
      <c r="E11" s="85" t="s">
        <v>532</v>
      </c>
      <c r="F11" s="86" t="s">
        <v>524</v>
      </c>
      <c r="G11" s="86" t="s">
        <v>504</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518</v>
      </c>
      <c r="B12" s="81" t="s">
        <v>533</v>
      </c>
      <c r="C12" s="83" t="s">
        <v>534</v>
      </c>
      <c r="D12" s="85" t="s">
        <v>535</v>
      </c>
      <c r="E12" s="85" t="s">
        <v>536</v>
      </c>
      <c r="F12" s="86" t="s">
        <v>524</v>
      </c>
      <c r="G12" s="86" t="s">
        <v>509</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518</v>
      </c>
      <c r="B13" s="81" t="s">
        <v>537</v>
      </c>
      <c r="C13" s="83" t="s">
        <v>538</v>
      </c>
      <c r="D13" s="85" t="s">
        <v>539</v>
      </c>
      <c r="E13" s="85" t="s">
        <v>540</v>
      </c>
      <c r="F13" s="86" t="s">
        <v>524</v>
      </c>
      <c r="G13" s="86" t="s">
        <v>541</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518</v>
      </c>
      <c r="B14" s="81" t="s">
        <v>542</v>
      </c>
      <c r="C14" s="83" t="s">
        <v>543</v>
      </c>
      <c r="D14" s="85" t="s">
        <v>544</v>
      </c>
      <c r="E14" s="85" t="s">
        <v>545</v>
      </c>
      <c r="F14" s="86" t="s">
        <v>524</v>
      </c>
      <c r="G14" s="86" t="s">
        <v>541</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518</v>
      </c>
      <c r="B15" s="81" t="s">
        <v>546</v>
      </c>
      <c r="C15" s="83" t="s">
        <v>547</v>
      </c>
      <c r="D15" s="85" t="s">
        <v>548</v>
      </c>
      <c r="E15" s="85" t="s">
        <v>549</v>
      </c>
      <c r="F15" s="86" t="s">
        <v>524</v>
      </c>
      <c r="G15" s="86" t="s">
        <v>541</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550</v>
      </c>
      <c r="B16" s="80">
        <v>3</v>
      </c>
      <c r="C16" s="82" t="s">
        <v>19</v>
      </c>
      <c r="D16" s="84" t="s">
        <v>551</v>
      </c>
      <c r="E16" s="84" t="s">
        <v>19</v>
      </c>
      <c r="F16" s="80" t="s">
        <v>19</v>
      </c>
      <c r="G16" s="80" t="s">
        <v>19</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550</v>
      </c>
      <c r="B17" s="81" t="s">
        <v>552</v>
      </c>
      <c r="C17" s="83" t="s">
        <v>553</v>
      </c>
      <c r="D17" s="85" t="s">
        <v>554</v>
      </c>
      <c r="E17" s="85" t="s">
        <v>555</v>
      </c>
      <c r="F17" s="86" t="s">
        <v>556</v>
      </c>
      <c r="G17" s="86" t="s">
        <v>557</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550</v>
      </c>
      <c r="B18" s="81" t="s">
        <v>558</v>
      </c>
      <c r="C18" s="83" t="s">
        <v>559</v>
      </c>
      <c r="D18" s="85" t="s">
        <v>560</v>
      </c>
      <c r="E18" s="85" t="s">
        <v>561</v>
      </c>
      <c r="F18" s="86" t="s">
        <v>556</v>
      </c>
      <c r="G18" s="86" t="s">
        <v>499</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550</v>
      </c>
      <c r="B19" s="81" t="s">
        <v>562</v>
      </c>
      <c r="C19" s="83" t="s">
        <v>563</v>
      </c>
      <c r="D19" s="85" t="s">
        <v>564</v>
      </c>
      <c r="E19" s="85" t="s">
        <v>565</v>
      </c>
      <c r="F19" s="86" t="s">
        <v>556</v>
      </c>
      <c r="G19" s="86" t="s">
        <v>541</v>
      </c>
      <c r="H19" s="86">
        <v>1</v>
      </c>
      <c r="I19" s="88" t="str">
        <f>IF(COUNTIF(J19:AW19,"&lt;&gt;")=0,"",SUMPRODUCT(((Recommendations[ImplStatus]="Implemented")+(Recommendations[ImplStatus]="Compensated"))*ISNUMBER(MATCH(Recommendations[Id],J19:AW19,0)))/COUNTIF(J19:AW19,"&lt;&gt;"))</f>
        <v/>
      </c>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550</v>
      </c>
      <c r="B20" s="81" t="s">
        <v>566</v>
      </c>
      <c r="C20" s="83" t="s">
        <v>567</v>
      </c>
      <c r="D20" s="85" t="s">
        <v>568</v>
      </c>
      <c r="E20" s="85" t="s">
        <v>569</v>
      </c>
      <c r="F20" s="86" t="s">
        <v>556</v>
      </c>
      <c r="G20" s="86" t="s">
        <v>541</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550</v>
      </c>
      <c r="B21" s="81" t="s">
        <v>570</v>
      </c>
      <c r="C21" s="83" t="s">
        <v>571</v>
      </c>
      <c r="D21" s="85" t="s">
        <v>572</v>
      </c>
      <c r="E21" s="85" t="s">
        <v>573</v>
      </c>
      <c r="F21" s="86" t="s">
        <v>556</v>
      </c>
      <c r="G21" s="86" t="s">
        <v>541</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550</v>
      </c>
      <c r="B22" s="81" t="s">
        <v>574</v>
      </c>
      <c r="C22" s="83" t="s">
        <v>575</v>
      </c>
      <c r="D22" s="85" t="s">
        <v>576</v>
      </c>
      <c r="E22" s="85" t="s">
        <v>577</v>
      </c>
      <c r="F22" s="86" t="s">
        <v>556</v>
      </c>
      <c r="G22" s="86" t="s">
        <v>541</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550</v>
      </c>
      <c r="B23" s="81" t="s">
        <v>578</v>
      </c>
      <c r="C23" s="83" t="s">
        <v>579</v>
      </c>
      <c r="D23" s="85" t="s">
        <v>580</v>
      </c>
      <c r="E23" s="85" t="s">
        <v>581</v>
      </c>
      <c r="F23" s="86" t="s">
        <v>556</v>
      </c>
      <c r="G23" s="86" t="s">
        <v>499</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550</v>
      </c>
      <c r="B24" s="81" t="s">
        <v>582</v>
      </c>
      <c r="C24" s="83" t="s">
        <v>583</v>
      </c>
      <c r="D24" s="85" t="s">
        <v>584</v>
      </c>
      <c r="E24" s="85" t="s">
        <v>585</v>
      </c>
      <c r="F24" s="86" t="s">
        <v>556</v>
      </c>
      <c r="G24" s="86" t="s">
        <v>499</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550</v>
      </c>
      <c r="B25" s="81" t="s">
        <v>586</v>
      </c>
      <c r="C25" s="83" t="s">
        <v>587</v>
      </c>
      <c r="D25" s="85" t="s">
        <v>588</v>
      </c>
      <c r="E25" s="85" t="s">
        <v>589</v>
      </c>
      <c r="F25" s="86" t="s">
        <v>556</v>
      </c>
      <c r="G25" s="86" t="s">
        <v>541</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550</v>
      </c>
      <c r="B26" s="81" t="s">
        <v>590</v>
      </c>
      <c r="C26" s="83" t="s">
        <v>591</v>
      </c>
      <c r="D26" s="85" t="s">
        <v>592</v>
      </c>
      <c r="E26" s="85" t="s">
        <v>593</v>
      </c>
      <c r="F26" s="86" t="s">
        <v>556</v>
      </c>
      <c r="G26" s="86" t="s">
        <v>541</v>
      </c>
      <c r="H26" s="86">
        <v>2</v>
      </c>
      <c r="I26" s="88" t="str">
        <f>IF(COUNTIF(J26:AW26,"&lt;&gt;")=0,"",SUMPRODUCT(((Recommendations[ImplStatus]="Implemented")+(Recommendations[ImplStatus]="Compensated"))*ISNUMBER(MATCH(Recommendations[Id],J26:AW26,0)))/COUNTIF(J26:AW26,"&lt;&gt;"))</f>
        <v/>
      </c>
      <c r="J26" s="90"/>
      <c r="K26" s="90"/>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550</v>
      </c>
      <c r="B27" s="81" t="s">
        <v>594</v>
      </c>
      <c r="C27" s="83" t="s">
        <v>595</v>
      </c>
      <c r="D27" s="85" t="s">
        <v>596</v>
      </c>
      <c r="E27" s="85" t="s">
        <v>597</v>
      </c>
      <c r="F27" s="86" t="s">
        <v>556</v>
      </c>
      <c r="G27" s="86" t="s">
        <v>541</v>
      </c>
      <c r="H27" s="86">
        <v>2</v>
      </c>
      <c r="I27" s="88" t="str">
        <f>IF(COUNTIF(J27:AW27,"&lt;&gt;")=0,"",SUMPRODUCT(((Recommendations[ImplStatus]="Implemented")+(Recommendations[ImplStatus]="Compensated"))*ISNUMBER(MATCH(Recommendations[Id],J27:AW27,0)))/COUNTIF(J27:AW27,"&lt;&gt;"))</f>
        <v/>
      </c>
      <c r="J27" s="90"/>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550</v>
      </c>
      <c r="B28" s="81" t="s">
        <v>598</v>
      </c>
      <c r="C28" s="83" t="s">
        <v>599</v>
      </c>
      <c r="D28" s="85" t="s">
        <v>600</v>
      </c>
      <c r="E28" s="85" t="s">
        <v>601</v>
      </c>
      <c r="F28" s="86" t="s">
        <v>556</v>
      </c>
      <c r="G28" s="86" t="s">
        <v>541</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550</v>
      </c>
      <c r="B29" s="81" t="s">
        <v>602</v>
      </c>
      <c r="C29" s="83" t="s">
        <v>603</v>
      </c>
      <c r="D29" s="85" t="s">
        <v>604</v>
      </c>
      <c r="E29" s="85" t="s">
        <v>605</v>
      </c>
      <c r="F29" s="86" t="s">
        <v>556</v>
      </c>
      <c r="G29" s="86" t="s">
        <v>541</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550</v>
      </c>
      <c r="B30" s="81" t="s">
        <v>606</v>
      </c>
      <c r="C30" s="83" t="s">
        <v>607</v>
      </c>
      <c r="D30" s="85" t="s">
        <v>608</v>
      </c>
      <c r="E30" s="85" t="s">
        <v>609</v>
      </c>
      <c r="F30" s="86" t="s">
        <v>556</v>
      </c>
      <c r="G30" s="86" t="s">
        <v>509</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610</v>
      </c>
      <c r="B31" s="80">
        <v>4</v>
      </c>
      <c r="C31" s="82" t="s">
        <v>19</v>
      </c>
      <c r="D31" s="84" t="s">
        <v>611</v>
      </c>
      <c r="E31" s="84" t="s">
        <v>19</v>
      </c>
      <c r="F31" s="80" t="s">
        <v>19</v>
      </c>
      <c r="G31" s="80" t="s">
        <v>19</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610</v>
      </c>
      <c r="B32" s="81" t="s">
        <v>612</v>
      </c>
      <c r="C32" s="83" t="s">
        <v>613</v>
      </c>
      <c r="D32" s="85" t="s">
        <v>614</v>
      </c>
      <c r="E32" s="85" t="s">
        <v>615</v>
      </c>
      <c r="F32" s="86" t="s">
        <v>616</v>
      </c>
      <c r="G32" s="86" t="s">
        <v>557</v>
      </c>
      <c r="H32" s="86">
        <v>1</v>
      </c>
      <c r="I32" s="88">
        <f>IF(COUNTIF(J32:AW32,"&lt;&gt;")=0,"",SUMPRODUCT(((Recommendations[ImplStatus]="Implemented")+(Recommendations[ImplStatus]="Compensated"))*ISNUMBER(MATCH(Recommendations[Id],J32:AW32,0)))/COUNTIF(J32:AW32,"&lt;&gt;"))</f>
        <v>0</v>
      </c>
      <c r="J32" s="90" t="s">
        <v>199</v>
      </c>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610</v>
      </c>
      <c r="B33" s="81" t="s">
        <v>617</v>
      </c>
      <c r="C33" s="83" t="s">
        <v>618</v>
      </c>
      <c r="D33" s="85" t="s">
        <v>619</v>
      </c>
      <c r="E33" s="85" t="s">
        <v>620</v>
      </c>
      <c r="F33" s="86" t="s">
        <v>616</v>
      </c>
      <c r="G33" s="86" t="s">
        <v>557</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610</v>
      </c>
      <c r="B34" s="81" t="s">
        <v>621</v>
      </c>
      <c r="C34" s="83" t="s">
        <v>622</v>
      </c>
      <c r="D34" s="85" t="s">
        <v>623</v>
      </c>
      <c r="E34" s="85" t="s">
        <v>624</v>
      </c>
      <c r="F34" s="86" t="s">
        <v>498</v>
      </c>
      <c r="G34" s="86" t="s">
        <v>541</v>
      </c>
      <c r="H34" s="86">
        <v>1</v>
      </c>
      <c r="I34" s="88" t="str">
        <f>IF(COUNTIF(J34:AW34,"&lt;&gt;")=0,"",SUMPRODUCT(((Recommendations[ImplStatus]="Implemented")+(Recommendations[ImplStatus]="Compensated"))*ISNUMBER(MATCH(Recommendations[Id],J34:AW34,0)))/COUNTIF(J34:AW34,"&lt;&gt;"))</f>
        <v/>
      </c>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610</v>
      </c>
      <c r="B35" s="81" t="s">
        <v>625</v>
      </c>
      <c r="C35" s="83" t="s">
        <v>626</v>
      </c>
      <c r="D35" s="85" t="s">
        <v>627</v>
      </c>
      <c r="E35" s="85" t="s">
        <v>628</v>
      </c>
      <c r="F35" s="86" t="s">
        <v>498</v>
      </c>
      <c r="G35" s="86" t="s">
        <v>541</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610</v>
      </c>
      <c r="B36" s="81" t="s">
        <v>629</v>
      </c>
      <c r="C36" s="83" t="s">
        <v>630</v>
      </c>
      <c r="D36" s="85" t="s">
        <v>631</v>
      </c>
      <c r="E36" s="85" t="s">
        <v>632</v>
      </c>
      <c r="F36" s="86" t="s">
        <v>498</v>
      </c>
      <c r="G36" s="86" t="s">
        <v>541</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610</v>
      </c>
      <c r="B37" s="81" t="s">
        <v>633</v>
      </c>
      <c r="C37" s="83" t="s">
        <v>634</v>
      </c>
      <c r="D37" s="85" t="s">
        <v>635</v>
      </c>
      <c r="E37" s="85" t="s">
        <v>636</v>
      </c>
      <c r="F37" s="86" t="s">
        <v>498</v>
      </c>
      <c r="G37" s="86" t="s">
        <v>541</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610</v>
      </c>
      <c r="B38" s="81" t="s">
        <v>637</v>
      </c>
      <c r="C38" s="83" t="s">
        <v>638</v>
      </c>
      <c r="D38" s="85" t="s">
        <v>639</v>
      </c>
      <c r="E38" s="85" t="s">
        <v>640</v>
      </c>
      <c r="F38" s="86" t="s">
        <v>641</v>
      </c>
      <c r="G38" s="86" t="s">
        <v>541</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610</v>
      </c>
      <c r="B39" s="81" t="s">
        <v>642</v>
      </c>
      <c r="C39" s="83" t="s">
        <v>643</v>
      </c>
      <c r="D39" s="85" t="s">
        <v>644</v>
      </c>
      <c r="E39" s="85" t="s">
        <v>645</v>
      </c>
      <c r="F39" s="86" t="s">
        <v>498</v>
      </c>
      <c r="G39" s="86" t="s">
        <v>541</v>
      </c>
      <c r="H39" s="86">
        <v>2</v>
      </c>
      <c r="I39" s="88">
        <f>IF(COUNTIF(J39:AW39,"&lt;&gt;")=0,"",SUMPRODUCT(((Recommendations[ImplStatus]="Implemented")+(Recommendations[ImplStatus]="Compensated"))*ISNUMBER(MATCH(Recommendations[Id],J39:AW39,0)))/COUNTIF(J39:AW39,"&lt;&gt;"))</f>
        <v>0</v>
      </c>
      <c r="J39" s="90" t="s">
        <v>135</v>
      </c>
      <c r="K39" s="90" t="s">
        <v>140</v>
      </c>
      <c r="L39" s="90" t="s">
        <v>144</v>
      </c>
      <c r="M39" s="90" t="s">
        <v>148</v>
      </c>
      <c r="N39" s="90" t="s">
        <v>152</v>
      </c>
      <c r="O39" s="90" t="s">
        <v>161</v>
      </c>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610</v>
      </c>
      <c r="B40" s="81" t="s">
        <v>646</v>
      </c>
      <c r="C40" s="83" t="s">
        <v>647</v>
      </c>
      <c r="D40" s="85" t="s">
        <v>648</v>
      </c>
      <c r="E40" s="85" t="s">
        <v>649</v>
      </c>
      <c r="F40" s="86" t="s">
        <v>498</v>
      </c>
      <c r="G40" s="86" t="s">
        <v>541</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610</v>
      </c>
      <c r="B41" s="81" t="s">
        <v>650</v>
      </c>
      <c r="C41" s="83" t="s">
        <v>651</v>
      </c>
      <c r="D41" s="85" t="s">
        <v>652</v>
      </c>
      <c r="E41" s="85" t="s">
        <v>653</v>
      </c>
      <c r="F41" s="86" t="s">
        <v>498</v>
      </c>
      <c r="G41" s="86" t="s">
        <v>541</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610</v>
      </c>
      <c r="B42" s="81" t="s">
        <v>654</v>
      </c>
      <c r="C42" s="83" t="s">
        <v>655</v>
      </c>
      <c r="D42" s="85" t="s">
        <v>656</v>
      </c>
      <c r="E42" s="85" t="s">
        <v>657</v>
      </c>
      <c r="F42" s="86" t="s">
        <v>556</v>
      </c>
      <c r="G42" s="86" t="s">
        <v>541</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610</v>
      </c>
      <c r="B43" s="81" t="s">
        <v>658</v>
      </c>
      <c r="C43" s="83" t="s">
        <v>659</v>
      </c>
      <c r="D43" s="85" t="s">
        <v>660</v>
      </c>
      <c r="E43" s="85" t="s">
        <v>661</v>
      </c>
      <c r="F43" s="86" t="s">
        <v>556</v>
      </c>
      <c r="G43" s="86" t="s">
        <v>541</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662</v>
      </c>
      <c r="B44" s="80">
        <v>5</v>
      </c>
      <c r="C44" s="82" t="s">
        <v>19</v>
      </c>
      <c r="D44" s="84" t="s">
        <v>663</v>
      </c>
      <c r="E44" s="84" t="s">
        <v>19</v>
      </c>
      <c r="F44" s="80" t="s">
        <v>19</v>
      </c>
      <c r="G44" s="80" t="s">
        <v>19</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662</v>
      </c>
      <c r="B45" s="81" t="s">
        <v>664</v>
      </c>
      <c r="C45" s="83" t="s">
        <v>665</v>
      </c>
      <c r="D45" s="85" t="s">
        <v>666</v>
      </c>
      <c r="E45" s="85" t="s">
        <v>667</v>
      </c>
      <c r="F45" s="86" t="s">
        <v>641</v>
      </c>
      <c r="G45" s="86" t="s">
        <v>499</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662</v>
      </c>
      <c r="B46" s="81" t="s">
        <v>668</v>
      </c>
      <c r="C46" s="83" t="s">
        <v>669</v>
      </c>
      <c r="D46" s="85" t="s">
        <v>670</v>
      </c>
      <c r="E46" s="85" t="s">
        <v>671</v>
      </c>
      <c r="F46" s="86" t="s">
        <v>641</v>
      </c>
      <c r="G46" s="86" t="s">
        <v>541</v>
      </c>
      <c r="H46" s="86">
        <v>1</v>
      </c>
      <c r="I46" s="88" t="str">
        <f>IF(COUNTIF(J46:AW46,"&lt;&gt;")=0,"",SUMPRODUCT(((Recommendations[ImplStatus]="Implemented")+(Recommendations[ImplStatus]="Compensated"))*ISNUMBER(MATCH(Recommendations[Id],J46:AW46,0)))/COUNTIF(J46:AW46,"&lt;&gt;"))</f>
        <v/>
      </c>
      <c r="J46" s="90"/>
      <c r="K46" s="90"/>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662</v>
      </c>
      <c r="B47" s="81" t="s">
        <v>672</v>
      </c>
      <c r="C47" s="83" t="s">
        <v>673</v>
      </c>
      <c r="D47" s="85" t="s">
        <v>674</v>
      </c>
      <c r="E47" s="85" t="s">
        <v>675</v>
      </c>
      <c r="F47" s="86" t="s">
        <v>641</v>
      </c>
      <c r="G47" s="86" t="s">
        <v>541</v>
      </c>
      <c r="H47" s="86">
        <v>1</v>
      </c>
      <c r="I47" s="88" t="str">
        <f>IF(COUNTIF(J47:AW47,"&lt;&gt;")=0,"",SUMPRODUCT(((Recommendations[ImplStatus]="Implemented")+(Recommendations[ImplStatus]="Compensated"))*ISNUMBER(MATCH(Recommendations[Id],J47:AW47,0)))/COUNTIF(J47:AW47,"&lt;&gt;"))</f>
        <v/>
      </c>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662</v>
      </c>
      <c r="B48" s="81" t="s">
        <v>676</v>
      </c>
      <c r="C48" s="83" t="s">
        <v>677</v>
      </c>
      <c r="D48" s="85" t="s">
        <v>678</v>
      </c>
      <c r="E48" s="85" t="s">
        <v>679</v>
      </c>
      <c r="F48" s="86" t="s">
        <v>641</v>
      </c>
      <c r="G48" s="86" t="s">
        <v>541</v>
      </c>
      <c r="H48" s="86">
        <v>1</v>
      </c>
      <c r="I48" s="88">
        <f>IF(COUNTIF(J48:AW48,"&lt;&gt;")=0,"",SUMPRODUCT(((Recommendations[ImplStatus]="Implemented")+(Recommendations[ImplStatus]="Compensated"))*ISNUMBER(MATCH(Recommendations[Id],J48:AW48,0)))/COUNTIF(J48:AW48,"&lt;&gt;"))</f>
        <v>0</v>
      </c>
      <c r="J48" s="90" t="s">
        <v>204</v>
      </c>
      <c r="K48" s="90"/>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662</v>
      </c>
      <c r="B49" s="81" t="s">
        <v>680</v>
      </c>
      <c r="C49" s="83" t="s">
        <v>681</v>
      </c>
      <c r="D49" s="85" t="s">
        <v>682</v>
      </c>
      <c r="E49" s="85" t="s">
        <v>683</v>
      </c>
      <c r="F49" s="86" t="s">
        <v>641</v>
      </c>
      <c r="G49" s="86" t="s">
        <v>499</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662</v>
      </c>
      <c r="B50" s="81" t="s">
        <v>684</v>
      </c>
      <c r="C50" s="83" t="s">
        <v>685</v>
      </c>
      <c r="D50" s="85" t="s">
        <v>686</v>
      </c>
      <c r="E50" s="85" t="s">
        <v>687</v>
      </c>
      <c r="F50" s="86" t="s">
        <v>641</v>
      </c>
      <c r="G50" s="86" t="s">
        <v>557</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688</v>
      </c>
      <c r="B51" s="80">
        <v>6</v>
      </c>
      <c r="C51" s="82" t="s">
        <v>19</v>
      </c>
      <c r="D51" s="84" t="s">
        <v>689</v>
      </c>
      <c r="E51" s="84" t="s">
        <v>19</v>
      </c>
      <c r="F51" s="80" t="s">
        <v>19</v>
      </c>
      <c r="G51" s="80" t="s">
        <v>19</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688</v>
      </c>
      <c r="B52" s="81" t="s">
        <v>690</v>
      </c>
      <c r="C52" s="83" t="s">
        <v>691</v>
      </c>
      <c r="D52" s="85" t="s">
        <v>692</v>
      </c>
      <c r="E52" s="85" t="s">
        <v>693</v>
      </c>
      <c r="F52" s="86" t="s">
        <v>616</v>
      </c>
      <c r="G52" s="86" t="s">
        <v>557</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688</v>
      </c>
      <c r="B53" s="81" t="s">
        <v>694</v>
      </c>
      <c r="C53" s="83" t="s">
        <v>695</v>
      </c>
      <c r="D53" s="85" t="s">
        <v>696</v>
      </c>
      <c r="E53" s="85" t="s">
        <v>697</v>
      </c>
      <c r="F53" s="86" t="s">
        <v>616</v>
      </c>
      <c r="G53" s="86" t="s">
        <v>557</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688</v>
      </c>
      <c r="B54" s="81" t="s">
        <v>698</v>
      </c>
      <c r="C54" s="83" t="s">
        <v>699</v>
      </c>
      <c r="D54" s="85" t="s">
        <v>700</v>
      </c>
      <c r="E54" s="85" t="s">
        <v>701</v>
      </c>
      <c r="F54" s="86" t="s">
        <v>641</v>
      </c>
      <c r="G54" s="86" t="s">
        <v>541</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688</v>
      </c>
      <c r="B55" s="81" t="s">
        <v>702</v>
      </c>
      <c r="C55" s="83" t="s">
        <v>703</v>
      </c>
      <c r="D55" s="85" t="s">
        <v>704</v>
      </c>
      <c r="E55" s="85" t="s">
        <v>705</v>
      </c>
      <c r="F55" s="86" t="s">
        <v>641</v>
      </c>
      <c r="G55" s="86" t="s">
        <v>541</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688</v>
      </c>
      <c r="B56" s="81" t="s">
        <v>706</v>
      </c>
      <c r="C56" s="83" t="s">
        <v>707</v>
      </c>
      <c r="D56" s="85" t="s">
        <v>708</v>
      </c>
      <c r="E56" s="85" t="s">
        <v>709</v>
      </c>
      <c r="F56" s="86" t="s">
        <v>641</v>
      </c>
      <c r="G56" s="86" t="s">
        <v>541</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688</v>
      </c>
      <c r="B57" s="81" t="s">
        <v>710</v>
      </c>
      <c r="C57" s="83" t="s">
        <v>711</v>
      </c>
      <c r="D57" s="85" t="s">
        <v>712</v>
      </c>
      <c r="E57" s="85" t="s">
        <v>713</v>
      </c>
      <c r="F57" s="86" t="s">
        <v>524</v>
      </c>
      <c r="G57" s="86" t="s">
        <v>499</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688</v>
      </c>
      <c r="B58" s="81" t="s">
        <v>714</v>
      </c>
      <c r="C58" s="83" t="s">
        <v>715</v>
      </c>
      <c r="D58" s="85" t="s">
        <v>716</v>
      </c>
      <c r="E58" s="85" t="s">
        <v>717</v>
      </c>
      <c r="F58" s="86" t="s">
        <v>641</v>
      </c>
      <c r="G58" s="86" t="s">
        <v>541</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688</v>
      </c>
      <c r="B59" s="81" t="s">
        <v>718</v>
      </c>
      <c r="C59" s="83" t="s">
        <v>719</v>
      </c>
      <c r="D59" s="85" t="s">
        <v>720</v>
      </c>
      <c r="E59" s="85" t="s">
        <v>721</v>
      </c>
      <c r="F59" s="86" t="s">
        <v>641</v>
      </c>
      <c r="G59" s="86" t="s">
        <v>557</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722</v>
      </c>
      <c r="B60" s="80">
        <v>7</v>
      </c>
      <c r="C60" s="82" t="s">
        <v>19</v>
      </c>
      <c r="D60" s="84" t="s">
        <v>723</v>
      </c>
      <c r="E60" s="84" t="s">
        <v>19</v>
      </c>
      <c r="F60" s="80" t="s">
        <v>19</v>
      </c>
      <c r="G60" s="80" t="s">
        <v>19</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722</v>
      </c>
      <c r="B61" s="81" t="s">
        <v>724</v>
      </c>
      <c r="C61" s="83" t="s">
        <v>725</v>
      </c>
      <c r="D61" s="85" t="s">
        <v>726</v>
      </c>
      <c r="E61" s="85" t="s">
        <v>727</v>
      </c>
      <c r="F61" s="86" t="s">
        <v>616</v>
      </c>
      <c r="G61" s="86" t="s">
        <v>557</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722</v>
      </c>
      <c r="B62" s="81" t="s">
        <v>728</v>
      </c>
      <c r="C62" s="83" t="s">
        <v>729</v>
      </c>
      <c r="D62" s="85" t="s">
        <v>730</v>
      </c>
      <c r="E62" s="85" t="s">
        <v>731</v>
      </c>
      <c r="F62" s="86" t="s">
        <v>616</v>
      </c>
      <c r="G62" s="86" t="s">
        <v>557</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722</v>
      </c>
      <c r="B63" s="81" t="s">
        <v>732</v>
      </c>
      <c r="C63" s="83" t="s">
        <v>733</v>
      </c>
      <c r="D63" s="85" t="s">
        <v>734</v>
      </c>
      <c r="E63" s="85" t="s">
        <v>735</v>
      </c>
      <c r="F63" s="86" t="s">
        <v>524</v>
      </c>
      <c r="G63" s="86" t="s">
        <v>541</v>
      </c>
      <c r="H63" s="86">
        <v>1</v>
      </c>
      <c r="I63" s="88" t="str">
        <f>IF(COUNTIF(J63:AW63,"&lt;&gt;")=0,"",SUMPRODUCT(((Recommendations[ImplStatus]="Implemented")+(Recommendations[ImplStatus]="Compensated"))*ISNUMBER(MATCH(Recommendations[Id],J63:AW63,0)))/COUNTIF(J63:AW63,"&lt;&gt;"))</f>
        <v/>
      </c>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722</v>
      </c>
      <c r="B64" s="81" t="s">
        <v>736</v>
      </c>
      <c r="C64" s="83" t="s">
        <v>737</v>
      </c>
      <c r="D64" s="85" t="s">
        <v>738</v>
      </c>
      <c r="E64" s="85" t="s">
        <v>739</v>
      </c>
      <c r="F64" s="86" t="s">
        <v>524</v>
      </c>
      <c r="G64" s="86" t="s">
        <v>541</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722</v>
      </c>
      <c r="B65" s="81" t="s">
        <v>740</v>
      </c>
      <c r="C65" s="83" t="s">
        <v>741</v>
      </c>
      <c r="D65" s="85" t="s">
        <v>742</v>
      </c>
      <c r="E65" s="85" t="s">
        <v>743</v>
      </c>
      <c r="F65" s="86" t="s">
        <v>524</v>
      </c>
      <c r="G65" s="86" t="s">
        <v>499</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722</v>
      </c>
      <c r="B66" s="81" t="s">
        <v>744</v>
      </c>
      <c r="C66" s="83" t="s">
        <v>745</v>
      </c>
      <c r="D66" s="85" t="s">
        <v>746</v>
      </c>
      <c r="E66" s="85" t="s">
        <v>747</v>
      </c>
      <c r="F66" s="86" t="s">
        <v>524</v>
      </c>
      <c r="G66" s="86" t="s">
        <v>499</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722</v>
      </c>
      <c r="B67" s="81" t="s">
        <v>748</v>
      </c>
      <c r="C67" s="83" t="s">
        <v>749</v>
      </c>
      <c r="D67" s="85" t="s">
        <v>750</v>
      </c>
      <c r="E67" s="85" t="s">
        <v>751</v>
      </c>
      <c r="F67" s="86" t="s">
        <v>524</v>
      </c>
      <c r="G67" s="86" t="s">
        <v>504</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752</v>
      </c>
      <c r="B68" s="80">
        <v>8</v>
      </c>
      <c r="C68" s="82" t="s">
        <v>19</v>
      </c>
      <c r="D68" s="84" t="s">
        <v>753</v>
      </c>
      <c r="E68" s="84" t="s">
        <v>19</v>
      </c>
      <c r="F68" s="80" t="s">
        <v>19</v>
      </c>
      <c r="G68" s="80" t="s">
        <v>19</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752</v>
      </c>
      <c r="B69" s="81" t="s">
        <v>754</v>
      </c>
      <c r="C69" s="83" t="s">
        <v>755</v>
      </c>
      <c r="D69" s="85" t="s">
        <v>756</v>
      </c>
      <c r="E69" s="85" t="s">
        <v>757</v>
      </c>
      <c r="F69" s="86" t="s">
        <v>616</v>
      </c>
      <c r="G69" s="86" t="s">
        <v>557</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752</v>
      </c>
      <c r="B70" s="81" t="s">
        <v>758</v>
      </c>
      <c r="C70" s="83" t="s">
        <v>759</v>
      </c>
      <c r="D70" s="85" t="s">
        <v>760</v>
      </c>
      <c r="E70" s="85" t="s">
        <v>761</v>
      </c>
      <c r="F70" s="86" t="s">
        <v>556</v>
      </c>
      <c r="G70" s="86" t="s">
        <v>509</v>
      </c>
      <c r="H70" s="86">
        <v>1</v>
      </c>
      <c r="I70" s="88" t="str">
        <f>IF(COUNTIF(J70:AW70,"&lt;&gt;")=0,"",SUMPRODUCT(((Recommendations[ImplStatus]="Implemented")+(Recommendations[ImplStatus]="Compensated"))*ISNUMBER(MATCH(Recommendations[Id],J70:AW70,0)))/COUNTIF(J70:AW70,"&lt;&gt;"))</f>
        <v/>
      </c>
      <c r="J70" s="90"/>
      <c r="K70" s="90"/>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752</v>
      </c>
      <c r="B71" s="81" t="s">
        <v>762</v>
      </c>
      <c r="C71" s="83" t="s">
        <v>763</v>
      </c>
      <c r="D71" s="85" t="s">
        <v>764</v>
      </c>
      <c r="E71" s="85" t="s">
        <v>765</v>
      </c>
      <c r="F71" s="86" t="s">
        <v>556</v>
      </c>
      <c r="G71" s="86" t="s">
        <v>541</v>
      </c>
      <c r="H71" s="86">
        <v>1</v>
      </c>
      <c r="I71" s="88" t="str">
        <f>IF(COUNTIF(J71:AW71,"&lt;&gt;")=0,"",SUMPRODUCT(((Recommendations[ImplStatus]="Implemented")+(Recommendations[ImplStatus]="Compensated"))*ISNUMBER(MATCH(Recommendations[Id],J71:AW71,0)))/COUNTIF(J71:AW71,"&lt;&gt;"))</f>
        <v/>
      </c>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752</v>
      </c>
      <c r="B72" s="81" t="s">
        <v>766</v>
      </c>
      <c r="C72" s="83" t="s">
        <v>767</v>
      </c>
      <c r="D72" s="85" t="s">
        <v>768</v>
      </c>
      <c r="E72" s="85" t="s">
        <v>769</v>
      </c>
      <c r="F72" s="86" t="s">
        <v>770</v>
      </c>
      <c r="G72" s="86" t="s">
        <v>541</v>
      </c>
      <c r="H72" s="86">
        <v>2</v>
      </c>
      <c r="I72" s="88" t="str">
        <f>IF(COUNTIF(J72:AW72,"&lt;&gt;")=0,"",SUMPRODUCT(((Recommendations[ImplStatus]="Implemented")+(Recommendations[ImplStatus]="Compensated"))*ISNUMBER(MATCH(Recommendations[Id],J72:AW72,0)))/COUNTIF(J72:AW72,"&lt;&gt;"))</f>
        <v/>
      </c>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752</v>
      </c>
      <c r="B73" s="81" t="s">
        <v>771</v>
      </c>
      <c r="C73" s="83" t="s">
        <v>772</v>
      </c>
      <c r="D73" s="85" t="s">
        <v>773</v>
      </c>
      <c r="E73" s="85" t="s">
        <v>774</v>
      </c>
      <c r="F73" s="86" t="s">
        <v>556</v>
      </c>
      <c r="G73" s="86" t="s">
        <v>509</v>
      </c>
      <c r="H73" s="86">
        <v>2</v>
      </c>
      <c r="I73" s="88" t="str">
        <f>IF(COUNTIF(J73:AW73,"&lt;&gt;")=0,"",SUMPRODUCT(((Recommendations[ImplStatus]="Implemented")+(Recommendations[ImplStatus]="Compensated"))*ISNUMBER(MATCH(Recommendations[Id],J73:AW73,0)))/COUNTIF(J73:AW73,"&lt;&gt;"))</f>
        <v/>
      </c>
      <c r="J73" s="90"/>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752</v>
      </c>
      <c r="B74" s="81" t="s">
        <v>775</v>
      </c>
      <c r="C74" s="83" t="s">
        <v>776</v>
      </c>
      <c r="D74" s="85" t="s">
        <v>777</v>
      </c>
      <c r="E74" s="85" t="s">
        <v>778</v>
      </c>
      <c r="F74" s="86" t="s">
        <v>556</v>
      </c>
      <c r="G74" s="86" t="s">
        <v>509</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752</v>
      </c>
      <c r="B75" s="81" t="s">
        <v>779</v>
      </c>
      <c r="C75" s="83" t="s">
        <v>780</v>
      </c>
      <c r="D75" s="85" t="s">
        <v>781</v>
      </c>
      <c r="E75" s="85" t="s">
        <v>782</v>
      </c>
      <c r="F75" s="86" t="s">
        <v>556</v>
      </c>
      <c r="G75" s="86" t="s">
        <v>509</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752</v>
      </c>
      <c r="B76" s="81" t="s">
        <v>783</v>
      </c>
      <c r="C76" s="83" t="s">
        <v>784</v>
      </c>
      <c r="D76" s="85" t="s">
        <v>785</v>
      </c>
      <c r="E76" s="85" t="s">
        <v>786</v>
      </c>
      <c r="F76" s="86" t="s">
        <v>556</v>
      </c>
      <c r="G76" s="86" t="s">
        <v>509</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752</v>
      </c>
      <c r="B77" s="81" t="s">
        <v>787</v>
      </c>
      <c r="C77" s="83" t="s">
        <v>788</v>
      </c>
      <c r="D77" s="85" t="s">
        <v>789</v>
      </c>
      <c r="E77" s="85" t="s">
        <v>790</v>
      </c>
      <c r="F77" s="86" t="s">
        <v>556</v>
      </c>
      <c r="G77" s="86" t="s">
        <v>509</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752</v>
      </c>
      <c r="B78" s="81" t="s">
        <v>791</v>
      </c>
      <c r="C78" s="83" t="s">
        <v>792</v>
      </c>
      <c r="D78" s="85" t="s">
        <v>793</v>
      </c>
      <c r="E78" s="85" t="s">
        <v>794</v>
      </c>
      <c r="F78" s="86" t="s">
        <v>556</v>
      </c>
      <c r="G78" s="86" t="s">
        <v>541</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752</v>
      </c>
      <c r="B79" s="81" t="s">
        <v>795</v>
      </c>
      <c r="C79" s="83" t="s">
        <v>796</v>
      </c>
      <c r="D79" s="85" t="s">
        <v>797</v>
      </c>
      <c r="E79" s="85" t="s">
        <v>798</v>
      </c>
      <c r="F79" s="86" t="s">
        <v>556</v>
      </c>
      <c r="G79" s="86" t="s">
        <v>509</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752</v>
      </c>
      <c r="B80" s="81" t="s">
        <v>799</v>
      </c>
      <c r="C80" s="83" t="s">
        <v>800</v>
      </c>
      <c r="D80" s="85" t="s">
        <v>801</v>
      </c>
      <c r="E80" s="85" t="s">
        <v>802</v>
      </c>
      <c r="F80" s="86" t="s">
        <v>556</v>
      </c>
      <c r="G80" s="86" t="s">
        <v>509</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803</v>
      </c>
      <c r="B81" s="80">
        <v>9</v>
      </c>
      <c r="C81" s="82" t="s">
        <v>19</v>
      </c>
      <c r="D81" s="84" t="s">
        <v>804</v>
      </c>
      <c r="E81" s="84" t="s">
        <v>19</v>
      </c>
      <c r="F81" s="80" t="s">
        <v>19</v>
      </c>
      <c r="G81" s="80" t="s">
        <v>19</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803</v>
      </c>
      <c r="B82" s="81" t="s">
        <v>805</v>
      </c>
      <c r="C82" s="83" t="s">
        <v>806</v>
      </c>
      <c r="D82" s="85" t="s">
        <v>807</v>
      </c>
      <c r="E82" s="85" t="s">
        <v>808</v>
      </c>
      <c r="F82" s="86" t="s">
        <v>524</v>
      </c>
      <c r="G82" s="86" t="s">
        <v>541</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803</v>
      </c>
      <c r="B83" s="81" t="s">
        <v>809</v>
      </c>
      <c r="C83" s="83" t="s">
        <v>810</v>
      </c>
      <c r="D83" s="85" t="s">
        <v>811</v>
      </c>
      <c r="E83" s="85" t="s">
        <v>812</v>
      </c>
      <c r="F83" s="86" t="s">
        <v>498</v>
      </c>
      <c r="G83" s="86" t="s">
        <v>541</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803</v>
      </c>
      <c r="B84" s="81" t="s">
        <v>813</v>
      </c>
      <c r="C84" s="83" t="s">
        <v>814</v>
      </c>
      <c r="D84" s="85" t="s">
        <v>815</v>
      </c>
      <c r="E84" s="85" t="s">
        <v>816</v>
      </c>
      <c r="F84" s="86" t="s">
        <v>770</v>
      </c>
      <c r="G84" s="86" t="s">
        <v>541</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803</v>
      </c>
      <c r="B85" s="81" t="s">
        <v>817</v>
      </c>
      <c r="C85" s="83" t="s">
        <v>818</v>
      </c>
      <c r="D85" s="85" t="s">
        <v>819</v>
      </c>
      <c r="E85" s="85" t="s">
        <v>820</v>
      </c>
      <c r="F85" s="86" t="s">
        <v>524</v>
      </c>
      <c r="G85" s="86" t="s">
        <v>541</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803</v>
      </c>
      <c r="B86" s="81" t="s">
        <v>821</v>
      </c>
      <c r="C86" s="83" t="s">
        <v>822</v>
      </c>
      <c r="D86" s="85" t="s">
        <v>823</v>
      </c>
      <c r="E86" s="85" t="s">
        <v>824</v>
      </c>
      <c r="F86" s="86" t="s">
        <v>770</v>
      </c>
      <c r="G86" s="86" t="s">
        <v>541</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803</v>
      </c>
      <c r="B87" s="81" t="s">
        <v>825</v>
      </c>
      <c r="C87" s="83" t="s">
        <v>826</v>
      </c>
      <c r="D87" s="85" t="s">
        <v>827</v>
      </c>
      <c r="E87" s="85" t="s">
        <v>828</v>
      </c>
      <c r="F87" s="86" t="s">
        <v>770</v>
      </c>
      <c r="G87" s="86" t="s">
        <v>541</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803</v>
      </c>
      <c r="B88" s="81" t="s">
        <v>829</v>
      </c>
      <c r="C88" s="83" t="s">
        <v>830</v>
      </c>
      <c r="D88" s="85" t="s">
        <v>831</v>
      </c>
      <c r="E88" s="85" t="s">
        <v>832</v>
      </c>
      <c r="F88" s="86" t="s">
        <v>770</v>
      </c>
      <c r="G88" s="86" t="s">
        <v>541</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833</v>
      </c>
      <c r="B89" s="80">
        <v>10</v>
      </c>
      <c r="C89" s="82" t="s">
        <v>19</v>
      </c>
      <c r="D89" s="84" t="s">
        <v>834</v>
      </c>
      <c r="E89" s="84" t="s">
        <v>19</v>
      </c>
      <c r="F89" s="80" t="s">
        <v>19</v>
      </c>
      <c r="G89" s="80" t="s">
        <v>19</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833</v>
      </c>
      <c r="B90" s="81" t="s">
        <v>835</v>
      </c>
      <c r="C90" s="83" t="s">
        <v>836</v>
      </c>
      <c r="D90" s="85" t="s">
        <v>837</v>
      </c>
      <c r="E90" s="85" t="s">
        <v>838</v>
      </c>
      <c r="F90" s="86" t="s">
        <v>498</v>
      </c>
      <c r="G90" s="86" t="s">
        <v>509</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833</v>
      </c>
      <c r="B91" s="81" t="s">
        <v>839</v>
      </c>
      <c r="C91" s="83" t="s">
        <v>840</v>
      </c>
      <c r="D91" s="85" t="s">
        <v>841</v>
      </c>
      <c r="E91" s="85" t="s">
        <v>842</v>
      </c>
      <c r="F91" s="86" t="s">
        <v>498</v>
      </c>
      <c r="G91" s="86" t="s">
        <v>541</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833</v>
      </c>
      <c r="B92" s="81" t="s">
        <v>843</v>
      </c>
      <c r="C92" s="83" t="s">
        <v>844</v>
      </c>
      <c r="D92" s="85" t="s">
        <v>845</v>
      </c>
      <c r="E92" s="85" t="s">
        <v>846</v>
      </c>
      <c r="F92" s="86" t="s">
        <v>498</v>
      </c>
      <c r="G92" s="86" t="s">
        <v>541</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833</v>
      </c>
      <c r="B93" s="81" t="s">
        <v>847</v>
      </c>
      <c r="C93" s="83" t="s">
        <v>848</v>
      </c>
      <c r="D93" s="85" t="s">
        <v>849</v>
      </c>
      <c r="E93" s="85" t="s">
        <v>850</v>
      </c>
      <c r="F93" s="86" t="s">
        <v>498</v>
      </c>
      <c r="G93" s="86" t="s">
        <v>509</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833</v>
      </c>
      <c r="B94" s="81" t="s">
        <v>851</v>
      </c>
      <c r="C94" s="83" t="s">
        <v>852</v>
      </c>
      <c r="D94" s="85" t="s">
        <v>853</v>
      </c>
      <c r="E94" s="85" t="s">
        <v>854</v>
      </c>
      <c r="F94" s="86" t="s">
        <v>498</v>
      </c>
      <c r="G94" s="86" t="s">
        <v>541</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833</v>
      </c>
      <c r="B95" s="81" t="s">
        <v>855</v>
      </c>
      <c r="C95" s="83" t="s">
        <v>856</v>
      </c>
      <c r="D95" s="85" t="s">
        <v>857</v>
      </c>
      <c r="E95" s="85" t="s">
        <v>858</v>
      </c>
      <c r="F95" s="86" t="s">
        <v>498</v>
      </c>
      <c r="G95" s="86" t="s">
        <v>541</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833</v>
      </c>
      <c r="B96" s="81" t="s">
        <v>859</v>
      </c>
      <c r="C96" s="83" t="s">
        <v>860</v>
      </c>
      <c r="D96" s="85" t="s">
        <v>861</v>
      </c>
      <c r="E96" s="85" t="s">
        <v>862</v>
      </c>
      <c r="F96" s="86" t="s">
        <v>498</v>
      </c>
      <c r="G96" s="86" t="s">
        <v>509</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863</v>
      </c>
      <c r="B97" s="80">
        <v>11</v>
      </c>
      <c r="C97" s="82" t="s">
        <v>19</v>
      </c>
      <c r="D97" s="84" t="s">
        <v>864</v>
      </c>
      <c r="E97" s="84" t="s">
        <v>19</v>
      </c>
      <c r="F97" s="80" t="s">
        <v>19</v>
      </c>
      <c r="G97" s="80" t="s">
        <v>19</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863</v>
      </c>
      <c r="B98" s="81" t="s">
        <v>865</v>
      </c>
      <c r="C98" s="83" t="s">
        <v>866</v>
      </c>
      <c r="D98" s="85" t="s">
        <v>867</v>
      </c>
      <c r="E98" s="85" t="s">
        <v>868</v>
      </c>
      <c r="F98" s="86" t="s">
        <v>616</v>
      </c>
      <c r="G98" s="86" t="s">
        <v>557</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863</v>
      </c>
      <c r="B99" s="81" t="s">
        <v>869</v>
      </c>
      <c r="C99" s="83" t="s">
        <v>870</v>
      </c>
      <c r="D99" s="85" t="s">
        <v>871</v>
      </c>
      <c r="E99" s="85" t="s">
        <v>872</v>
      </c>
      <c r="F99" s="86" t="s">
        <v>556</v>
      </c>
      <c r="G99" s="86" t="s">
        <v>873</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863</v>
      </c>
      <c r="B100" s="81" t="s">
        <v>874</v>
      </c>
      <c r="C100" s="83" t="s">
        <v>875</v>
      </c>
      <c r="D100" s="85" t="s">
        <v>876</v>
      </c>
      <c r="E100" s="85" t="s">
        <v>877</v>
      </c>
      <c r="F100" s="86" t="s">
        <v>556</v>
      </c>
      <c r="G100" s="86" t="s">
        <v>541</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863</v>
      </c>
      <c r="B101" s="81" t="s">
        <v>878</v>
      </c>
      <c r="C101" s="83" t="s">
        <v>879</v>
      </c>
      <c r="D101" s="85" t="s">
        <v>880</v>
      </c>
      <c r="E101" s="85" t="s">
        <v>881</v>
      </c>
      <c r="F101" s="86" t="s">
        <v>556</v>
      </c>
      <c r="G101" s="86" t="s">
        <v>873</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863</v>
      </c>
      <c r="B102" s="81" t="s">
        <v>882</v>
      </c>
      <c r="C102" s="83" t="s">
        <v>883</v>
      </c>
      <c r="D102" s="85" t="s">
        <v>884</v>
      </c>
      <c r="E102" s="85" t="s">
        <v>885</v>
      </c>
      <c r="F102" s="86" t="s">
        <v>556</v>
      </c>
      <c r="G102" s="86" t="s">
        <v>873</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886</v>
      </c>
      <c r="B103" s="80">
        <v>12</v>
      </c>
      <c r="C103" s="82" t="s">
        <v>19</v>
      </c>
      <c r="D103" s="84" t="s">
        <v>887</v>
      </c>
      <c r="E103" s="84" t="s">
        <v>19</v>
      </c>
      <c r="F103" s="80" t="s">
        <v>19</v>
      </c>
      <c r="G103" s="80" t="s">
        <v>19</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886</v>
      </c>
      <c r="B104" s="81" t="s">
        <v>888</v>
      </c>
      <c r="C104" s="83" t="s">
        <v>889</v>
      </c>
      <c r="D104" s="85" t="s">
        <v>890</v>
      </c>
      <c r="E104" s="85" t="s">
        <v>891</v>
      </c>
      <c r="F104" s="86" t="s">
        <v>770</v>
      </c>
      <c r="G104" s="86" t="s">
        <v>541</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886</v>
      </c>
      <c r="B105" s="81" t="s">
        <v>892</v>
      </c>
      <c r="C105" s="83" t="s">
        <v>893</v>
      </c>
      <c r="D105" s="85" t="s">
        <v>894</v>
      </c>
      <c r="E105" s="85" t="s">
        <v>895</v>
      </c>
      <c r="F105" s="86" t="s">
        <v>770</v>
      </c>
      <c r="G105" s="86" t="s">
        <v>541</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886</v>
      </c>
      <c r="B106" s="81" t="s">
        <v>896</v>
      </c>
      <c r="C106" s="83" t="s">
        <v>897</v>
      </c>
      <c r="D106" s="85" t="s">
        <v>898</v>
      </c>
      <c r="E106" s="85" t="s">
        <v>899</v>
      </c>
      <c r="F106" s="86" t="s">
        <v>770</v>
      </c>
      <c r="G106" s="86" t="s">
        <v>541</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886</v>
      </c>
      <c r="B107" s="81" t="s">
        <v>900</v>
      </c>
      <c r="C107" s="83" t="s">
        <v>901</v>
      </c>
      <c r="D107" s="85" t="s">
        <v>902</v>
      </c>
      <c r="E107" s="85" t="s">
        <v>903</v>
      </c>
      <c r="F107" s="86" t="s">
        <v>616</v>
      </c>
      <c r="G107" s="86" t="s">
        <v>557</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886</v>
      </c>
      <c r="B108" s="81" t="s">
        <v>904</v>
      </c>
      <c r="C108" s="83" t="s">
        <v>905</v>
      </c>
      <c r="D108" s="85" t="s">
        <v>906</v>
      </c>
      <c r="E108" s="85" t="s">
        <v>907</v>
      </c>
      <c r="F108" s="86" t="s">
        <v>770</v>
      </c>
      <c r="G108" s="86" t="s">
        <v>541</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886</v>
      </c>
      <c r="B109" s="81" t="s">
        <v>908</v>
      </c>
      <c r="C109" s="83" t="s">
        <v>909</v>
      </c>
      <c r="D109" s="85" t="s">
        <v>910</v>
      </c>
      <c r="E109" s="85" t="s">
        <v>911</v>
      </c>
      <c r="F109" s="86" t="s">
        <v>770</v>
      </c>
      <c r="G109" s="86" t="s">
        <v>541</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886</v>
      </c>
      <c r="B110" s="81" t="s">
        <v>912</v>
      </c>
      <c r="C110" s="83" t="s">
        <v>913</v>
      </c>
      <c r="D110" s="85" t="s">
        <v>914</v>
      </c>
      <c r="E110" s="85" t="s">
        <v>915</v>
      </c>
      <c r="F110" s="86" t="s">
        <v>498</v>
      </c>
      <c r="G110" s="86" t="s">
        <v>541</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886</v>
      </c>
      <c r="B111" s="81" t="s">
        <v>916</v>
      </c>
      <c r="C111" s="83" t="s">
        <v>917</v>
      </c>
      <c r="D111" s="85" t="s">
        <v>918</v>
      </c>
      <c r="E111" s="85" t="s">
        <v>919</v>
      </c>
      <c r="F111" s="86" t="s">
        <v>498</v>
      </c>
      <c r="G111" s="86" t="s">
        <v>541</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920</v>
      </c>
      <c r="B112" s="80">
        <v>13</v>
      </c>
      <c r="C112" s="82" t="s">
        <v>19</v>
      </c>
      <c r="D112" s="84" t="s">
        <v>921</v>
      </c>
      <c r="E112" s="84" t="s">
        <v>19</v>
      </c>
      <c r="F112" s="80" t="s">
        <v>19</v>
      </c>
      <c r="G112" s="80" t="s">
        <v>19</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920</v>
      </c>
      <c r="B113" s="81" t="s">
        <v>922</v>
      </c>
      <c r="C113" s="83" t="s">
        <v>923</v>
      </c>
      <c r="D113" s="85" t="s">
        <v>924</v>
      </c>
      <c r="E113" s="85" t="s">
        <v>925</v>
      </c>
      <c r="F113" s="86" t="s">
        <v>770</v>
      </c>
      <c r="G113" s="86" t="s">
        <v>509</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920</v>
      </c>
      <c r="B114" s="81" t="s">
        <v>926</v>
      </c>
      <c r="C114" s="83" t="s">
        <v>927</v>
      </c>
      <c r="D114" s="85" t="s">
        <v>928</v>
      </c>
      <c r="E114" s="85" t="s">
        <v>929</v>
      </c>
      <c r="F114" s="86" t="s">
        <v>498</v>
      </c>
      <c r="G114" s="86" t="s">
        <v>509</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920</v>
      </c>
      <c r="B115" s="81" t="s">
        <v>930</v>
      </c>
      <c r="C115" s="83" t="s">
        <v>931</v>
      </c>
      <c r="D115" s="85" t="s">
        <v>932</v>
      </c>
      <c r="E115" s="85" t="s">
        <v>933</v>
      </c>
      <c r="F115" s="86" t="s">
        <v>770</v>
      </c>
      <c r="G115" s="86" t="s">
        <v>509</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920</v>
      </c>
      <c r="B116" s="81" t="s">
        <v>934</v>
      </c>
      <c r="C116" s="83" t="s">
        <v>935</v>
      </c>
      <c r="D116" s="85" t="s">
        <v>936</v>
      </c>
      <c r="E116" s="85" t="s">
        <v>937</v>
      </c>
      <c r="F116" s="86" t="s">
        <v>770</v>
      </c>
      <c r="G116" s="86" t="s">
        <v>541</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920</v>
      </c>
      <c r="B117" s="81" t="s">
        <v>938</v>
      </c>
      <c r="C117" s="83" t="s">
        <v>939</v>
      </c>
      <c r="D117" s="85" t="s">
        <v>940</v>
      </c>
      <c r="E117" s="85" t="s">
        <v>941</v>
      </c>
      <c r="F117" s="86" t="s">
        <v>498</v>
      </c>
      <c r="G117" s="86" t="s">
        <v>541</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920</v>
      </c>
      <c r="B118" s="81" t="s">
        <v>942</v>
      </c>
      <c r="C118" s="83" t="s">
        <v>943</v>
      </c>
      <c r="D118" s="85" t="s">
        <v>944</v>
      </c>
      <c r="E118" s="85" t="s">
        <v>945</v>
      </c>
      <c r="F118" s="86" t="s">
        <v>770</v>
      </c>
      <c r="G118" s="86" t="s">
        <v>509</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920</v>
      </c>
      <c r="B119" s="81" t="s">
        <v>946</v>
      </c>
      <c r="C119" s="83" t="s">
        <v>947</v>
      </c>
      <c r="D119" s="85" t="s">
        <v>948</v>
      </c>
      <c r="E119" s="85" t="s">
        <v>949</v>
      </c>
      <c r="F119" s="86" t="s">
        <v>498</v>
      </c>
      <c r="G119" s="86" t="s">
        <v>541</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920</v>
      </c>
      <c r="B120" s="81" t="s">
        <v>950</v>
      </c>
      <c r="C120" s="83" t="s">
        <v>951</v>
      </c>
      <c r="D120" s="85" t="s">
        <v>952</v>
      </c>
      <c r="E120" s="85" t="s">
        <v>953</v>
      </c>
      <c r="F120" s="86" t="s">
        <v>770</v>
      </c>
      <c r="G120" s="86" t="s">
        <v>541</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920</v>
      </c>
      <c r="B121" s="81" t="s">
        <v>954</v>
      </c>
      <c r="C121" s="83" t="s">
        <v>955</v>
      </c>
      <c r="D121" s="85" t="s">
        <v>956</v>
      </c>
      <c r="E121" s="85" t="s">
        <v>957</v>
      </c>
      <c r="F121" s="86" t="s">
        <v>770</v>
      </c>
      <c r="G121" s="86" t="s">
        <v>541</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920</v>
      </c>
      <c r="B122" s="81" t="s">
        <v>958</v>
      </c>
      <c r="C122" s="83" t="s">
        <v>959</v>
      </c>
      <c r="D122" s="85" t="s">
        <v>960</v>
      </c>
      <c r="E122" s="85" t="s">
        <v>961</v>
      </c>
      <c r="F122" s="86" t="s">
        <v>770</v>
      </c>
      <c r="G122" s="86" t="s">
        <v>541</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920</v>
      </c>
      <c r="B123" s="81" t="s">
        <v>962</v>
      </c>
      <c r="C123" s="83" t="s">
        <v>963</v>
      </c>
      <c r="D123" s="85" t="s">
        <v>964</v>
      </c>
      <c r="E123" s="85" t="s">
        <v>965</v>
      </c>
      <c r="F123" s="86" t="s">
        <v>770</v>
      </c>
      <c r="G123" s="86" t="s">
        <v>509</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966</v>
      </c>
      <c r="B124" s="80">
        <v>14</v>
      </c>
      <c r="C124" s="82" t="s">
        <v>19</v>
      </c>
      <c r="D124" s="84" t="s">
        <v>967</v>
      </c>
      <c r="E124" s="84" t="s">
        <v>19</v>
      </c>
      <c r="F124" s="80" t="s">
        <v>19</v>
      </c>
      <c r="G124" s="80" t="s">
        <v>19</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966</v>
      </c>
      <c r="B125" s="81" t="s">
        <v>968</v>
      </c>
      <c r="C125" s="83" t="s">
        <v>969</v>
      </c>
      <c r="D125" s="85" t="s">
        <v>970</v>
      </c>
      <c r="E125" s="85" t="s">
        <v>971</v>
      </c>
      <c r="F125" s="86" t="s">
        <v>616</v>
      </c>
      <c r="G125" s="86" t="s">
        <v>557</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966</v>
      </c>
      <c r="B126" s="81" t="s">
        <v>972</v>
      </c>
      <c r="C126" s="83" t="s">
        <v>973</v>
      </c>
      <c r="D126" s="85" t="s">
        <v>974</v>
      </c>
      <c r="E126" s="85" t="s">
        <v>975</v>
      </c>
      <c r="F126" s="86" t="s">
        <v>641</v>
      </c>
      <c r="G126" s="86" t="s">
        <v>541</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966</v>
      </c>
      <c r="B127" s="81" t="s">
        <v>976</v>
      </c>
      <c r="C127" s="83" t="s">
        <v>977</v>
      </c>
      <c r="D127" s="85" t="s">
        <v>978</v>
      </c>
      <c r="E127" s="85" t="s">
        <v>979</v>
      </c>
      <c r="F127" s="86" t="s">
        <v>641</v>
      </c>
      <c r="G127" s="86" t="s">
        <v>541</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966</v>
      </c>
      <c r="B128" s="81" t="s">
        <v>980</v>
      </c>
      <c r="C128" s="83" t="s">
        <v>981</v>
      </c>
      <c r="D128" s="85" t="s">
        <v>982</v>
      </c>
      <c r="E128" s="85" t="s">
        <v>983</v>
      </c>
      <c r="F128" s="86" t="s">
        <v>641</v>
      </c>
      <c r="G128" s="86" t="s">
        <v>541</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966</v>
      </c>
      <c r="B129" s="81" t="s">
        <v>984</v>
      </c>
      <c r="C129" s="83" t="s">
        <v>985</v>
      </c>
      <c r="D129" s="85" t="s">
        <v>986</v>
      </c>
      <c r="E129" s="85" t="s">
        <v>987</v>
      </c>
      <c r="F129" s="86" t="s">
        <v>641</v>
      </c>
      <c r="G129" s="86" t="s">
        <v>541</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966</v>
      </c>
      <c r="B130" s="81" t="s">
        <v>988</v>
      </c>
      <c r="C130" s="83" t="s">
        <v>989</v>
      </c>
      <c r="D130" s="85" t="s">
        <v>990</v>
      </c>
      <c r="E130" s="85" t="s">
        <v>991</v>
      </c>
      <c r="F130" s="86" t="s">
        <v>641</v>
      </c>
      <c r="G130" s="86" t="s">
        <v>541</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966</v>
      </c>
      <c r="B131" s="81" t="s">
        <v>992</v>
      </c>
      <c r="C131" s="83" t="s">
        <v>993</v>
      </c>
      <c r="D131" s="85" t="s">
        <v>994</v>
      </c>
      <c r="E131" s="85" t="s">
        <v>995</v>
      </c>
      <c r="F131" s="86" t="s">
        <v>641</v>
      </c>
      <c r="G131" s="86" t="s">
        <v>541</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966</v>
      </c>
      <c r="B132" s="81" t="s">
        <v>996</v>
      </c>
      <c r="C132" s="83" t="s">
        <v>997</v>
      </c>
      <c r="D132" s="85" t="s">
        <v>998</v>
      </c>
      <c r="E132" s="85" t="s">
        <v>999</v>
      </c>
      <c r="F132" s="86" t="s">
        <v>641</v>
      </c>
      <c r="G132" s="86" t="s">
        <v>541</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966</v>
      </c>
      <c r="B133" s="81" t="s">
        <v>1000</v>
      </c>
      <c r="C133" s="83" t="s">
        <v>1001</v>
      </c>
      <c r="D133" s="85" t="s">
        <v>1002</v>
      </c>
      <c r="E133" s="85" t="s">
        <v>1003</v>
      </c>
      <c r="F133" s="86" t="s">
        <v>641</v>
      </c>
      <c r="G133" s="86" t="s">
        <v>541</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1004</v>
      </c>
      <c r="B134" s="80">
        <v>15</v>
      </c>
      <c r="C134" s="82" t="s">
        <v>19</v>
      </c>
      <c r="D134" s="84" t="s">
        <v>1005</v>
      </c>
      <c r="E134" s="84" t="s">
        <v>19</v>
      </c>
      <c r="F134" s="80" t="s">
        <v>19</v>
      </c>
      <c r="G134" s="80" t="s">
        <v>19</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1004</v>
      </c>
      <c r="B135" s="81" t="s">
        <v>1006</v>
      </c>
      <c r="C135" s="83" t="s">
        <v>1007</v>
      </c>
      <c r="D135" s="85" t="s">
        <v>1008</v>
      </c>
      <c r="E135" s="85" t="s">
        <v>1009</v>
      </c>
      <c r="F135" s="86" t="s">
        <v>641</v>
      </c>
      <c r="G135" s="86" t="s">
        <v>499</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1004</v>
      </c>
      <c r="B136" s="81" t="s">
        <v>1010</v>
      </c>
      <c r="C136" s="83" t="s">
        <v>1011</v>
      </c>
      <c r="D136" s="85" t="s">
        <v>1012</v>
      </c>
      <c r="E136" s="85" t="s">
        <v>1013</v>
      </c>
      <c r="F136" s="86" t="s">
        <v>616</v>
      </c>
      <c r="G136" s="86" t="s">
        <v>557</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1004</v>
      </c>
      <c r="B137" s="81" t="s">
        <v>1014</v>
      </c>
      <c r="C137" s="83" t="s">
        <v>1015</v>
      </c>
      <c r="D137" s="85" t="s">
        <v>1016</v>
      </c>
      <c r="E137" s="85" t="s">
        <v>1017</v>
      </c>
      <c r="F137" s="86" t="s">
        <v>641</v>
      </c>
      <c r="G137" s="86" t="s">
        <v>557</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1004</v>
      </c>
      <c r="B138" s="81" t="s">
        <v>1018</v>
      </c>
      <c r="C138" s="83" t="s">
        <v>1019</v>
      </c>
      <c r="D138" s="85" t="s">
        <v>1020</v>
      </c>
      <c r="E138" s="85" t="s">
        <v>1021</v>
      </c>
      <c r="F138" s="86" t="s">
        <v>616</v>
      </c>
      <c r="G138" s="86" t="s">
        <v>557</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1004</v>
      </c>
      <c r="B139" s="81" t="s">
        <v>1022</v>
      </c>
      <c r="C139" s="83" t="s">
        <v>1023</v>
      </c>
      <c r="D139" s="85" t="s">
        <v>1024</v>
      </c>
      <c r="E139" s="85" t="s">
        <v>1025</v>
      </c>
      <c r="F139" s="86" t="s">
        <v>641</v>
      </c>
      <c r="G139" s="86" t="s">
        <v>557</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1004</v>
      </c>
      <c r="B140" s="81" t="s">
        <v>1026</v>
      </c>
      <c r="C140" s="83" t="s">
        <v>1027</v>
      </c>
      <c r="D140" s="85" t="s">
        <v>1028</v>
      </c>
      <c r="E140" s="85" t="s">
        <v>1029</v>
      </c>
      <c r="F140" s="86" t="s">
        <v>556</v>
      </c>
      <c r="G140" s="86" t="s">
        <v>557</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1004</v>
      </c>
      <c r="B141" s="81" t="s">
        <v>1030</v>
      </c>
      <c r="C141" s="83" t="s">
        <v>1031</v>
      </c>
      <c r="D141" s="85" t="s">
        <v>1032</v>
      </c>
      <c r="E141" s="85" t="s">
        <v>1033</v>
      </c>
      <c r="F141" s="86" t="s">
        <v>556</v>
      </c>
      <c r="G141" s="86" t="s">
        <v>541</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1034</v>
      </c>
      <c r="B142" s="80">
        <v>16</v>
      </c>
      <c r="C142" s="82" t="s">
        <v>19</v>
      </c>
      <c r="D142" s="84" t="s">
        <v>1035</v>
      </c>
      <c r="E142" s="84" t="s">
        <v>19</v>
      </c>
      <c r="F142" s="80" t="s">
        <v>19</v>
      </c>
      <c r="G142" s="80" t="s">
        <v>19</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1034</v>
      </c>
      <c r="B143" s="81" t="s">
        <v>1036</v>
      </c>
      <c r="C143" s="83" t="s">
        <v>1037</v>
      </c>
      <c r="D143" s="85" t="s">
        <v>1038</v>
      </c>
      <c r="E143" s="85" t="s">
        <v>1039</v>
      </c>
      <c r="F143" s="86" t="s">
        <v>616</v>
      </c>
      <c r="G143" s="86" t="s">
        <v>557</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1034</v>
      </c>
      <c r="B144" s="81" t="s">
        <v>1040</v>
      </c>
      <c r="C144" s="83" t="s">
        <v>1041</v>
      </c>
      <c r="D144" s="85" t="s">
        <v>1042</v>
      </c>
      <c r="E144" s="85" t="s">
        <v>1043</v>
      </c>
      <c r="F144" s="86" t="s">
        <v>616</v>
      </c>
      <c r="G144" s="86" t="s">
        <v>557</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1034</v>
      </c>
      <c r="B145" s="81" t="s">
        <v>1044</v>
      </c>
      <c r="C145" s="83" t="s">
        <v>1045</v>
      </c>
      <c r="D145" s="85" t="s">
        <v>1046</v>
      </c>
      <c r="E145" s="85" t="s">
        <v>1047</v>
      </c>
      <c r="F145" s="86" t="s">
        <v>524</v>
      </c>
      <c r="G145" s="86" t="s">
        <v>509</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1034</v>
      </c>
      <c r="B146" s="81" t="s">
        <v>1048</v>
      </c>
      <c r="C146" s="83" t="s">
        <v>1049</v>
      </c>
      <c r="D146" s="85" t="s">
        <v>1050</v>
      </c>
      <c r="E146" s="85" t="s">
        <v>1051</v>
      </c>
      <c r="F146" s="86" t="s">
        <v>524</v>
      </c>
      <c r="G146" s="86" t="s">
        <v>499</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1034</v>
      </c>
      <c r="B147" s="81" t="s">
        <v>1052</v>
      </c>
      <c r="C147" s="83" t="s">
        <v>1053</v>
      </c>
      <c r="D147" s="85" t="s">
        <v>1054</v>
      </c>
      <c r="E147" s="85" t="s">
        <v>1055</v>
      </c>
      <c r="F147" s="86" t="s">
        <v>524</v>
      </c>
      <c r="G147" s="86" t="s">
        <v>541</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1034</v>
      </c>
      <c r="B148" s="81" t="s">
        <v>1056</v>
      </c>
      <c r="C148" s="83" t="s">
        <v>1057</v>
      </c>
      <c r="D148" s="85" t="s">
        <v>1058</v>
      </c>
      <c r="E148" s="85" t="s">
        <v>1059</v>
      </c>
      <c r="F148" s="86" t="s">
        <v>616</v>
      </c>
      <c r="G148" s="86" t="s">
        <v>557</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1034</v>
      </c>
      <c r="B149" s="81" t="s">
        <v>1060</v>
      </c>
      <c r="C149" s="83" t="s">
        <v>1061</v>
      </c>
      <c r="D149" s="85" t="s">
        <v>1062</v>
      </c>
      <c r="E149" s="85" t="s">
        <v>1063</v>
      </c>
      <c r="F149" s="86" t="s">
        <v>524</v>
      </c>
      <c r="G149" s="86" t="s">
        <v>541</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1034</v>
      </c>
      <c r="B150" s="81" t="s">
        <v>1064</v>
      </c>
      <c r="C150" s="83" t="s">
        <v>1065</v>
      </c>
      <c r="D150" s="85" t="s">
        <v>1066</v>
      </c>
      <c r="E150" s="85" t="s">
        <v>1067</v>
      </c>
      <c r="F150" s="86" t="s">
        <v>770</v>
      </c>
      <c r="G150" s="86" t="s">
        <v>541</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1034</v>
      </c>
      <c r="B151" s="81" t="s">
        <v>1068</v>
      </c>
      <c r="C151" s="83" t="s">
        <v>1069</v>
      </c>
      <c r="D151" s="85" t="s">
        <v>1070</v>
      </c>
      <c r="E151" s="85" t="s">
        <v>1071</v>
      </c>
      <c r="F151" s="86" t="s">
        <v>641</v>
      </c>
      <c r="G151" s="86" t="s">
        <v>541</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1034</v>
      </c>
      <c r="B152" s="81" t="s">
        <v>1072</v>
      </c>
      <c r="C152" s="83" t="s">
        <v>1073</v>
      </c>
      <c r="D152" s="85" t="s">
        <v>1074</v>
      </c>
      <c r="E152" s="85" t="s">
        <v>1075</v>
      </c>
      <c r="F152" s="86" t="s">
        <v>524</v>
      </c>
      <c r="G152" s="86" t="s">
        <v>541</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1034</v>
      </c>
      <c r="B153" s="81" t="s">
        <v>1076</v>
      </c>
      <c r="C153" s="83" t="s">
        <v>1077</v>
      </c>
      <c r="D153" s="85" t="s">
        <v>1078</v>
      </c>
      <c r="E153" s="85" t="s">
        <v>1079</v>
      </c>
      <c r="F153" s="86" t="s">
        <v>524</v>
      </c>
      <c r="G153" s="86" t="s">
        <v>541</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1034</v>
      </c>
      <c r="B154" s="81" t="s">
        <v>1080</v>
      </c>
      <c r="C154" s="83" t="s">
        <v>1081</v>
      </c>
      <c r="D154" s="85" t="s">
        <v>1082</v>
      </c>
      <c r="E154" s="85" t="s">
        <v>1083</v>
      </c>
      <c r="F154" s="86" t="s">
        <v>524</v>
      </c>
      <c r="G154" s="86" t="s">
        <v>541</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1034</v>
      </c>
      <c r="B155" s="81" t="s">
        <v>1084</v>
      </c>
      <c r="C155" s="83" t="s">
        <v>1085</v>
      </c>
      <c r="D155" s="85" t="s">
        <v>1086</v>
      </c>
      <c r="E155" s="85" t="s">
        <v>1087</v>
      </c>
      <c r="F155" s="86" t="s">
        <v>524</v>
      </c>
      <c r="G155" s="86" t="s">
        <v>509</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1034</v>
      </c>
      <c r="B156" s="81" t="s">
        <v>1088</v>
      </c>
      <c r="C156" s="83" t="s">
        <v>1089</v>
      </c>
      <c r="D156" s="85" t="s">
        <v>1090</v>
      </c>
      <c r="E156" s="85" t="s">
        <v>1091</v>
      </c>
      <c r="F156" s="86" t="s">
        <v>524</v>
      </c>
      <c r="G156" s="86" t="s">
        <v>541</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1092</v>
      </c>
      <c r="B157" s="80">
        <v>17</v>
      </c>
      <c r="C157" s="82" t="s">
        <v>19</v>
      </c>
      <c r="D157" s="84" t="s">
        <v>1093</v>
      </c>
      <c r="E157" s="84" t="s">
        <v>19</v>
      </c>
      <c r="F157" s="80" t="s">
        <v>19</v>
      </c>
      <c r="G157" s="80" t="s">
        <v>19</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1092</v>
      </c>
      <c r="B158" s="81" t="s">
        <v>1094</v>
      </c>
      <c r="C158" s="83" t="s">
        <v>1095</v>
      </c>
      <c r="D158" s="85" t="s">
        <v>1096</v>
      </c>
      <c r="E158" s="85" t="s">
        <v>1097</v>
      </c>
      <c r="F158" s="86" t="s">
        <v>641</v>
      </c>
      <c r="G158" s="86" t="s">
        <v>504</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1092</v>
      </c>
      <c r="B159" s="81" t="s">
        <v>1098</v>
      </c>
      <c r="C159" s="83" t="s">
        <v>1099</v>
      </c>
      <c r="D159" s="85" t="s">
        <v>1100</v>
      </c>
      <c r="E159" s="85" t="s">
        <v>1101</v>
      </c>
      <c r="F159" s="86" t="s">
        <v>616</v>
      </c>
      <c r="G159" s="86" t="s">
        <v>557</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1092</v>
      </c>
      <c r="B160" s="81" t="s">
        <v>1102</v>
      </c>
      <c r="C160" s="83" t="s">
        <v>1103</v>
      </c>
      <c r="D160" s="85" t="s">
        <v>1104</v>
      </c>
      <c r="E160" s="85" t="s">
        <v>1105</v>
      </c>
      <c r="F160" s="86" t="s">
        <v>616</v>
      </c>
      <c r="G160" s="86" t="s">
        <v>557</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1092</v>
      </c>
      <c r="B161" s="81" t="s">
        <v>1106</v>
      </c>
      <c r="C161" s="83" t="s">
        <v>1107</v>
      </c>
      <c r="D161" s="85" t="s">
        <v>1108</v>
      </c>
      <c r="E161" s="85" t="s">
        <v>1109</v>
      </c>
      <c r="F161" s="86" t="s">
        <v>616</v>
      </c>
      <c r="G161" s="86" t="s">
        <v>557</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1092</v>
      </c>
      <c r="B162" s="81" t="s">
        <v>1110</v>
      </c>
      <c r="C162" s="83" t="s">
        <v>1111</v>
      </c>
      <c r="D162" s="85" t="s">
        <v>1112</v>
      </c>
      <c r="E162" s="85" t="s">
        <v>1113</v>
      </c>
      <c r="F162" s="86" t="s">
        <v>641</v>
      </c>
      <c r="G162" s="86" t="s">
        <v>504</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1092</v>
      </c>
      <c r="B163" s="81" t="s">
        <v>1114</v>
      </c>
      <c r="C163" s="83" t="s">
        <v>1115</v>
      </c>
      <c r="D163" s="85" t="s">
        <v>1116</v>
      </c>
      <c r="E163" s="85" t="s">
        <v>1117</v>
      </c>
      <c r="F163" s="86" t="s">
        <v>641</v>
      </c>
      <c r="G163" s="86" t="s">
        <v>504</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1092</v>
      </c>
      <c r="B164" s="81" t="s">
        <v>1118</v>
      </c>
      <c r="C164" s="83" t="s">
        <v>1119</v>
      </c>
      <c r="D164" s="85" t="s">
        <v>1120</v>
      </c>
      <c r="E164" s="85" t="s">
        <v>1121</v>
      </c>
      <c r="F164" s="86" t="s">
        <v>641</v>
      </c>
      <c r="G164" s="86" t="s">
        <v>873</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1092</v>
      </c>
      <c r="B165" s="81" t="s">
        <v>1122</v>
      </c>
      <c r="C165" s="83" t="s">
        <v>1123</v>
      </c>
      <c r="D165" s="85" t="s">
        <v>1124</v>
      </c>
      <c r="E165" s="85" t="s">
        <v>1125</v>
      </c>
      <c r="F165" s="86" t="s">
        <v>641</v>
      </c>
      <c r="G165" s="86" t="s">
        <v>873</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1092</v>
      </c>
      <c r="B166" s="81" t="s">
        <v>1126</v>
      </c>
      <c r="C166" s="83" t="s">
        <v>1127</v>
      </c>
      <c r="D166" s="85" t="s">
        <v>1128</v>
      </c>
      <c r="E166" s="85" t="s">
        <v>1129</v>
      </c>
      <c r="F166" s="86" t="s">
        <v>616</v>
      </c>
      <c r="G166" s="86" t="s">
        <v>873</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1130</v>
      </c>
      <c r="B167" s="80">
        <v>18</v>
      </c>
      <c r="C167" s="82" t="s">
        <v>19</v>
      </c>
      <c r="D167" s="84" t="s">
        <v>1131</v>
      </c>
      <c r="E167" s="84" t="s">
        <v>19</v>
      </c>
      <c r="F167" s="80" t="s">
        <v>19</v>
      </c>
      <c r="G167" s="80" t="s">
        <v>19</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1130</v>
      </c>
      <c r="B168" s="81" t="s">
        <v>1132</v>
      </c>
      <c r="C168" s="83" t="s">
        <v>1133</v>
      </c>
      <c r="D168" s="85" t="s">
        <v>1134</v>
      </c>
      <c r="E168" s="85" t="s">
        <v>1135</v>
      </c>
      <c r="F168" s="86" t="s">
        <v>616</v>
      </c>
      <c r="G168" s="86" t="s">
        <v>557</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1130</v>
      </c>
      <c r="B169" s="81" t="s">
        <v>1136</v>
      </c>
      <c r="C169" s="83" t="s">
        <v>1137</v>
      </c>
      <c r="D169" s="85" t="s">
        <v>1138</v>
      </c>
      <c r="E169" s="85" t="s">
        <v>1139</v>
      </c>
      <c r="F169" s="86" t="s">
        <v>770</v>
      </c>
      <c r="G169" s="86" t="s">
        <v>509</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1130</v>
      </c>
      <c r="B170" s="81" t="s">
        <v>1140</v>
      </c>
      <c r="C170" s="83" t="s">
        <v>1141</v>
      </c>
      <c r="D170" s="85" t="s">
        <v>1142</v>
      </c>
      <c r="E170" s="85" t="s">
        <v>1143</v>
      </c>
      <c r="F170" s="86" t="s">
        <v>770</v>
      </c>
      <c r="G170" s="86" t="s">
        <v>541</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1130</v>
      </c>
      <c r="B171" s="81" t="s">
        <v>1144</v>
      </c>
      <c r="C171" s="83" t="s">
        <v>1145</v>
      </c>
      <c r="D171" s="85" t="s">
        <v>1146</v>
      </c>
      <c r="E171" s="85" t="s">
        <v>1147</v>
      </c>
      <c r="F171" s="86" t="s">
        <v>770</v>
      </c>
      <c r="G171" s="86" t="s">
        <v>541</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1130</v>
      </c>
      <c r="B172" s="91" t="s">
        <v>1148</v>
      </c>
      <c r="C172" s="92" t="s">
        <v>1149</v>
      </c>
      <c r="D172" s="93" t="s">
        <v>1150</v>
      </c>
      <c r="E172" s="93" t="s">
        <v>1151</v>
      </c>
      <c r="F172" s="94" t="s">
        <v>770</v>
      </c>
      <c r="G172" s="94" t="s">
        <v>509</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55" t="s">
        <v>209</v>
      </c>
      <c r="B176" s="255"/>
      <c r="C176" s="255"/>
      <c r="D176" s="255"/>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IFERROR(INDEX('Recommendations'!$G$2:$G$44, MATCH(J2,'Recommendations'!$A$2:$A$44,0))="Implemented", FALSE))</xm:f>
            <x14:dxf>
              <font>
                <color rgb="FF000000"/>
              </font>
              <fill>
                <patternFill>
                  <bgColor rgb="FF3C7D22"/>
                </patternFill>
              </fill>
            </x14:dxf>
          </x14:cfRule>
          <x14:cfRule type="expression" priority="2" id="{00000000-000E-0000-0400-000002000000}">
            <xm:f>AND(J2&lt;&gt;"", IFERROR(INDEX('Recommendations'!$G$2:$G$44, MATCH(J2,'Recommendations'!$A$2:$A$44,0))="Compensated", FALSE))</xm:f>
            <x14:dxf>
              <font>
                <color rgb="FF000000"/>
              </font>
              <fill>
                <patternFill>
                  <bgColor rgb="FFC6E0B4"/>
                </patternFill>
              </fill>
            </x14:dxf>
          </x14:cfRule>
          <x14:cfRule type="expression" priority="3" id="{00000000-000E-0000-0400-000003000000}">
            <xm:f>AND(J2&lt;&gt;"", IFERROR(INDEX('Recommendations'!$G$2:$G$44, MATCH(J2,'Recommendations'!$A$2:$A$44,0))="Testing", FALSE))</xm:f>
            <x14:dxf>
              <font>
                <color rgb="FF000000"/>
              </font>
              <fill>
                <patternFill>
                  <bgColor rgb="FFFFC000"/>
                </patternFill>
              </fill>
            </x14:dxf>
          </x14:cfRule>
          <x14:cfRule type="expression" priority="4" id="{00000000-000E-0000-0400-000004000000}">
            <xm:f>AND(J2&lt;&gt;"", IFERROR(INDEX('Recommendations'!$G$2:$G$44, MATCH(J2,'Recommendations'!$A$2:$A$44,0))="Failed", FALSE))</xm:f>
            <x14:dxf>
              <font>
                <color rgb="FF000000"/>
              </font>
              <fill>
                <patternFill>
                  <bgColor rgb="FFD82891"/>
                </patternFill>
              </fill>
            </x14:dxf>
          </x14:cfRule>
          <x14:cfRule type="expression" priority="5" id="{00000000-000E-0000-0400-000005000000}">
            <xm:f>AND(J2&lt;&gt;"", IFERROR(INDEX('Recommendations'!$G$2:$G$44, MATCH(J2,'Recommendations'!$A$2:$A$44,0))="Risk Accepted", FALSE))</xm:f>
            <x14:dxf>
              <font>
                <color rgb="FF000000"/>
              </font>
              <fill>
                <patternFill>
                  <bgColor rgb="FFD9D9D9"/>
                </patternFill>
              </fill>
            </x14:dxf>
          </x14:cfRule>
          <x14:cfRule type="expression" priority="6" id="{00000000-000E-0000-0400-000006000000}">
            <xm:f>AND(J2&lt;&gt;"", IFERROR(INDEX('Recommendations'!$G$2:$G$44, MATCH(J2,'Recommendations'!$A$2:$A$44,0))="N/A",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0</v>
      </c>
      <c r="B1" s="121" t="s">
        <v>1152</v>
      </c>
      <c r="C1" s="121" t="s">
        <v>9</v>
      </c>
      <c r="D1" s="121" t="s">
        <v>357</v>
      </c>
      <c r="E1" s="121" t="s">
        <v>1153</v>
      </c>
      <c r="F1" s="121" t="s">
        <v>1154</v>
      </c>
      <c r="G1" s="121" t="s">
        <v>451</v>
      </c>
      <c r="H1" s="121" t="s">
        <v>452</v>
      </c>
      <c r="I1" s="121" t="s">
        <v>453</v>
      </c>
      <c r="J1" s="121" t="s">
        <v>454</v>
      </c>
      <c r="K1" s="121" t="s">
        <v>455</v>
      </c>
      <c r="L1" s="121" t="s">
        <v>456</v>
      </c>
      <c r="M1" s="121" t="s">
        <v>457</v>
      </c>
      <c r="N1" s="121" t="s">
        <v>458</v>
      </c>
      <c r="O1" s="121" t="s">
        <v>459</v>
      </c>
      <c r="P1" s="121" t="s">
        <v>460</v>
      </c>
      <c r="Q1" s="121" t="s">
        <v>461</v>
      </c>
      <c r="R1" s="121" t="s">
        <v>462</v>
      </c>
      <c r="S1" s="121" t="s">
        <v>463</v>
      </c>
      <c r="T1" s="121" t="s">
        <v>464</v>
      </c>
      <c r="U1" s="121" t="s">
        <v>465</v>
      </c>
      <c r="V1" s="121" t="s">
        <v>466</v>
      </c>
      <c r="W1" s="121" t="s">
        <v>467</v>
      </c>
      <c r="X1" s="121" t="s">
        <v>468</v>
      </c>
      <c r="Y1" s="121" t="s">
        <v>469</v>
      </c>
      <c r="Z1" s="121" t="s">
        <v>470</v>
      </c>
      <c r="AA1" s="121" t="s">
        <v>471</v>
      </c>
      <c r="AB1" s="121" t="s">
        <v>472</v>
      </c>
      <c r="AC1" s="121" t="s">
        <v>473</v>
      </c>
      <c r="AD1" s="121" t="s">
        <v>474</v>
      </c>
      <c r="AE1" s="121" t="s">
        <v>475</v>
      </c>
      <c r="AF1" s="121" t="s">
        <v>476</v>
      </c>
      <c r="AG1" s="121" t="s">
        <v>477</v>
      </c>
      <c r="AH1" s="121" t="s">
        <v>478</v>
      </c>
      <c r="AI1" s="121" t="s">
        <v>479</v>
      </c>
      <c r="AJ1" s="121" t="s">
        <v>480</v>
      </c>
      <c r="AK1" s="121" t="s">
        <v>481</v>
      </c>
      <c r="AL1" s="121" t="s">
        <v>482</v>
      </c>
      <c r="AM1" s="121" t="s">
        <v>483</v>
      </c>
      <c r="AN1" s="121" t="s">
        <v>484</v>
      </c>
      <c r="AO1" s="121" t="s">
        <v>485</v>
      </c>
      <c r="AP1" s="121" t="s">
        <v>486</v>
      </c>
      <c r="AQ1" s="121" t="s">
        <v>487</v>
      </c>
      <c r="AR1" s="121" t="s">
        <v>488</v>
      </c>
      <c r="AS1" s="121" t="s">
        <v>489</v>
      </c>
      <c r="AT1" s="121" t="s">
        <v>490</v>
      </c>
      <c r="AU1" s="122" t="s">
        <v>491</v>
      </c>
    </row>
    <row r="2" spans="1:47" ht="60" customHeight="1" x14ac:dyDescent="0.35">
      <c r="A2" s="116" t="s">
        <v>1155</v>
      </c>
      <c r="B2" s="106" t="s">
        <v>1156</v>
      </c>
      <c r="C2" s="107" t="s">
        <v>1157</v>
      </c>
      <c r="D2" s="107" t="s">
        <v>1158</v>
      </c>
      <c r="E2" s="107" t="s">
        <v>1159</v>
      </c>
      <c r="F2" s="108" t="s">
        <v>1160</v>
      </c>
      <c r="G2" s="109" t="str">
        <f>IF(COUNTIF(H2:AU2,"&lt;&gt;")=0,"",SUMPRODUCT(((Recommendations[ImplStatus]="Implemented")+(Recommendations[ImplStatus]="Compensated"))*ISNUMBER(MATCH(Recommendations[Id],H2:AU2,0)))/COUNTIF(H2:AU2,"&lt;&gt;"))</f>
        <v/>
      </c>
      <c r="H2" s="110"/>
      <c r="I2" s="110"/>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1161</v>
      </c>
      <c r="B3" s="106" t="s">
        <v>1162</v>
      </c>
      <c r="C3" s="107" t="s">
        <v>1163</v>
      </c>
      <c r="D3" s="107" t="s">
        <v>1164</v>
      </c>
      <c r="E3" s="107" t="s">
        <v>1165</v>
      </c>
      <c r="F3" s="108" t="s">
        <v>1166</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1167</v>
      </c>
      <c r="B4" s="106" t="s">
        <v>1168</v>
      </c>
      <c r="C4" s="107" t="s">
        <v>1169</v>
      </c>
      <c r="D4" s="107" t="s">
        <v>1170</v>
      </c>
      <c r="E4" s="107" t="s">
        <v>1171</v>
      </c>
      <c r="F4" s="108" t="s">
        <v>1172</v>
      </c>
      <c r="G4" s="109" t="str">
        <f>IF(COUNTIF(H4:AU4,"&lt;&gt;")=0,"",SUMPRODUCT(((Recommendations[ImplStatus]="Implemented")+(Recommendations[ImplStatus]="Compensated"))*ISNUMBER(MATCH(Recommendations[Id],H4:AU4,0)))/COUNTIF(H4:AU4,"&lt;&gt;"))</f>
        <v/>
      </c>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1173</v>
      </c>
      <c r="B5" s="106" t="s">
        <v>1174</v>
      </c>
      <c r="C5" s="107" t="s">
        <v>1175</v>
      </c>
      <c r="D5" s="107" t="s">
        <v>1176</v>
      </c>
      <c r="E5" s="107" t="s">
        <v>1177</v>
      </c>
      <c r="F5" s="108" t="s">
        <v>1178</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1179</v>
      </c>
      <c r="B6" s="106" t="s">
        <v>1180</v>
      </c>
      <c r="C6" s="107" t="s">
        <v>1181</v>
      </c>
      <c r="D6" s="107" t="s">
        <v>1182</v>
      </c>
      <c r="E6" s="107" t="s">
        <v>19</v>
      </c>
      <c r="F6" s="108" t="s">
        <v>1183</v>
      </c>
      <c r="G6" s="109">
        <f>IF(COUNTIF(H6:AU6,"&lt;&gt;")=0,"",SUMPRODUCT(((Recommendations[ImplStatus]="Implemented")+(Recommendations[ImplStatus]="Compensated"))*ISNUMBER(MATCH(Recommendations[Id],H6:AU6,0)))/COUNTIF(H6:AU6,"&lt;&gt;"))</f>
        <v>0</v>
      </c>
      <c r="H6" s="110" t="s">
        <v>184</v>
      </c>
      <c r="I6" s="110" t="s">
        <v>189</v>
      </c>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1184</v>
      </c>
      <c r="B7" s="106" t="s">
        <v>10</v>
      </c>
      <c r="C7" s="107" t="s">
        <v>1185</v>
      </c>
      <c r="D7" s="107" t="s">
        <v>1186</v>
      </c>
      <c r="E7" s="107" t="s">
        <v>19</v>
      </c>
      <c r="F7" s="108" t="s">
        <v>1187</v>
      </c>
      <c r="G7" s="109" t="str">
        <f>IF(COUNTIF(H7:AU7,"&lt;&gt;")=0,"",SUMPRODUCT(((Recommendations[ImplStatus]="Implemented")+(Recommendations[ImplStatus]="Compensated"))*ISNUMBER(MATCH(Recommendations[Id],H7:AU7,0)))/COUNTIF(H7:AU7,"&lt;&gt;"))</f>
        <v/>
      </c>
      <c r="H7" s="110"/>
      <c r="I7" s="110"/>
      <c r="J7" s="110"/>
      <c r="K7" s="110"/>
      <c r="L7" s="110"/>
      <c r="M7" s="110"/>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1188</v>
      </c>
      <c r="B8" s="106" t="s">
        <v>1189</v>
      </c>
      <c r="C8" s="107" t="s">
        <v>1190</v>
      </c>
      <c r="D8" s="107" t="s">
        <v>1191</v>
      </c>
      <c r="E8" s="107" t="s">
        <v>19</v>
      </c>
      <c r="F8" s="108" t="s">
        <v>1192</v>
      </c>
      <c r="G8" s="109" t="str">
        <f>IF(COUNTIF(H8:AU8,"&lt;&gt;")=0,"",SUMPRODUCT(((Recommendations[ImplStatus]="Implemented")+(Recommendations[ImplStatus]="Compensated"))*ISNUMBER(MATCH(Recommendations[Id],H8:AU8,0)))/COUNTIF(H8:AU8,"&lt;&gt;"))</f>
        <v/>
      </c>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1193</v>
      </c>
      <c r="B9" s="106" t="s">
        <v>1194</v>
      </c>
      <c r="C9" s="107" t="s">
        <v>1195</v>
      </c>
      <c r="D9" s="107" t="s">
        <v>1196</v>
      </c>
      <c r="E9" s="107" t="s">
        <v>19</v>
      </c>
      <c r="F9" s="108" t="s">
        <v>1197</v>
      </c>
      <c r="G9" s="109" t="str">
        <f>IF(COUNTIF(H9:AU9,"&lt;&gt;")=0,"",SUMPRODUCT(((Recommendations[ImplStatus]="Implemented")+(Recommendations[ImplStatus]="Compensated"))*ISNUMBER(MATCH(Recommendations[Id],H9:AU9,0)))/COUNTIF(H9:AU9,"&lt;&gt;"))</f>
        <v/>
      </c>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1198</v>
      </c>
      <c r="B10" s="106" t="s">
        <v>1199</v>
      </c>
      <c r="C10" s="107" t="s">
        <v>1200</v>
      </c>
      <c r="D10" s="107" t="s">
        <v>1201</v>
      </c>
      <c r="E10" s="107" t="s">
        <v>19</v>
      </c>
      <c r="F10" s="108" t="s">
        <v>1202</v>
      </c>
      <c r="G10" s="109" t="str">
        <f>IF(COUNTIF(H10:AU10,"&lt;&gt;")=0,"",SUMPRODUCT(((Recommendations[ImplStatus]="Implemented")+(Recommendations[ImplStatus]="Compensated"))*ISNUMBER(MATCH(Recommendations[Id],H10:AU10,0)))/COUNTIF(H10:AU10,"&lt;&gt;"))</f>
        <v/>
      </c>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1203</v>
      </c>
      <c r="B11" s="106" t="s">
        <v>1204</v>
      </c>
      <c r="C11" s="107" t="s">
        <v>1205</v>
      </c>
      <c r="D11" s="107" t="s">
        <v>1206</v>
      </c>
      <c r="E11" s="107" t="s">
        <v>19</v>
      </c>
      <c r="F11" s="108" t="s">
        <v>1207</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1208</v>
      </c>
      <c r="B12" s="106" t="s">
        <v>1209</v>
      </c>
      <c r="C12" s="107" t="s">
        <v>1210</v>
      </c>
      <c r="D12" s="107" t="s">
        <v>1211</v>
      </c>
      <c r="E12" s="107" t="s">
        <v>19</v>
      </c>
      <c r="F12" s="108" t="s">
        <v>1212</v>
      </c>
      <c r="G12" s="109" t="str">
        <f>IF(COUNTIF(H12:AU12,"&lt;&gt;")=0,"",SUMPRODUCT(((Recommendations[ImplStatus]="Implemented")+(Recommendations[ImplStatus]="Compensated"))*ISNUMBER(MATCH(Recommendations[Id],H12:AU12,0)))/COUNTIF(H12:AU12,"&lt;&gt;"))</f>
        <v/>
      </c>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1213</v>
      </c>
      <c r="B13" s="106" t="s">
        <v>1214</v>
      </c>
      <c r="C13" s="107" t="s">
        <v>1215</v>
      </c>
      <c r="D13" s="107" t="s">
        <v>1216</v>
      </c>
      <c r="E13" s="107" t="s">
        <v>19</v>
      </c>
      <c r="F13" s="108" t="s">
        <v>1217</v>
      </c>
      <c r="G13" s="109">
        <f>IF(COUNTIF(H13:AU13,"&lt;&gt;")=0,"",SUMPRODUCT(((Recommendations[ImplStatus]="Implemented")+(Recommendations[ImplStatus]="Compensated"))*ISNUMBER(MATCH(Recommendations[Id],H13:AU13,0)))/COUNTIF(H13:AU13,"&lt;&gt;"))</f>
        <v>0</v>
      </c>
      <c r="H13" s="110" t="s">
        <v>13</v>
      </c>
      <c r="I13" s="110" t="s">
        <v>23</v>
      </c>
      <c r="J13" s="110" t="s">
        <v>27</v>
      </c>
      <c r="K13" s="110" t="s">
        <v>31</v>
      </c>
      <c r="L13" s="110" t="s">
        <v>51</v>
      </c>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1218</v>
      </c>
      <c r="B14" s="106" t="s">
        <v>1219</v>
      </c>
      <c r="C14" s="107" t="s">
        <v>1220</v>
      </c>
      <c r="D14" s="107" t="s">
        <v>1221</v>
      </c>
      <c r="E14" s="107" t="s">
        <v>19</v>
      </c>
      <c r="F14" s="108" t="s">
        <v>1222</v>
      </c>
      <c r="G14" s="109">
        <f>IF(COUNTIF(H14:AU14,"&lt;&gt;")=0,"",SUMPRODUCT(((Recommendations[ImplStatus]="Implemented")+(Recommendations[ImplStatus]="Compensated"))*ISNUMBER(MATCH(Recommendations[Id],H14:AU14,0)))/COUNTIF(H14:AU14,"&lt;&gt;"))</f>
        <v>0</v>
      </c>
      <c r="H14" s="110" t="s">
        <v>51</v>
      </c>
      <c r="I14" s="110" t="s">
        <v>161</v>
      </c>
      <c r="J14" s="110" t="s">
        <v>194</v>
      </c>
      <c r="K14" s="110"/>
      <c r="L14" s="110"/>
      <c r="M14" s="110"/>
      <c r="N14" s="110"/>
      <c r="O14" s="110"/>
      <c r="P14" s="110"/>
      <c r="Q14" s="110"/>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8"/>
    </row>
    <row r="15" spans="1:47" ht="60" customHeight="1" x14ac:dyDescent="0.35">
      <c r="A15" s="116" t="s">
        <v>1223</v>
      </c>
      <c r="B15" s="106" t="s">
        <v>1224</v>
      </c>
      <c r="C15" s="107" t="s">
        <v>1225</v>
      </c>
      <c r="D15" s="107" t="s">
        <v>1226</v>
      </c>
      <c r="E15" s="107" t="s">
        <v>19</v>
      </c>
      <c r="F15" s="108" t="s">
        <v>1227</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1228</v>
      </c>
      <c r="B16" s="106" t="s">
        <v>1229</v>
      </c>
      <c r="C16" s="107" t="s">
        <v>1230</v>
      </c>
      <c r="D16" s="107" t="s">
        <v>1231</v>
      </c>
      <c r="E16" s="107" t="s">
        <v>19</v>
      </c>
      <c r="F16" s="108" t="s">
        <v>1232</v>
      </c>
      <c r="G16" s="109" t="str">
        <f>IF(COUNTIF(H16:AU16,"&lt;&gt;")=0,"",SUMPRODUCT(((Recommendations[ImplStatus]="Implemented")+(Recommendations[ImplStatus]="Compensated"))*ISNUMBER(MATCH(Recommendations[Id],H16:AU16,0)))/COUNTIF(H16:AU16,"&lt;&gt;"))</f>
        <v/>
      </c>
      <c r="H16" s="110"/>
      <c r="I16" s="110"/>
      <c r="J16" s="110"/>
      <c r="K16" s="110"/>
      <c r="L16" s="110"/>
      <c r="M16" s="110"/>
      <c r="N16" s="110"/>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1233</v>
      </c>
      <c r="B17" s="106" t="s">
        <v>1234</v>
      </c>
      <c r="C17" s="107" t="s">
        <v>1235</v>
      </c>
      <c r="D17" s="107" t="s">
        <v>1236</v>
      </c>
      <c r="E17" s="107" t="s">
        <v>19</v>
      </c>
      <c r="F17" s="108" t="s">
        <v>1237</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1238</v>
      </c>
      <c r="B18" s="106" t="s">
        <v>1239</v>
      </c>
      <c r="C18" s="107" t="s">
        <v>1240</v>
      </c>
      <c r="D18" s="107" t="s">
        <v>1241</v>
      </c>
      <c r="E18" s="107" t="s">
        <v>19</v>
      </c>
      <c r="F18" s="108" t="s">
        <v>1242</v>
      </c>
      <c r="G18" s="109" t="str">
        <f>IF(COUNTIF(H18:AU18,"&lt;&gt;")=0,"",SUMPRODUCT(((Recommendations[ImplStatus]="Implemented")+(Recommendations[ImplStatus]="Compensated"))*ISNUMBER(MATCH(Recommendations[Id],H18:AU18,0)))/COUNTIF(H18:AU18,"&lt;&gt;"))</f>
        <v/>
      </c>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1243</v>
      </c>
      <c r="B19" s="106" t="s">
        <v>1244</v>
      </c>
      <c r="C19" s="107" t="s">
        <v>1245</v>
      </c>
      <c r="D19" s="107" t="s">
        <v>1246</v>
      </c>
      <c r="E19" s="107" t="s">
        <v>19</v>
      </c>
      <c r="F19" s="108" t="s">
        <v>1247</v>
      </c>
      <c r="G19" s="109" t="str">
        <f>IF(COUNTIF(H19:AU19,"&lt;&gt;")=0,"",SUMPRODUCT(((Recommendations[ImplStatus]="Implemented")+(Recommendations[ImplStatus]="Compensated"))*ISNUMBER(MATCH(Recommendations[Id],H19:AU19,0)))/COUNTIF(H19:AU19,"&lt;&gt;"))</f>
        <v/>
      </c>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1248</v>
      </c>
      <c r="B20" s="106" t="s">
        <v>1249</v>
      </c>
      <c r="C20" s="107" t="s">
        <v>1250</v>
      </c>
      <c r="D20" s="107" t="s">
        <v>1251</v>
      </c>
      <c r="E20" s="107" t="s">
        <v>19</v>
      </c>
      <c r="F20" s="108" t="s">
        <v>1252</v>
      </c>
      <c r="G20" s="109" t="str">
        <f>IF(COUNTIF(H20:AU20,"&lt;&gt;")=0,"",SUMPRODUCT(((Recommendations[ImplStatus]="Implemented")+(Recommendations[ImplStatus]="Compensated"))*ISNUMBER(MATCH(Recommendations[Id],H20:AU20,0)))/COUNTIF(H20:AU20,"&lt;&gt;"))</f>
        <v/>
      </c>
      <c r="H20" s="110"/>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1253</v>
      </c>
      <c r="B21" s="106" t="s">
        <v>1254</v>
      </c>
      <c r="C21" s="107" t="s">
        <v>1255</v>
      </c>
      <c r="D21" s="107" t="s">
        <v>1256</v>
      </c>
      <c r="E21" s="107" t="s">
        <v>1257</v>
      </c>
      <c r="F21" s="108" t="s">
        <v>1258</v>
      </c>
      <c r="G21" s="109">
        <f>IF(COUNTIF(H21:AU21,"&lt;&gt;")=0,"",SUMPRODUCT(((Recommendations[ImplStatus]="Implemented")+(Recommendations[ImplStatus]="Compensated"))*ISNUMBER(MATCH(Recommendations[Id],H21:AU21,0)))/COUNTIF(H21:AU21,"&lt;&gt;"))</f>
        <v>0</v>
      </c>
      <c r="H21" s="110" t="s">
        <v>204</v>
      </c>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1259</v>
      </c>
      <c r="B22" s="106" t="s">
        <v>1260</v>
      </c>
      <c r="C22" s="107" t="s">
        <v>1261</v>
      </c>
      <c r="D22" s="107" t="s">
        <v>1262</v>
      </c>
      <c r="E22" s="107" t="s">
        <v>1263</v>
      </c>
      <c r="F22" s="108" t="s">
        <v>1264</v>
      </c>
      <c r="G22" s="109">
        <f>IF(COUNTIF(H22:AU22,"&lt;&gt;")=0,"",SUMPRODUCT(((Recommendations[ImplStatus]="Implemented")+(Recommendations[ImplStatus]="Compensated"))*ISNUMBER(MATCH(Recommendations[Id],H22:AU22,0)))/COUNTIF(H22:AU22,"&lt;&gt;"))</f>
        <v>0</v>
      </c>
      <c r="H22" s="110" t="s">
        <v>135</v>
      </c>
      <c r="I22" s="110" t="s">
        <v>140</v>
      </c>
      <c r="J22" s="110" t="s">
        <v>144</v>
      </c>
      <c r="K22" s="110" t="s">
        <v>148</v>
      </c>
      <c r="L22" s="110" t="s">
        <v>152</v>
      </c>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1265</v>
      </c>
      <c r="B23" s="106" t="s">
        <v>1266</v>
      </c>
      <c r="C23" s="107" t="s">
        <v>1267</v>
      </c>
      <c r="D23" s="107" t="s">
        <v>1268</v>
      </c>
      <c r="E23" s="107" t="s">
        <v>1269</v>
      </c>
      <c r="F23" s="108" t="s">
        <v>1270</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1271</v>
      </c>
      <c r="B24" s="106" t="s">
        <v>1272</v>
      </c>
      <c r="C24" s="107" t="s">
        <v>1273</v>
      </c>
      <c r="D24" s="107" t="s">
        <v>1274</v>
      </c>
      <c r="E24" s="107" t="s">
        <v>19</v>
      </c>
      <c r="F24" s="108" t="s">
        <v>1275</v>
      </c>
      <c r="G24" s="109" t="str">
        <f>IF(COUNTIF(H24:AU24,"&lt;&gt;")=0,"",SUMPRODUCT(((Recommendations[ImplStatus]="Implemented")+(Recommendations[ImplStatus]="Compensated"))*ISNUMBER(MATCH(Recommendations[Id],H24:AU24,0)))/COUNTIF(H24:AU24,"&lt;&gt;"))</f>
        <v/>
      </c>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1276</v>
      </c>
      <c r="B25" s="106" t="s">
        <v>1277</v>
      </c>
      <c r="C25" s="107" t="s">
        <v>1278</v>
      </c>
      <c r="D25" s="107" t="s">
        <v>19</v>
      </c>
      <c r="E25" s="107" t="s">
        <v>19</v>
      </c>
      <c r="F25" s="108" t="s">
        <v>1279</v>
      </c>
      <c r="G25" s="109" t="str">
        <f>IF(COUNTIF(H25:AU25,"&lt;&gt;")=0,"",SUMPRODUCT(((Recommendations[ImplStatus]="Implemented")+(Recommendations[ImplStatus]="Compensated"))*ISNUMBER(MATCH(Recommendations[Id],H25:AU25,0)))/COUNTIF(H25:AU25,"&lt;&gt;"))</f>
        <v/>
      </c>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1280</v>
      </c>
      <c r="B26" s="106" t="s">
        <v>1281</v>
      </c>
      <c r="C26" s="107" t="s">
        <v>1282</v>
      </c>
      <c r="D26" s="107" t="s">
        <v>1283</v>
      </c>
      <c r="E26" s="107" t="s">
        <v>19</v>
      </c>
      <c r="F26" s="108" t="s">
        <v>1284</v>
      </c>
      <c r="G26" s="109" t="str">
        <f>IF(COUNTIF(H26:AU26,"&lt;&gt;")=0,"",SUMPRODUCT(((Recommendations[ImplStatus]="Implemented")+(Recommendations[ImplStatus]="Compensated"))*ISNUMBER(MATCH(Recommendations[Id],H26:AU26,0)))/COUNTIF(H26:AU26,"&lt;&gt;"))</f>
        <v/>
      </c>
      <c r="H26" s="110"/>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1285</v>
      </c>
      <c r="B27" s="106" t="s">
        <v>1286</v>
      </c>
      <c r="C27" s="107" t="s">
        <v>1287</v>
      </c>
      <c r="D27" s="107" t="s">
        <v>1288</v>
      </c>
      <c r="E27" s="107" t="s">
        <v>1289</v>
      </c>
      <c r="F27" s="108" t="s">
        <v>1290</v>
      </c>
      <c r="G27" s="109">
        <f>IF(COUNTIF(H27:AU27,"&lt;&gt;")=0,"",SUMPRODUCT(((Recommendations[ImplStatus]="Implemented")+(Recommendations[ImplStatus]="Compensated"))*ISNUMBER(MATCH(Recommendations[Id],H27:AU27,0)))/COUNTIF(H27:AU27,"&lt;&gt;"))</f>
        <v>0</v>
      </c>
      <c r="H27" s="110" t="s">
        <v>35</v>
      </c>
      <c r="I27" s="110" t="s">
        <v>41</v>
      </c>
      <c r="J27" s="110" t="s">
        <v>57</v>
      </c>
      <c r="K27" s="110" t="s">
        <v>62</v>
      </c>
      <c r="L27" s="110" t="s">
        <v>66</v>
      </c>
      <c r="M27" s="110" t="s">
        <v>70</v>
      </c>
      <c r="N27" s="110" t="s">
        <v>74</v>
      </c>
      <c r="O27" s="110" t="s">
        <v>78</v>
      </c>
      <c r="P27" s="110" t="s">
        <v>82</v>
      </c>
      <c r="Q27" s="110" t="s">
        <v>86</v>
      </c>
      <c r="R27" s="110" t="s">
        <v>90</v>
      </c>
      <c r="S27" s="110" t="s">
        <v>94</v>
      </c>
      <c r="T27" s="110" t="s">
        <v>98</v>
      </c>
      <c r="U27" s="110" t="s">
        <v>102</v>
      </c>
      <c r="V27" s="110" t="s">
        <v>106</v>
      </c>
      <c r="W27" s="110" t="s">
        <v>110</v>
      </c>
      <c r="X27" s="110" t="s">
        <v>114</v>
      </c>
      <c r="Y27" s="110" t="s">
        <v>118</v>
      </c>
      <c r="Z27" s="110" t="s">
        <v>122</v>
      </c>
      <c r="AA27" s="110" t="s">
        <v>126</v>
      </c>
      <c r="AB27" s="110" t="s">
        <v>130</v>
      </c>
      <c r="AC27" s="110" t="s">
        <v>166</v>
      </c>
      <c r="AD27" s="110" t="s">
        <v>171</v>
      </c>
      <c r="AE27" s="110" t="s">
        <v>199</v>
      </c>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1291</v>
      </c>
      <c r="B28" s="106" t="s">
        <v>1292</v>
      </c>
      <c r="C28" s="107" t="s">
        <v>1293</v>
      </c>
      <c r="D28" s="107" t="s">
        <v>19</v>
      </c>
      <c r="E28" s="107" t="s">
        <v>19</v>
      </c>
      <c r="F28" s="108" t="s">
        <v>1294</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1295</v>
      </c>
      <c r="B29" s="106" t="s">
        <v>1296</v>
      </c>
      <c r="C29" s="107" t="s">
        <v>1297</v>
      </c>
      <c r="D29" s="107" t="s">
        <v>1298</v>
      </c>
      <c r="E29" s="107" t="s">
        <v>1299</v>
      </c>
      <c r="F29" s="108" t="s">
        <v>1300</v>
      </c>
      <c r="G29" s="109" t="str">
        <f>IF(COUNTIF(H29:AU29,"&lt;&gt;")=0,"",SUMPRODUCT(((Recommendations[ImplStatus]="Implemented")+(Recommendations[ImplStatus]="Compensated"))*ISNUMBER(MATCH(Recommendations[Id],H29:AU29,0)))/COUNTIF(H29:AU29,"&lt;&gt;"))</f>
        <v/>
      </c>
      <c r="H29" s="110"/>
      <c r="I29" s="110"/>
      <c r="J29" s="110"/>
      <c r="K29" s="110"/>
      <c r="L29" s="110"/>
      <c r="M29" s="110"/>
      <c r="N29" s="110"/>
      <c r="O29" s="110"/>
      <c r="P29" s="110"/>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1301</v>
      </c>
      <c r="B30" s="106" t="s">
        <v>1302</v>
      </c>
      <c r="C30" s="107" t="s">
        <v>1303</v>
      </c>
      <c r="D30" s="107" t="s">
        <v>1304</v>
      </c>
      <c r="E30" s="107" t="s">
        <v>19</v>
      </c>
      <c r="F30" s="108" t="s">
        <v>1305</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1306</v>
      </c>
      <c r="B31" s="106" t="s">
        <v>1307</v>
      </c>
      <c r="C31" s="107" t="s">
        <v>1308</v>
      </c>
      <c r="D31" s="107" t="s">
        <v>1309</v>
      </c>
      <c r="E31" s="107" t="s">
        <v>1310</v>
      </c>
      <c r="F31" s="108" t="s">
        <v>1311</v>
      </c>
      <c r="G31" s="109">
        <f>IF(COUNTIF(H31:AU31,"&lt;&gt;")=0,"",SUMPRODUCT(((Recommendations[ImplStatus]="Implemented")+(Recommendations[ImplStatus]="Compensated"))*ISNUMBER(MATCH(Recommendations[Id],H31:AU31,0)))/COUNTIF(H31:AU31,"&lt;&gt;"))</f>
        <v>0</v>
      </c>
      <c r="H31" s="110" t="s">
        <v>176</v>
      </c>
      <c r="I31" s="110" t="s">
        <v>181</v>
      </c>
      <c r="J31" s="110"/>
      <c r="K31" s="110"/>
      <c r="L31" s="110"/>
      <c r="M31" s="110"/>
      <c r="N31" s="110"/>
      <c r="O31" s="110"/>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1312</v>
      </c>
      <c r="B32" s="106" t="s">
        <v>1313</v>
      </c>
      <c r="C32" s="107" t="s">
        <v>1314</v>
      </c>
      <c r="D32" s="107" t="s">
        <v>1315</v>
      </c>
      <c r="E32" s="107" t="s">
        <v>1316</v>
      </c>
      <c r="F32" s="108" t="s">
        <v>1317</v>
      </c>
      <c r="G32" s="109" t="str">
        <f>IF(COUNTIF(H32:AU32,"&lt;&gt;")=0,"",SUMPRODUCT(((Recommendations[ImplStatus]="Implemented")+(Recommendations[ImplStatus]="Compensated"))*ISNUMBER(MATCH(Recommendations[Id],H32:AU32,0)))/COUNTIF(H32:AU32,"&lt;&gt;"))</f>
        <v/>
      </c>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1318</v>
      </c>
      <c r="B33" s="106" t="s">
        <v>1319</v>
      </c>
      <c r="C33" s="107" t="s">
        <v>1320</v>
      </c>
      <c r="D33" s="107" t="s">
        <v>1321</v>
      </c>
      <c r="E33" s="107" t="s">
        <v>19</v>
      </c>
      <c r="F33" s="108" t="s">
        <v>1322</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1323</v>
      </c>
      <c r="B34" s="106" t="s">
        <v>1324</v>
      </c>
      <c r="C34" s="107" t="s">
        <v>1325</v>
      </c>
      <c r="D34" s="107" t="s">
        <v>1326</v>
      </c>
      <c r="E34" s="107" t="s">
        <v>19</v>
      </c>
      <c r="F34" s="108" t="s">
        <v>1327</v>
      </c>
      <c r="G34" s="109" t="str">
        <f>IF(COUNTIF(H34:AU34,"&lt;&gt;")=0,"",SUMPRODUCT(((Recommendations[ImplStatus]="Implemented")+(Recommendations[ImplStatus]="Compensated"))*ISNUMBER(MATCH(Recommendations[Id],H34:AU34,0)))/COUNTIF(H34:AU34,"&lt;&gt;"))</f>
        <v/>
      </c>
      <c r="H34" s="110"/>
      <c r="I34" s="110"/>
      <c r="J34" s="110"/>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1328</v>
      </c>
      <c r="B35" s="106" t="s">
        <v>1329</v>
      </c>
      <c r="C35" s="107" t="s">
        <v>1330</v>
      </c>
      <c r="D35" s="107" t="s">
        <v>1331</v>
      </c>
      <c r="E35" s="107" t="s">
        <v>1332</v>
      </c>
      <c r="F35" s="108" t="s">
        <v>1333</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1334</v>
      </c>
      <c r="B36" s="106" t="s">
        <v>1335</v>
      </c>
      <c r="C36" s="107" t="s">
        <v>1336</v>
      </c>
      <c r="D36" s="107" t="s">
        <v>1337</v>
      </c>
      <c r="E36" s="107" t="s">
        <v>1338</v>
      </c>
      <c r="F36" s="108" t="s">
        <v>1339</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1340</v>
      </c>
      <c r="B37" s="106" t="s">
        <v>1341</v>
      </c>
      <c r="C37" s="107" t="s">
        <v>1342</v>
      </c>
      <c r="D37" s="107" t="s">
        <v>1343</v>
      </c>
      <c r="E37" s="107" t="s">
        <v>19</v>
      </c>
      <c r="F37" s="108" t="s">
        <v>1344</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1345</v>
      </c>
      <c r="B38" s="106" t="s">
        <v>1346</v>
      </c>
      <c r="C38" s="107" t="s">
        <v>1347</v>
      </c>
      <c r="D38" s="107" t="s">
        <v>1348</v>
      </c>
      <c r="E38" s="107" t="s">
        <v>1349</v>
      </c>
      <c r="F38" s="108" t="s">
        <v>1350</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1351</v>
      </c>
      <c r="B39" s="106" t="s">
        <v>1352</v>
      </c>
      <c r="C39" s="107" t="s">
        <v>1353</v>
      </c>
      <c r="D39" s="107" t="s">
        <v>1354</v>
      </c>
      <c r="E39" s="107" t="s">
        <v>19</v>
      </c>
      <c r="F39" s="108" t="s">
        <v>1355</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1356</v>
      </c>
      <c r="B40" s="106" t="s">
        <v>1357</v>
      </c>
      <c r="C40" s="107" t="s">
        <v>1358</v>
      </c>
      <c r="D40" s="107" t="s">
        <v>1359</v>
      </c>
      <c r="E40" s="107" t="s">
        <v>1360</v>
      </c>
      <c r="F40" s="108" t="s">
        <v>1361</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1362</v>
      </c>
      <c r="B41" s="106" t="s">
        <v>1363</v>
      </c>
      <c r="C41" s="107" t="s">
        <v>1364</v>
      </c>
      <c r="D41" s="107" t="s">
        <v>1365</v>
      </c>
      <c r="E41" s="107" t="s">
        <v>1366</v>
      </c>
      <c r="F41" s="108" t="s">
        <v>1367</v>
      </c>
      <c r="G41" s="109" t="str">
        <f>IF(COUNTIF(H41:AU41,"&lt;&gt;")=0,"",SUMPRODUCT(((Recommendations[ImplStatus]="Implemented")+(Recommendations[ImplStatus]="Compensated"))*ISNUMBER(MATCH(Recommendations[Id],H41:AU41,0)))/COUNTIF(H41:AU41,"&lt;&gt;"))</f>
        <v/>
      </c>
      <c r="H41" s="110"/>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1368</v>
      </c>
      <c r="B42" s="106" t="s">
        <v>1369</v>
      </c>
      <c r="C42" s="107" t="s">
        <v>1370</v>
      </c>
      <c r="D42" s="107" t="s">
        <v>1371</v>
      </c>
      <c r="E42" s="107" t="s">
        <v>1372</v>
      </c>
      <c r="F42" s="108" t="s">
        <v>1373</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1374</v>
      </c>
      <c r="B43" s="106" t="s">
        <v>1375</v>
      </c>
      <c r="C43" s="107" t="s">
        <v>1376</v>
      </c>
      <c r="D43" s="107" t="s">
        <v>1377</v>
      </c>
      <c r="E43" s="107" t="s">
        <v>1378</v>
      </c>
      <c r="F43" s="108" t="s">
        <v>1379</v>
      </c>
      <c r="G43" s="109" t="str">
        <f>IF(COUNTIF(H43:AU43,"&lt;&gt;")=0,"",SUMPRODUCT(((Recommendations[ImplStatus]="Implemented")+(Recommendations[ImplStatus]="Compensated"))*ISNUMBER(MATCH(Recommendations[Id],H43:AU43,0)))/COUNTIF(H43:AU43,"&lt;&gt;"))</f>
        <v/>
      </c>
      <c r="H43" s="110"/>
      <c r="I43" s="110"/>
      <c r="J43" s="110"/>
      <c r="K43" s="110"/>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1380</v>
      </c>
      <c r="B44" s="106" t="s">
        <v>1381</v>
      </c>
      <c r="C44" s="107" t="s">
        <v>1382</v>
      </c>
      <c r="D44" s="107" t="s">
        <v>1383</v>
      </c>
      <c r="E44" s="107" t="s">
        <v>19</v>
      </c>
      <c r="F44" s="108" t="s">
        <v>1384</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1385</v>
      </c>
      <c r="B45" s="111" t="s">
        <v>1386</v>
      </c>
      <c r="C45" s="112" t="s">
        <v>1387</v>
      </c>
      <c r="D45" s="112" t="s">
        <v>1388</v>
      </c>
      <c r="E45" s="112" t="s">
        <v>1389</v>
      </c>
      <c r="F45" s="113" t="s">
        <v>1390</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55" t="s">
        <v>209</v>
      </c>
      <c r="B49" s="255"/>
      <c r="C49" s="255"/>
      <c r="D49" s="255"/>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IFERROR(INDEX('Recommendations'!$G$2:$G$44, MATCH(H2,'Recommendations'!$A$2:$A$44,0))="Implemented", FALSE))</xm:f>
            <x14:dxf>
              <font>
                <color rgb="FF000000"/>
              </font>
              <fill>
                <patternFill>
                  <bgColor rgb="FF3C7D22"/>
                </patternFill>
              </fill>
            </x14:dxf>
          </x14:cfRule>
          <x14:cfRule type="expression" priority="2" id="{00000000-000E-0000-0500-000002000000}">
            <xm:f>AND(H2&lt;&gt;"", IFERROR(INDEX('Recommendations'!$G$2:$G$44, MATCH(H2,'Recommendations'!$A$2:$A$44,0))="Compensated", FALSE))</xm:f>
            <x14:dxf>
              <font>
                <color rgb="FF000000"/>
              </font>
              <fill>
                <patternFill>
                  <bgColor rgb="FFC6E0B4"/>
                </patternFill>
              </fill>
            </x14:dxf>
          </x14:cfRule>
          <x14:cfRule type="expression" priority="3" id="{00000000-000E-0000-0500-000003000000}">
            <xm:f>AND(H2&lt;&gt;"", IFERROR(INDEX('Recommendations'!$G$2:$G$44, MATCH(H2,'Recommendations'!$A$2:$A$44,0))="Testing", FALSE))</xm:f>
            <x14:dxf>
              <font>
                <color rgb="FF000000"/>
              </font>
              <fill>
                <patternFill>
                  <bgColor rgb="FFFFC000"/>
                </patternFill>
              </fill>
            </x14:dxf>
          </x14:cfRule>
          <x14:cfRule type="expression" priority="4" id="{00000000-000E-0000-0500-000004000000}">
            <xm:f>AND(H2&lt;&gt;"", IFERROR(INDEX('Recommendations'!$G$2:$G$44, MATCH(H2,'Recommendations'!$A$2:$A$44,0))="Failed", FALSE))</xm:f>
            <x14:dxf>
              <font>
                <color rgb="FF000000"/>
              </font>
              <fill>
                <patternFill>
                  <bgColor rgb="FFD82891"/>
                </patternFill>
              </fill>
            </x14:dxf>
          </x14:cfRule>
          <x14:cfRule type="expression" priority="5" id="{00000000-000E-0000-0500-000005000000}">
            <xm:f>AND(H2&lt;&gt;"", IFERROR(INDEX('Recommendations'!$G$2:$G$44, MATCH(H2,'Recommendations'!$A$2:$A$44,0))="Risk Accepted", FALSE))</xm:f>
            <x14:dxf>
              <font>
                <color rgb="FF000000"/>
              </font>
              <fill>
                <patternFill>
                  <bgColor rgb="FFD9D9D9"/>
                </patternFill>
              </fill>
            </x14:dxf>
          </x14:cfRule>
          <x14:cfRule type="expression" priority="6" id="{00000000-000E-0000-0500-000006000000}">
            <xm:f>AND(H2&lt;&gt;"", IFERROR(INDEX('Recommendations'!$G$2:$G$44, MATCH(H2,'Recommendations'!$A$2:$A$44,0))="N/A",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1391</v>
      </c>
      <c r="B1" s="145" t="s">
        <v>445</v>
      </c>
      <c r="C1" s="145" t="s">
        <v>0</v>
      </c>
      <c r="D1" s="145" t="s">
        <v>446</v>
      </c>
      <c r="E1" s="145" t="s">
        <v>1392</v>
      </c>
      <c r="F1" s="145" t="s">
        <v>1393</v>
      </c>
      <c r="G1" s="145" t="s">
        <v>1394</v>
      </c>
      <c r="H1" s="145" t="s">
        <v>1395</v>
      </c>
      <c r="I1" s="145" t="s">
        <v>451</v>
      </c>
      <c r="J1" s="145" t="s">
        <v>452</v>
      </c>
      <c r="K1" s="145" t="s">
        <v>453</v>
      </c>
      <c r="L1" s="145" t="s">
        <v>454</v>
      </c>
      <c r="M1" s="145" t="s">
        <v>455</v>
      </c>
      <c r="N1" s="145" t="s">
        <v>456</v>
      </c>
      <c r="O1" s="145" t="s">
        <v>457</v>
      </c>
      <c r="P1" s="145" t="s">
        <v>458</v>
      </c>
      <c r="Q1" s="145" t="s">
        <v>459</v>
      </c>
      <c r="R1" s="145" t="s">
        <v>460</v>
      </c>
      <c r="S1" s="145" t="s">
        <v>461</v>
      </c>
      <c r="T1" s="145" t="s">
        <v>462</v>
      </c>
      <c r="U1" s="145" t="s">
        <v>463</v>
      </c>
      <c r="V1" s="145" t="s">
        <v>464</v>
      </c>
      <c r="W1" s="145" t="s">
        <v>465</v>
      </c>
      <c r="X1" s="145" t="s">
        <v>466</v>
      </c>
      <c r="Y1" s="145" t="s">
        <v>467</v>
      </c>
      <c r="Z1" s="145" t="s">
        <v>468</v>
      </c>
      <c r="AA1" s="145" t="s">
        <v>469</v>
      </c>
      <c r="AB1" s="145" t="s">
        <v>470</v>
      </c>
      <c r="AC1" s="145" t="s">
        <v>471</v>
      </c>
      <c r="AD1" s="145" t="s">
        <v>472</v>
      </c>
      <c r="AE1" s="145" t="s">
        <v>473</v>
      </c>
      <c r="AF1" s="145" t="s">
        <v>474</v>
      </c>
      <c r="AG1" s="145" t="s">
        <v>475</v>
      </c>
      <c r="AH1" s="145" t="s">
        <v>476</v>
      </c>
      <c r="AI1" s="145" t="s">
        <v>477</v>
      </c>
      <c r="AJ1" s="145" t="s">
        <v>478</v>
      </c>
      <c r="AK1" s="145" t="s">
        <v>479</v>
      </c>
      <c r="AL1" s="145" t="s">
        <v>480</v>
      </c>
      <c r="AM1" s="145" t="s">
        <v>481</v>
      </c>
      <c r="AN1" s="145" t="s">
        <v>482</v>
      </c>
      <c r="AO1" s="145" t="s">
        <v>483</v>
      </c>
      <c r="AP1" s="145" t="s">
        <v>484</v>
      </c>
      <c r="AQ1" s="145" t="s">
        <v>485</v>
      </c>
      <c r="AR1" s="145" t="s">
        <v>486</v>
      </c>
      <c r="AS1" s="145" t="s">
        <v>487</v>
      </c>
      <c r="AT1" s="145" t="s">
        <v>488</v>
      </c>
      <c r="AU1" s="145" t="s">
        <v>489</v>
      </c>
      <c r="AV1" s="145" t="s">
        <v>490</v>
      </c>
      <c r="AW1" s="146" t="s">
        <v>491</v>
      </c>
    </row>
    <row r="2" spans="1:49" ht="60" customHeight="1" outlineLevel="1" x14ac:dyDescent="0.35">
      <c r="A2" s="138" t="s">
        <v>1396</v>
      </c>
      <c r="B2" s="124"/>
      <c r="C2" s="123" t="s">
        <v>1397</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1396</v>
      </c>
      <c r="B3" s="125" t="s">
        <v>662</v>
      </c>
      <c r="C3" s="126" t="s">
        <v>1398</v>
      </c>
      <c r="D3" s="128" t="s">
        <v>1399</v>
      </c>
      <c r="E3" s="128" t="s">
        <v>1400</v>
      </c>
      <c r="F3" s="128" t="s">
        <v>1401</v>
      </c>
      <c r="G3" s="128" t="s">
        <v>1402</v>
      </c>
      <c r="H3" s="128" t="s">
        <v>1403</v>
      </c>
      <c r="I3" s="130" t="str">
        <f>IF(COUNTIF(J3:AW3,"&lt;&gt;")=0,"",SUMPRODUCT(((Recommendations[ImplStatus]="Implemented")+(Recommendations[ImplStatus]="Compensated"))*ISNUMBER(MATCH(Recommendations[Id],J3:AW3,0)))/COUNTIF(J3:AW3,"&lt;&gt;"))</f>
        <v/>
      </c>
      <c r="J3" s="132"/>
      <c r="K3" s="132"/>
      <c r="L3" s="132"/>
      <c r="M3" s="132"/>
      <c r="N3" s="132"/>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1396</v>
      </c>
      <c r="B4" s="125" t="s">
        <v>1404</v>
      </c>
      <c r="C4" s="126" t="s">
        <v>1405</v>
      </c>
      <c r="D4" s="128" t="s">
        <v>1406</v>
      </c>
      <c r="E4" s="128" t="s">
        <v>1407</v>
      </c>
      <c r="F4" s="128" t="s">
        <v>1408</v>
      </c>
      <c r="G4" s="128" t="s">
        <v>1409</v>
      </c>
      <c r="H4" s="128" t="s">
        <v>1410</v>
      </c>
      <c r="I4" s="130" t="str">
        <f>IF(COUNTIF(J4:AW4,"&lt;&gt;")=0,"",SUMPRODUCT(((Recommendations[ImplStatus]="Implemented")+(Recommendations[ImplStatus]="Compensated"))*ISNUMBER(MATCH(Recommendations[Id],J4:AW4,0)))/COUNTIF(J4:AW4,"&lt;&gt;"))</f>
        <v/>
      </c>
      <c r="J4" s="132"/>
      <c r="K4" s="132"/>
      <c r="L4" s="132"/>
      <c r="M4" s="132"/>
      <c r="N4" s="132"/>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1396</v>
      </c>
      <c r="B5" s="125" t="s">
        <v>1411</v>
      </c>
      <c r="C5" s="126" t="s">
        <v>1412</v>
      </c>
      <c r="D5" s="128" t="s">
        <v>1413</v>
      </c>
      <c r="E5" s="128" t="s">
        <v>1414</v>
      </c>
      <c r="F5" s="128" t="s">
        <v>1415</v>
      </c>
      <c r="G5" s="128" t="s">
        <v>1416</v>
      </c>
      <c r="H5" s="128" t="s">
        <v>1417</v>
      </c>
      <c r="I5" s="130" t="str">
        <f>IF(COUNTIF(J5:AW5,"&lt;&gt;")=0,"",SUMPRODUCT(((Recommendations[ImplStatus]="Implemented")+(Recommendations[ImplStatus]="Compensated"))*ISNUMBER(MATCH(Recommendations[Id],J5:AW5,0)))/COUNTIF(J5:AW5,"&lt;&gt;"))</f>
        <v/>
      </c>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1396</v>
      </c>
      <c r="B6" s="125" t="s">
        <v>1418</v>
      </c>
      <c r="C6" s="126" t="s">
        <v>1419</v>
      </c>
      <c r="D6" s="128" t="s">
        <v>1420</v>
      </c>
      <c r="E6" s="128" t="s">
        <v>1421</v>
      </c>
      <c r="F6" s="128" t="s">
        <v>1422</v>
      </c>
      <c r="G6" s="128" t="s">
        <v>1423</v>
      </c>
      <c r="H6" s="128" t="s">
        <v>1424</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1396</v>
      </c>
      <c r="B7" s="125" t="s">
        <v>1425</v>
      </c>
      <c r="C7" s="126" t="s">
        <v>1426</v>
      </c>
      <c r="D7" s="128" t="s">
        <v>1427</v>
      </c>
      <c r="E7" s="128" t="s">
        <v>1428</v>
      </c>
      <c r="F7" s="128" t="s">
        <v>1429</v>
      </c>
      <c r="G7" s="128" t="s">
        <v>1430</v>
      </c>
      <c r="H7" s="128" t="s">
        <v>1431</v>
      </c>
      <c r="I7" s="130">
        <f>IF(COUNTIF(J7:AW7,"&lt;&gt;")=0,"",SUMPRODUCT(((Recommendations[ImplStatus]="Implemented")+(Recommendations[ImplStatus]="Compensated"))*ISNUMBER(MATCH(Recommendations[Id],J7:AW7,0)))/COUNTIF(J7:AW7,"&lt;&gt;"))</f>
        <v>0</v>
      </c>
      <c r="J7" s="132" t="s">
        <v>204</v>
      </c>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1396</v>
      </c>
      <c r="B8" s="125" t="s">
        <v>1432</v>
      </c>
      <c r="C8" s="126" t="s">
        <v>1433</v>
      </c>
      <c r="D8" s="128" t="s">
        <v>1434</v>
      </c>
      <c r="E8" s="128" t="s">
        <v>1435</v>
      </c>
      <c r="F8" s="128" t="s">
        <v>1436</v>
      </c>
      <c r="G8" s="128" t="s">
        <v>1430</v>
      </c>
      <c r="H8" s="128" t="s">
        <v>1437</v>
      </c>
      <c r="I8" s="130" t="str">
        <f>IF(COUNTIF(J8:AW8,"&lt;&gt;")=0,"",SUMPRODUCT(((Recommendations[ImplStatus]="Implemented")+(Recommendations[ImplStatus]="Compensated"))*ISNUMBER(MATCH(Recommendations[Id],J8:AW8,0)))/COUNTIF(J8:AW8,"&lt;&gt;"))</f>
        <v/>
      </c>
      <c r="J8" s="132"/>
      <c r="K8" s="132"/>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1396</v>
      </c>
      <c r="B9" s="125" t="s">
        <v>1438</v>
      </c>
      <c r="C9" s="126" t="s">
        <v>1439</v>
      </c>
      <c r="D9" s="128" t="s">
        <v>1440</v>
      </c>
      <c r="E9" s="128" t="s">
        <v>1441</v>
      </c>
      <c r="F9" s="128" t="s">
        <v>1442</v>
      </c>
      <c r="G9" s="128" t="s">
        <v>1443</v>
      </c>
      <c r="H9" s="128" t="s">
        <v>1444</v>
      </c>
      <c r="I9" s="130">
        <f>IF(COUNTIF(J9:AW9,"&lt;&gt;")=0,"",SUMPRODUCT(((Recommendations[ImplStatus]="Implemented")+(Recommendations[ImplStatus]="Compensated"))*ISNUMBER(MATCH(Recommendations[Id],J9:AW9,0)))/COUNTIF(J9:AW9,"&lt;&gt;"))</f>
        <v>0</v>
      </c>
      <c r="J9" s="132" t="s">
        <v>176</v>
      </c>
      <c r="K9" s="132" t="s">
        <v>181</v>
      </c>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1396</v>
      </c>
      <c r="B10" s="125" t="s">
        <v>1445</v>
      </c>
      <c r="C10" s="126" t="s">
        <v>1446</v>
      </c>
      <c r="D10" s="128" t="s">
        <v>1447</v>
      </c>
      <c r="E10" s="128" t="s">
        <v>1448</v>
      </c>
      <c r="F10" s="128" t="s">
        <v>1449</v>
      </c>
      <c r="G10" s="128" t="s">
        <v>1450</v>
      </c>
      <c r="H10" s="128" t="s">
        <v>1451</v>
      </c>
      <c r="I10" s="130" t="str">
        <f>IF(COUNTIF(J10:AW10,"&lt;&gt;")=0,"",SUMPRODUCT(((Recommendations[ImplStatus]="Implemented")+(Recommendations[ImplStatus]="Compensated"))*ISNUMBER(MATCH(Recommendations[Id],J10:AW10,0)))/COUNTIF(J10:AW10,"&lt;&gt;"))</f>
        <v/>
      </c>
      <c r="J10" s="132"/>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1396</v>
      </c>
      <c r="B11" s="125" t="s">
        <v>1452</v>
      </c>
      <c r="C11" s="126" t="s">
        <v>1453</v>
      </c>
      <c r="D11" s="128" t="s">
        <v>1454</v>
      </c>
      <c r="E11" s="128" t="s">
        <v>1455</v>
      </c>
      <c r="F11" s="128" t="s">
        <v>1456</v>
      </c>
      <c r="G11" s="128" t="s">
        <v>1457</v>
      </c>
      <c r="H11" s="128" t="s">
        <v>1458</v>
      </c>
      <c r="I11" s="130" t="str">
        <f>IF(COUNTIF(J11:AW11,"&lt;&gt;")=0,"",SUMPRODUCT(((Recommendations[ImplStatus]="Implemented")+(Recommendations[ImplStatus]="Compensated"))*ISNUMBER(MATCH(Recommendations[Id],J11:AW11,0)))/COUNTIF(J11:AW11,"&lt;&gt;"))</f>
        <v/>
      </c>
      <c r="J11" s="132"/>
      <c r="K11" s="132"/>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1396</v>
      </c>
      <c r="B12" s="125" t="s">
        <v>1459</v>
      </c>
      <c r="C12" s="126" t="s">
        <v>1460</v>
      </c>
      <c r="D12" s="128" t="s">
        <v>1461</v>
      </c>
      <c r="E12" s="128" t="s">
        <v>1462</v>
      </c>
      <c r="F12" s="128" t="s">
        <v>1463</v>
      </c>
      <c r="G12" s="128" t="s">
        <v>1450</v>
      </c>
      <c r="H12" s="128" t="s">
        <v>1464</v>
      </c>
      <c r="I12" s="130" t="str">
        <f>IF(COUNTIF(J12:AW12,"&lt;&gt;")=0,"",SUMPRODUCT(((Recommendations[ImplStatus]="Implemented")+(Recommendations[ImplStatus]="Compensated"))*ISNUMBER(MATCH(Recommendations[Id],J12:AW12,0)))/COUNTIF(J12:AW12,"&lt;&gt;"))</f>
        <v/>
      </c>
      <c r="J12" s="132"/>
      <c r="K12" s="132"/>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1396</v>
      </c>
      <c r="B13" s="125" t="s">
        <v>1465</v>
      </c>
      <c r="C13" s="126" t="s">
        <v>1466</v>
      </c>
      <c r="D13" s="128" t="s">
        <v>1467</v>
      </c>
      <c r="E13" s="128" t="s">
        <v>1468</v>
      </c>
      <c r="F13" s="128" t="s">
        <v>1469</v>
      </c>
      <c r="G13" s="128" t="s">
        <v>1450</v>
      </c>
      <c r="H13" s="128" t="s">
        <v>1470</v>
      </c>
      <c r="I13" s="130">
        <f>IF(COUNTIF(J13:AW13,"&lt;&gt;")=0,"",SUMPRODUCT(((Recommendations[ImplStatus]="Implemented")+(Recommendations[ImplStatus]="Compensated"))*ISNUMBER(MATCH(Recommendations[Id],J13:AW13,0)))/COUNTIF(J13:AW13,"&lt;&gt;"))</f>
        <v>0</v>
      </c>
      <c r="J13" s="132" t="s">
        <v>156</v>
      </c>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1396</v>
      </c>
      <c r="B14" s="125" t="s">
        <v>1471</v>
      </c>
      <c r="C14" s="126" t="s">
        <v>1472</v>
      </c>
      <c r="D14" s="128" t="s">
        <v>1473</v>
      </c>
      <c r="E14" s="128" t="s">
        <v>1474</v>
      </c>
      <c r="F14" s="128" t="s">
        <v>1475</v>
      </c>
      <c r="G14" s="128" t="s">
        <v>1476</v>
      </c>
      <c r="H14" s="128" t="s">
        <v>1477</v>
      </c>
      <c r="I14" s="130" t="str">
        <f>IF(COUNTIF(J14:AW14,"&lt;&gt;")=0,"",SUMPRODUCT(((Recommendations[ImplStatus]="Implemented")+(Recommendations[ImplStatus]="Compensated"))*ISNUMBER(MATCH(Recommendations[Id],J14:AW14,0)))/COUNTIF(J14:AW14,"&lt;&gt;"))</f>
        <v/>
      </c>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1396</v>
      </c>
      <c r="B15" s="125" t="s">
        <v>1478</v>
      </c>
      <c r="C15" s="126" t="s">
        <v>1479</v>
      </c>
      <c r="D15" s="128" t="s">
        <v>1480</v>
      </c>
      <c r="E15" s="128" t="s">
        <v>1481</v>
      </c>
      <c r="F15" s="128" t="s">
        <v>1482</v>
      </c>
      <c r="G15" s="128" t="s">
        <v>1483</v>
      </c>
      <c r="H15" s="128" t="s">
        <v>1484</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1396</v>
      </c>
      <c r="B16" s="125" t="s">
        <v>1485</v>
      </c>
      <c r="C16" s="126" t="s">
        <v>1486</v>
      </c>
      <c r="D16" s="128" t="s">
        <v>1487</v>
      </c>
      <c r="E16" s="128" t="s">
        <v>1488</v>
      </c>
      <c r="F16" s="128" t="s">
        <v>1489</v>
      </c>
      <c r="G16" s="128" t="s">
        <v>1490</v>
      </c>
      <c r="H16" s="128" t="s">
        <v>1491</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1396</v>
      </c>
      <c r="B17" s="125" t="s">
        <v>1492</v>
      </c>
      <c r="C17" s="126" t="s">
        <v>1493</v>
      </c>
      <c r="D17" s="128" t="s">
        <v>1494</v>
      </c>
      <c r="E17" s="128" t="s">
        <v>1495</v>
      </c>
      <c r="F17" s="128" t="s">
        <v>1496</v>
      </c>
      <c r="G17" s="128" t="s">
        <v>1497</v>
      </c>
      <c r="H17" s="128" t="s">
        <v>1498</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1396</v>
      </c>
      <c r="B18" s="125" t="s">
        <v>1499</v>
      </c>
      <c r="C18" s="126" t="s">
        <v>1500</v>
      </c>
      <c r="D18" s="128" t="s">
        <v>1501</v>
      </c>
      <c r="E18" s="128" t="s">
        <v>1502</v>
      </c>
      <c r="F18" s="128" t="s">
        <v>19</v>
      </c>
      <c r="G18" s="128" t="s">
        <v>19</v>
      </c>
      <c r="H18" s="128" t="s">
        <v>19</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1503</v>
      </c>
      <c r="B19" s="124"/>
      <c r="C19" s="123" t="s">
        <v>1504</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1503</v>
      </c>
      <c r="B20" s="125" t="s">
        <v>1505</v>
      </c>
      <c r="C20" s="126" t="s">
        <v>1506</v>
      </c>
      <c r="D20" s="128" t="s">
        <v>1507</v>
      </c>
      <c r="E20" s="128" t="s">
        <v>1508</v>
      </c>
      <c r="F20" s="128" t="s">
        <v>1509</v>
      </c>
      <c r="G20" s="128" t="s">
        <v>1510</v>
      </c>
      <c r="H20" s="128" t="s">
        <v>1511</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1503</v>
      </c>
      <c r="B21" s="125" t="s">
        <v>1512</v>
      </c>
      <c r="C21" s="126" t="s">
        <v>1513</v>
      </c>
      <c r="D21" s="128" t="s">
        <v>1514</v>
      </c>
      <c r="E21" s="128" t="s">
        <v>1515</v>
      </c>
      <c r="F21" s="128" t="s">
        <v>1516</v>
      </c>
      <c r="G21" s="128" t="s">
        <v>1517</v>
      </c>
      <c r="H21" s="128" t="s">
        <v>1518</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1519</v>
      </c>
      <c r="B22" s="124"/>
      <c r="C22" s="123" t="s">
        <v>1520</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1519</v>
      </c>
      <c r="B23" s="125" t="s">
        <v>1521</v>
      </c>
      <c r="C23" s="126" t="s">
        <v>1522</v>
      </c>
      <c r="D23" s="128" t="s">
        <v>1523</v>
      </c>
      <c r="E23" s="128" t="s">
        <v>1524</v>
      </c>
      <c r="F23" s="128" t="s">
        <v>1525</v>
      </c>
      <c r="G23" s="128" t="s">
        <v>1526</v>
      </c>
      <c r="H23" s="128" t="s">
        <v>1527</v>
      </c>
      <c r="I23" s="130" t="str">
        <f>IF(COUNTIF(J23:AW23,"&lt;&gt;")=0,"",SUMPRODUCT(((Recommendations[ImplStatus]="Implemented")+(Recommendations[ImplStatus]="Compensated"))*ISNUMBER(MATCH(Recommendations[Id],J23:AW23,0)))/COUNTIF(J23:AW23,"&lt;&gt;"))</f>
        <v/>
      </c>
      <c r="J23" s="132"/>
      <c r="K23" s="132"/>
      <c r="L23" s="132"/>
      <c r="M23" s="132"/>
      <c r="N23" s="132"/>
      <c r="O23" s="132"/>
      <c r="P23" s="132"/>
      <c r="Q23" s="132"/>
      <c r="R23" s="132"/>
      <c r="S23" s="132"/>
      <c r="T23" s="132"/>
      <c r="U23" s="132"/>
      <c r="V23" s="132"/>
      <c r="W23" s="132"/>
      <c r="X23" s="132"/>
      <c r="Y23" s="132"/>
      <c r="Z23" s="132"/>
      <c r="AA23" s="132"/>
      <c r="AB23" s="132"/>
      <c r="AC23" s="132"/>
      <c r="AD23" s="132"/>
      <c r="AE23" s="132"/>
      <c r="AF23" s="132"/>
      <c r="AG23" s="132"/>
      <c r="AH23" s="132"/>
      <c r="AI23" s="132"/>
      <c r="AJ23" s="132"/>
      <c r="AK23" s="132"/>
      <c r="AL23" s="132"/>
      <c r="AM23" s="132"/>
      <c r="AN23" s="132"/>
      <c r="AO23" s="132"/>
      <c r="AP23" s="132"/>
      <c r="AQ23" s="132"/>
      <c r="AR23" s="132"/>
      <c r="AS23" s="132"/>
      <c r="AT23" s="132"/>
      <c r="AU23" s="132"/>
      <c r="AV23" s="132"/>
      <c r="AW23" s="142"/>
    </row>
    <row r="24" spans="1:49" ht="60" customHeight="1" x14ac:dyDescent="0.35">
      <c r="A24" s="139" t="s">
        <v>1519</v>
      </c>
      <c r="B24" s="125" t="s">
        <v>1528</v>
      </c>
      <c r="C24" s="126" t="s">
        <v>1529</v>
      </c>
      <c r="D24" s="128" t="s">
        <v>1530</v>
      </c>
      <c r="E24" s="128" t="s">
        <v>1531</v>
      </c>
      <c r="F24" s="128" t="s">
        <v>1532</v>
      </c>
      <c r="G24" s="128" t="s">
        <v>1533</v>
      </c>
      <c r="H24" s="128" t="s">
        <v>1534</v>
      </c>
      <c r="I24" s="130" t="str">
        <f>IF(COUNTIF(J24:AW24,"&lt;&gt;")=0,"",SUMPRODUCT(((Recommendations[ImplStatus]="Implemented")+(Recommendations[ImplStatus]="Compensated"))*ISNUMBER(MATCH(Recommendations[Id],J24:AW24,0)))/COUNTIF(J24:AW24,"&lt;&gt;"))</f>
        <v/>
      </c>
      <c r="J24" s="132"/>
      <c r="K24" s="132"/>
      <c r="L24" s="132"/>
      <c r="M24" s="132"/>
      <c r="N24" s="132"/>
      <c r="O24" s="132"/>
      <c r="P24" s="132"/>
      <c r="Q24" s="132"/>
      <c r="R24" s="132"/>
      <c r="S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1519</v>
      </c>
      <c r="B25" s="125" t="s">
        <v>1535</v>
      </c>
      <c r="C25" s="126" t="s">
        <v>1536</v>
      </c>
      <c r="D25" s="128" t="s">
        <v>1537</v>
      </c>
      <c r="E25" s="128" t="s">
        <v>1538</v>
      </c>
      <c r="F25" s="128" t="s">
        <v>1539</v>
      </c>
      <c r="G25" s="128" t="s">
        <v>1540</v>
      </c>
      <c r="H25" s="128" t="s">
        <v>1541</v>
      </c>
      <c r="I25" s="130" t="str">
        <f>IF(COUNTIF(J25:AW25,"&lt;&gt;")=0,"",SUMPRODUCT(((Recommendations[ImplStatus]="Implemented")+(Recommendations[ImplStatus]="Compensated"))*ISNUMBER(MATCH(Recommendations[Id],J25:AW25,0)))/COUNTIF(J25:AW25,"&lt;&gt;"))</f>
        <v/>
      </c>
      <c r="J25" s="132"/>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1519</v>
      </c>
      <c r="B26" s="125" t="s">
        <v>1542</v>
      </c>
      <c r="C26" s="126" t="s">
        <v>1543</v>
      </c>
      <c r="D26" s="128" t="s">
        <v>1544</v>
      </c>
      <c r="E26" s="128" t="s">
        <v>1545</v>
      </c>
      <c r="F26" s="128" t="s">
        <v>1546</v>
      </c>
      <c r="G26" s="128" t="s">
        <v>1533</v>
      </c>
      <c r="H26" s="128" t="s">
        <v>1547</v>
      </c>
      <c r="I26" s="130" t="str">
        <f>IF(COUNTIF(J26:AW26,"&lt;&gt;")=0,"",SUMPRODUCT(((Recommendations[ImplStatus]="Implemented")+(Recommendations[ImplStatus]="Compensated"))*ISNUMBER(MATCH(Recommendations[Id],J26:AW26,0)))/COUNTIF(J26:AW26,"&lt;&gt;"))</f>
        <v/>
      </c>
      <c r="J26" s="132"/>
      <c r="K26" s="132"/>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1519</v>
      </c>
      <c r="B27" s="125" t="s">
        <v>1548</v>
      </c>
      <c r="C27" s="126" t="s">
        <v>1549</v>
      </c>
      <c r="D27" s="128" t="s">
        <v>1550</v>
      </c>
      <c r="E27" s="128" t="s">
        <v>1551</v>
      </c>
      <c r="F27" s="128" t="s">
        <v>1552</v>
      </c>
      <c r="G27" s="128" t="s">
        <v>1553</v>
      </c>
      <c r="H27" s="128" t="s">
        <v>1554</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1519</v>
      </c>
      <c r="B28" s="125" t="s">
        <v>1555</v>
      </c>
      <c r="C28" s="126" t="s">
        <v>1556</v>
      </c>
      <c r="D28" s="128" t="s">
        <v>1557</v>
      </c>
      <c r="E28" s="128" t="s">
        <v>1558</v>
      </c>
      <c r="F28" s="128" t="s">
        <v>1559</v>
      </c>
      <c r="G28" s="128" t="s">
        <v>1560</v>
      </c>
      <c r="H28" s="128" t="s">
        <v>1561</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1519</v>
      </c>
      <c r="B29" s="125" t="s">
        <v>1562</v>
      </c>
      <c r="C29" s="126" t="s">
        <v>1563</v>
      </c>
      <c r="D29" s="128" t="s">
        <v>1564</v>
      </c>
      <c r="E29" s="128" t="s">
        <v>1565</v>
      </c>
      <c r="F29" s="128" t="s">
        <v>1566</v>
      </c>
      <c r="G29" s="128" t="s">
        <v>1450</v>
      </c>
      <c r="H29" s="128" t="s">
        <v>1567</v>
      </c>
      <c r="I29" s="130" t="str">
        <f>IF(COUNTIF(J29:AW29,"&lt;&gt;")=0,"",SUMPRODUCT(((Recommendations[ImplStatus]="Implemented")+(Recommendations[ImplStatus]="Compensated"))*ISNUMBER(MATCH(Recommendations[Id],J29:AW29,0)))/COUNTIF(J29:AW29,"&lt;&gt;"))</f>
        <v/>
      </c>
      <c r="J29" s="132"/>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1519</v>
      </c>
      <c r="B30" s="125" t="s">
        <v>1568</v>
      </c>
      <c r="C30" s="126" t="s">
        <v>1569</v>
      </c>
      <c r="D30" s="128" t="s">
        <v>1570</v>
      </c>
      <c r="E30" s="128" t="s">
        <v>1571</v>
      </c>
      <c r="F30" s="128" t="s">
        <v>1572</v>
      </c>
      <c r="G30" s="128" t="s">
        <v>1533</v>
      </c>
      <c r="H30" s="128" t="s">
        <v>1573</v>
      </c>
      <c r="I30" s="130">
        <f>IF(COUNTIF(J30:AW30,"&lt;&gt;")=0,"",SUMPRODUCT(((Recommendations[ImplStatus]="Implemented")+(Recommendations[ImplStatus]="Compensated"))*ISNUMBER(MATCH(Recommendations[Id],J30:AW30,0)))/COUNTIF(J30:AW30,"&lt;&gt;"))</f>
        <v>0</v>
      </c>
      <c r="J30" s="132" t="s">
        <v>46</v>
      </c>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1574</v>
      </c>
      <c r="B31" s="124"/>
      <c r="C31" s="123" t="s">
        <v>1575</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1574</v>
      </c>
      <c r="B32" s="125" t="s">
        <v>1576</v>
      </c>
      <c r="C32" s="126" t="s">
        <v>1577</v>
      </c>
      <c r="D32" s="128" t="s">
        <v>1578</v>
      </c>
      <c r="E32" s="128" t="s">
        <v>1579</v>
      </c>
      <c r="F32" s="128" t="s">
        <v>1580</v>
      </c>
      <c r="G32" s="128" t="s">
        <v>1581</v>
      </c>
      <c r="H32" s="128" t="s">
        <v>1582</v>
      </c>
      <c r="I32" s="130">
        <f>IF(COUNTIF(J32:AW32,"&lt;&gt;")=0,"",SUMPRODUCT(((Recommendations[ImplStatus]="Implemented")+(Recommendations[ImplStatus]="Compensated"))*ISNUMBER(MATCH(Recommendations[Id],J32:AW32,0)))/COUNTIF(J32:AW32,"&lt;&gt;"))</f>
        <v>0</v>
      </c>
      <c r="J32" s="132" t="s">
        <v>199</v>
      </c>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1574</v>
      </c>
      <c r="B33" s="125" t="s">
        <v>1583</v>
      </c>
      <c r="C33" s="126" t="s">
        <v>1584</v>
      </c>
      <c r="D33" s="128" t="s">
        <v>1585</v>
      </c>
      <c r="E33" s="128" t="s">
        <v>1586</v>
      </c>
      <c r="F33" s="128" t="s">
        <v>1587</v>
      </c>
      <c r="G33" s="128" t="s">
        <v>1588</v>
      </c>
      <c r="H33" s="128" t="s">
        <v>1589</v>
      </c>
      <c r="I33" s="130">
        <f>IF(COUNTIF(J33:AW33,"&lt;&gt;")=0,"",SUMPRODUCT(((Recommendations[ImplStatus]="Implemented")+(Recommendations[ImplStatus]="Compensated"))*ISNUMBER(MATCH(Recommendations[Id],J33:AW33,0)))/COUNTIF(J33:AW33,"&lt;&gt;"))</f>
        <v>0</v>
      </c>
      <c r="J33" s="132" t="s">
        <v>130</v>
      </c>
      <c r="K33" s="132" t="s">
        <v>171</v>
      </c>
      <c r="L33" s="132"/>
      <c r="M33" s="132"/>
      <c r="N33" s="132"/>
      <c r="O33" s="132"/>
      <c r="P33" s="132"/>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1574</v>
      </c>
      <c r="B34" s="125" t="s">
        <v>1590</v>
      </c>
      <c r="C34" s="126" t="s">
        <v>1591</v>
      </c>
      <c r="D34" s="128" t="s">
        <v>1592</v>
      </c>
      <c r="E34" s="128" t="s">
        <v>1593</v>
      </c>
      <c r="F34" s="128" t="s">
        <v>1594</v>
      </c>
      <c r="G34" s="128" t="s">
        <v>1595</v>
      </c>
      <c r="H34" s="128" t="s">
        <v>1596</v>
      </c>
      <c r="I34" s="130" t="str">
        <f>IF(COUNTIF(J34:AW34,"&lt;&gt;")=0,"",SUMPRODUCT(((Recommendations[ImplStatus]="Implemented")+(Recommendations[ImplStatus]="Compensated"))*ISNUMBER(MATCH(Recommendations[Id],J34:AW34,0)))/COUNTIF(J34:AW34,"&lt;&gt;"))</f>
        <v/>
      </c>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1574</v>
      </c>
      <c r="B35" s="125" t="s">
        <v>1597</v>
      </c>
      <c r="C35" s="126" t="s">
        <v>1598</v>
      </c>
      <c r="D35" s="128" t="s">
        <v>1599</v>
      </c>
      <c r="E35" s="128" t="s">
        <v>1600</v>
      </c>
      <c r="F35" s="128" t="s">
        <v>1601</v>
      </c>
      <c r="G35" s="128" t="s">
        <v>1602</v>
      </c>
      <c r="H35" s="128" t="s">
        <v>1603</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1574</v>
      </c>
      <c r="B36" s="125" t="s">
        <v>1604</v>
      </c>
      <c r="C36" s="126" t="s">
        <v>1605</v>
      </c>
      <c r="D36" s="128" t="s">
        <v>1606</v>
      </c>
      <c r="E36" s="128" t="s">
        <v>1607</v>
      </c>
      <c r="F36" s="128" t="s">
        <v>1608</v>
      </c>
      <c r="G36" s="128" t="s">
        <v>1609</v>
      </c>
      <c r="H36" s="128" t="s">
        <v>1610</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1574</v>
      </c>
      <c r="B37" s="125" t="s">
        <v>1611</v>
      </c>
      <c r="C37" s="126" t="s">
        <v>1612</v>
      </c>
      <c r="D37" s="128" t="s">
        <v>1613</v>
      </c>
      <c r="E37" s="128" t="s">
        <v>1614</v>
      </c>
      <c r="F37" s="128" t="s">
        <v>1615</v>
      </c>
      <c r="G37" s="128" t="s">
        <v>1616</v>
      </c>
      <c r="H37" s="128" t="s">
        <v>1617</v>
      </c>
      <c r="I37" s="130">
        <f>IF(COUNTIF(J37:AW37,"&lt;&gt;")=0,"",SUMPRODUCT(((Recommendations[ImplStatus]="Implemented")+(Recommendations[ImplStatus]="Compensated"))*ISNUMBER(MATCH(Recommendations[Id],J37:AW37,0)))/COUNTIF(J37:AW37,"&lt;&gt;"))</f>
        <v>0</v>
      </c>
      <c r="J37" s="132" t="s">
        <v>35</v>
      </c>
      <c r="K37" s="132" t="s">
        <v>41</v>
      </c>
      <c r="L37" s="132" t="s">
        <v>51</v>
      </c>
      <c r="M37" s="132" t="s">
        <v>57</v>
      </c>
      <c r="N37" s="132" t="s">
        <v>62</v>
      </c>
      <c r="O37" s="132" t="s">
        <v>66</v>
      </c>
      <c r="P37" s="132" t="s">
        <v>70</v>
      </c>
      <c r="Q37" s="132" t="s">
        <v>74</v>
      </c>
      <c r="R37" s="132" t="s">
        <v>78</v>
      </c>
      <c r="S37" s="132" t="s">
        <v>82</v>
      </c>
      <c r="T37" s="132" t="s">
        <v>86</v>
      </c>
      <c r="U37" s="132" t="s">
        <v>90</v>
      </c>
      <c r="V37" s="132" t="s">
        <v>94</v>
      </c>
      <c r="W37" s="132" t="s">
        <v>98</v>
      </c>
      <c r="X37" s="132" t="s">
        <v>102</v>
      </c>
      <c r="Y37" s="132" t="s">
        <v>106</v>
      </c>
      <c r="Z37" s="132" t="s">
        <v>110</v>
      </c>
      <c r="AA37" s="132" t="s">
        <v>114</v>
      </c>
      <c r="AB37" s="132" t="s">
        <v>118</v>
      </c>
      <c r="AC37" s="132" t="s">
        <v>122</v>
      </c>
      <c r="AD37" s="132" t="s">
        <v>126</v>
      </c>
      <c r="AE37" s="132" t="s">
        <v>135</v>
      </c>
      <c r="AF37" s="132" t="s">
        <v>140</v>
      </c>
      <c r="AG37" s="132" t="s">
        <v>144</v>
      </c>
      <c r="AH37" s="132" t="s">
        <v>148</v>
      </c>
      <c r="AI37" s="132" t="s">
        <v>152</v>
      </c>
      <c r="AJ37" s="132" t="s">
        <v>161</v>
      </c>
      <c r="AK37" s="132" t="s">
        <v>166</v>
      </c>
      <c r="AL37" s="132" t="s">
        <v>194</v>
      </c>
      <c r="AM37" s="132"/>
      <c r="AN37" s="132"/>
      <c r="AO37" s="132"/>
      <c r="AP37" s="132"/>
      <c r="AQ37" s="132"/>
      <c r="AR37" s="132"/>
      <c r="AS37" s="132"/>
      <c r="AT37" s="132"/>
      <c r="AU37" s="132"/>
      <c r="AV37" s="132"/>
      <c r="AW37" s="142"/>
    </row>
    <row r="38" spans="1:49" ht="60" customHeight="1" x14ac:dyDescent="0.35">
      <c r="A38" s="139" t="s">
        <v>1574</v>
      </c>
      <c r="B38" s="125" t="s">
        <v>1618</v>
      </c>
      <c r="C38" s="126" t="s">
        <v>1619</v>
      </c>
      <c r="D38" s="128" t="s">
        <v>1620</v>
      </c>
      <c r="E38" s="128" t="s">
        <v>1621</v>
      </c>
      <c r="F38" s="128" t="s">
        <v>1622</v>
      </c>
      <c r="G38" s="128" t="s">
        <v>1623</v>
      </c>
      <c r="H38" s="128" t="s">
        <v>1624</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1574</v>
      </c>
      <c r="B39" s="125" t="s">
        <v>1625</v>
      </c>
      <c r="C39" s="126" t="s">
        <v>1626</v>
      </c>
      <c r="D39" s="128" t="s">
        <v>1627</v>
      </c>
      <c r="E39" s="128" t="s">
        <v>1628</v>
      </c>
      <c r="F39" s="128" t="s">
        <v>1629</v>
      </c>
      <c r="G39" s="128" t="s">
        <v>1630</v>
      </c>
      <c r="H39" s="128" t="s">
        <v>1631</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1574</v>
      </c>
      <c r="B40" s="125" t="s">
        <v>1632</v>
      </c>
      <c r="C40" s="126" t="s">
        <v>1633</v>
      </c>
      <c r="D40" s="128" t="s">
        <v>1634</v>
      </c>
      <c r="E40" s="128" t="s">
        <v>1635</v>
      </c>
      <c r="F40" s="128" t="s">
        <v>1636</v>
      </c>
      <c r="G40" s="128" t="s">
        <v>1637</v>
      </c>
      <c r="H40" s="128" t="s">
        <v>1638</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1574</v>
      </c>
      <c r="B41" s="125" t="s">
        <v>1639</v>
      </c>
      <c r="C41" s="126" t="s">
        <v>1640</v>
      </c>
      <c r="D41" s="128" t="s">
        <v>1641</v>
      </c>
      <c r="E41" s="128" t="s">
        <v>1642</v>
      </c>
      <c r="F41" s="128" t="s">
        <v>1643</v>
      </c>
      <c r="G41" s="128" t="s">
        <v>1581</v>
      </c>
      <c r="H41" s="128" t="s">
        <v>1644</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1645</v>
      </c>
      <c r="B42" s="124"/>
      <c r="C42" s="123" t="s">
        <v>1646</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1645</v>
      </c>
      <c r="B43" s="125" t="s">
        <v>1647</v>
      </c>
      <c r="C43" s="126" t="s">
        <v>1648</v>
      </c>
      <c r="D43" s="128" t="s">
        <v>1649</v>
      </c>
      <c r="E43" s="128" t="s">
        <v>1650</v>
      </c>
      <c r="F43" s="128" t="s">
        <v>1651</v>
      </c>
      <c r="G43" s="128" t="s">
        <v>1652</v>
      </c>
      <c r="H43" s="128" t="s">
        <v>1653</v>
      </c>
      <c r="I43" s="130" t="str">
        <f>IF(COUNTIF(J43:AW43,"&lt;&gt;")=0,"",SUMPRODUCT(((Recommendations[ImplStatus]="Implemented")+(Recommendations[ImplStatus]="Compensated"))*ISNUMBER(MATCH(Recommendations[Id],J43:AW43,0)))/COUNTIF(J43:AW43,"&lt;&gt;"))</f>
        <v/>
      </c>
      <c r="J43" s="132"/>
      <c r="K43" s="132"/>
      <c r="L43" s="132"/>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1645</v>
      </c>
      <c r="B44" s="125" t="s">
        <v>1654</v>
      </c>
      <c r="C44" s="126" t="s">
        <v>1655</v>
      </c>
      <c r="D44" s="128" t="s">
        <v>1656</v>
      </c>
      <c r="E44" s="128" t="s">
        <v>1657</v>
      </c>
      <c r="F44" s="128" t="s">
        <v>1658</v>
      </c>
      <c r="G44" s="128" t="s">
        <v>1659</v>
      </c>
      <c r="H44" s="128" t="s">
        <v>1660</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1645</v>
      </c>
      <c r="B45" s="125" t="s">
        <v>1661</v>
      </c>
      <c r="C45" s="126" t="s">
        <v>1662</v>
      </c>
      <c r="D45" s="128" t="s">
        <v>1663</v>
      </c>
      <c r="E45" s="128" t="s">
        <v>1664</v>
      </c>
      <c r="F45" s="128" t="s">
        <v>1665</v>
      </c>
      <c r="G45" s="128" t="s">
        <v>1666</v>
      </c>
      <c r="H45" s="128" t="s">
        <v>1667</v>
      </c>
      <c r="I45" s="130" t="str">
        <f>IF(COUNTIF(J45:AW45,"&lt;&gt;")=0,"",SUMPRODUCT(((Recommendations[ImplStatus]="Implemented")+(Recommendations[ImplStatus]="Compensated"))*ISNUMBER(MATCH(Recommendations[Id],J45:AW45,0)))/COUNTIF(J45:AW45,"&lt;&gt;"))</f>
        <v/>
      </c>
      <c r="J45" s="132"/>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1645</v>
      </c>
      <c r="B46" s="125" t="s">
        <v>1668</v>
      </c>
      <c r="C46" s="126" t="s">
        <v>1669</v>
      </c>
      <c r="D46" s="128" t="s">
        <v>1670</v>
      </c>
      <c r="E46" s="128" t="s">
        <v>1671</v>
      </c>
      <c r="F46" s="128" t="s">
        <v>1672</v>
      </c>
      <c r="G46" s="128" t="s">
        <v>1666</v>
      </c>
      <c r="H46" s="128" t="s">
        <v>1673</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1645</v>
      </c>
      <c r="B47" s="125" t="s">
        <v>1674</v>
      </c>
      <c r="C47" s="126" t="s">
        <v>1675</v>
      </c>
      <c r="D47" s="128" t="s">
        <v>1676</v>
      </c>
      <c r="E47" s="128" t="s">
        <v>1677</v>
      </c>
      <c r="F47" s="128" t="s">
        <v>1678</v>
      </c>
      <c r="G47" s="128" t="s">
        <v>1679</v>
      </c>
      <c r="H47" s="128" t="s">
        <v>1680</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1645</v>
      </c>
      <c r="B48" s="125" t="s">
        <v>1681</v>
      </c>
      <c r="C48" s="126" t="s">
        <v>1682</v>
      </c>
      <c r="D48" s="128" t="s">
        <v>1683</v>
      </c>
      <c r="E48" s="128" t="s">
        <v>1684</v>
      </c>
      <c r="F48" s="128" t="s">
        <v>1685</v>
      </c>
      <c r="G48" s="128" t="s">
        <v>1686</v>
      </c>
      <c r="H48" s="128" t="s">
        <v>1687</v>
      </c>
      <c r="I48" s="130" t="str">
        <f>IF(COUNTIF(J48:AW48,"&lt;&gt;")=0,"",SUMPRODUCT(((Recommendations[ImplStatus]="Implemented")+(Recommendations[ImplStatus]="Compensated"))*ISNUMBER(MATCH(Recommendations[Id],J48:AW48,0)))/COUNTIF(J48:AW48,"&lt;&gt;"))</f>
        <v/>
      </c>
      <c r="J48" s="132"/>
      <c r="K48" s="132"/>
      <c r="L48" s="132"/>
      <c r="M48" s="132"/>
      <c r="N48" s="132"/>
      <c r="O48" s="132"/>
      <c r="P48" s="132"/>
      <c r="Q48" s="132"/>
      <c r="R48" s="132"/>
      <c r="S48" s="132"/>
      <c r="T48" s="132"/>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1645</v>
      </c>
      <c r="B49" s="125" t="s">
        <v>1688</v>
      </c>
      <c r="C49" s="126" t="s">
        <v>1689</v>
      </c>
      <c r="D49" s="128" t="s">
        <v>1690</v>
      </c>
      <c r="E49" s="128" t="s">
        <v>1691</v>
      </c>
      <c r="F49" s="128" t="s">
        <v>1692</v>
      </c>
      <c r="G49" s="128" t="s">
        <v>1450</v>
      </c>
      <c r="H49" s="128" t="s">
        <v>1693</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1645</v>
      </c>
      <c r="B50" s="125" t="s">
        <v>1694</v>
      </c>
      <c r="C50" s="126" t="s">
        <v>1695</v>
      </c>
      <c r="D50" s="128" t="s">
        <v>1696</v>
      </c>
      <c r="E50" s="128" t="s">
        <v>1697</v>
      </c>
      <c r="F50" s="128" t="s">
        <v>1698</v>
      </c>
      <c r="G50" s="128" t="s">
        <v>1699</v>
      </c>
      <c r="H50" s="128" t="s">
        <v>1700</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1701</v>
      </c>
      <c r="B51" s="124"/>
      <c r="C51" s="123" t="s">
        <v>1702</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1701</v>
      </c>
      <c r="B52" s="125" t="s">
        <v>1703</v>
      </c>
      <c r="C52" s="126" t="s">
        <v>1704</v>
      </c>
      <c r="D52" s="128" t="s">
        <v>1705</v>
      </c>
      <c r="E52" s="128" t="s">
        <v>1706</v>
      </c>
      <c r="F52" s="128" t="s">
        <v>1707</v>
      </c>
      <c r="G52" s="128" t="s">
        <v>1708</v>
      </c>
      <c r="H52" s="128" t="s">
        <v>1709</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1701</v>
      </c>
      <c r="B53" s="125" t="s">
        <v>1710</v>
      </c>
      <c r="C53" s="126" t="s">
        <v>1711</v>
      </c>
      <c r="D53" s="128" t="s">
        <v>1712</v>
      </c>
      <c r="E53" s="128" t="s">
        <v>1713</v>
      </c>
      <c r="F53" s="128" t="s">
        <v>1714</v>
      </c>
      <c r="G53" s="128" t="s">
        <v>1715</v>
      </c>
      <c r="H53" s="128" t="s">
        <v>1716</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1701</v>
      </c>
      <c r="B54" s="125" t="s">
        <v>1717</v>
      </c>
      <c r="C54" s="126" t="s">
        <v>1718</v>
      </c>
      <c r="D54" s="128" t="s">
        <v>1719</v>
      </c>
      <c r="E54" s="128" t="s">
        <v>1720</v>
      </c>
      <c r="F54" s="128" t="s">
        <v>1721</v>
      </c>
      <c r="G54" s="128" t="s">
        <v>1722</v>
      </c>
      <c r="H54" s="128" t="s">
        <v>19</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1701</v>
      </c>
      <c r="B55" s="125" t="s">
        <v>1723</v>
      </c>
      <c r="C55" s="126" t="s">
        <v>1724</v>
      </c>
      <c r="D55" s="128" t="s">
        <v>1725</v>
      </c>
      <c r="E55" s="128" t="s">
        <v>1726</v>
      </c>
      <c r="F55" s="128" t="s">
        <v>1727</v>
      </c>
      <c r="G55" s="128" t="s">
        <v>1728</v>
      </c>
      <c r="H55" s="128" t="s">
        <v>19</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1701</v>
      </c>
      <c r="B56" s="125" t="s">
        <v>1729</v>
      </c>
      <c r="C56" s="126" t="s">
        <v>1730</v>
      </c>
      <c r="D56" s="128" t="s">
        <v>1731</v>
      </c>
      <c r="E56" s="128" t="s">
        <v>1732</v>
      </c>
      <c r="F56" s="128" t="s">
        <v>1733</v>
      </c>
      <c r="G56" s="128" t="s">
        <v>1734</v>
      </c>
      <c r="H56" s="128" t="s">
        <v>1735</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1736</v>
      </c>
      <c r="B57" s="124"/>
      <c r="C57" s="123" t="s">
        <v>1737</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1736</v>
      </c>
      <c r="B58" s="125" t="s">
        <v>1738</v>
      </c>
      <c r="C58" s="126" t="s">
        <v>1739</v>
      </c>
      <c r="D58" s="128" t="s">
        <v>1740</v>
      </c>
      <c r="E58" s="128" t="s">
        <v>1741</v>
      </c>
      <c r="F58" s="128" t="s">
        <v>1742</v>
      </c>
      <c r="G58" s="128" t="s">
        <v>1743</v>
      </c>
      <c r="H58" s="128" t="s">
        <v>1744</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1736</v>
      </c>
      <c r="B59" s="125" t="s">
        <v>1745</v>
      </c>
      <c r="C59" s="126" t="s">
        <v>1746</v>
      </c>
      <c r="D59" s="128" t="s">
        <v>1747</v>
      </c>
      <c r="E59" s="128" t="s">
        <v>1748</v>
      </c>
      <c r="F59" s="128" t="s">
        <v>1749</v>
      </c>
      <c r="G59" s="128" t="s">
        <v>1750</v>
      </c>
      <c r="H59" s="128" t="s">
        <v>1751</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1736</v>
      </c>
      <c r="B60" s="125" t="s">
        <v>1752</v>
      </c>
      <c r="C60" s="126" t="s">
        <v>1753</v>
      </c>
      <c r="D60" s="128" t="s">
        <v>1754</v>
      </c>
      <c r="E60" s="128" t="s">
        <v>1755</v>
      </c>
      <c r="F60" s="128" t="s">
        <v>1756</v>
      </c>
      <c r="G60" s="128" t="s">
        <v>1757</v>
      </c>
      <c r="H60" s="128" t="s">
        <v>1758</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1759</v>
      </c>
      <c r="B61" s="124"/>
      <c r="C61" s="123" t="s">
        <v>1760</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1759</v>
      </c>
      <c r="B62" s="125" t="s">
        <v>1761</v>
      </c>
      <c r="C62" s="126" t="s">
        <v>1762</v>
      </c>
      <c r="D62" s="128" t="s">
        <v>1763</v>
      </c>
      <c r="E62" s="128" t="s">
        <v>1764</v>
      </c>
      <c r="F62" s="128" t="s">
        <v>1765</v>
      </c>
      <c r="G62" s="128" t="s">
        <v>1766</v>
      </c>
      <c r="H62" s="128" t="s">
        <v>1767</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1759</v>
      </c>
      <c r="B63" s="125" t="s">
        <v>1768</v>
      </c>
      <c r="C63" s="126" t="s">
        <v>1769</v>
      </c>
      <c r="D63" s="128" t="s">
        <v>1770</v>
      </c>
      <c r="E63" s="128" t="s">
        <v>1771</v>
      </c>
      <c r="F63" s="128" t="s">
        <v>1772</v>
      </c>
      <c r="G63" s="128" t="s">
        <v>1773</v>
      </c>
      <c r="H63" s="128" t="s">
        <v>1774</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1759</v>
      </c>
      <c r="B64" s="125" t="s">
        <v>1775</v>
      </c>
      <c r="C64" s="126" t="s">
        <v>1776</v>
      </c>
      <c r="D64" s="128" t="s">
        <v>1777</v>
      </c>
      <c r="E64" s="128" t="s">
        <v>1778</v>
      </c>
      <c r="F64" s="128" t="s">
        <v>1779</v>
      </c>
      <c r="G64" s="128" t="s">
        <v>1780</v>
      </c>
      <c r="H64" s="128" t="s">
        <v>1781</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1759</v>
      </c>
      <c r="B65" s="125" t="s">
        <v>1782</v>
      </c>
      <c r="C65" s="126" t="s">
        <v>1783</v>
      </c>
      <c r="D65" s="128" t="s">
        <v>1784</v>
      </c>
      <c r="E65" s="128" t="s">
        <v>1785</v>
      </c>
      <c r="F65" s="128" t="s">
        <v>1786</v>
      </c>
      <c r="G65" s="128" t="s">
        <v>1787</v>
      </c>
      <c r="H65" s="128" t="s">
        <v>1788</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1759</v>
      </c>
      <c r="B66" s="125" t="s">
        <v>1789</v>
      </c>
      <c r="C66" s="126" t="s">
        <v>1790</v>
      </c>
      <c r="D66" s="128" t="s">
        <v>1791</v>
      </c>
      <c r="E66" s="128" t="s">
        <v>1792</v>
      </c>
      <c r="F66" s="128" t="s">
        <v>1793</v>
      </c>
      <c r="G66" s="128" t="s">
        <v>1794</v>
      </c>
      <c r="H66" s="128" t="s">
        <v>1795</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1759</v>
      </c>
      <c r="B67" s="125" t="s">
        <v>1796</v>
      </c>
      <c r="C67" s="126" t="s">
        <v>1797</v>
      </c>
      <c r="D67" s="128" t="s">
        <v>1798</v>
      </c>
      <c r="E67" s="128" t="s">
        <v>1799</v>
      </c>
      <c r="F67" s="128" t="s">
        <v>1800</v>
      </c>
      <c r="G67" s="128" t="s">
        <v>1801</v>
      </c>
      <c r="H67" s="128" t="s">
        <v>1802</v>
      </c>
      <c r="I67" s="130">
        <f>IF(COUNTIF(J67:AW67,"&lt;&gt;")=0,"",SUMPRODUCT(((Recommendations[ImplStatus]="Implemented")+(Recommendations[ImplStatus]="Compensated"))*ISNUMBER(MATCH(Recommendations[Id],J67:AW67,0)))/COUNTIF(J67:AW67,"&lt;&gt;"))</f>
        <v>0</v>
      </c>
      <c r="J67" s="132" t="s">
        <v>140</v>
      </c>
      <c r="K67" s="132" t="s">
        <v>152</v>
      </c>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1759</v>
      </c>
      <c r="B68" s="125" t="s">
        <v>1803</v>
      </c>
      <c r="C68" s="126" t="s">
        <v>1804</v>
      </c>
      <c r="D68" s="128" t="s">
        <v>1805</v>
      </c>
      <c r="E68" s="128" t="s">
        <v>1806</v>
      </c>
      <c r="F68" s="128" t="s">
        <v>1807</v>
      </c>
      <c r="G68" s="128" t="s">
        <v>1808</v>
      </c>
      <c r="H68" s="128" t="s">
        <v>1809</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1810</v>
      </c>
      <c r="B69" s="124"/>
      <c r="C69" s="123" t="s">
        <v>1811</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1810</v>
      </c>
      <c r="B70" s="125" t="s">
        <v>1812</v>
      </c>
      <c r="C70" s="126" t="s">
        <v>1813</v>
      </c>
      <c r="D70" s="128" t="s">
        <v>1814</v>
      </c>
      <c r="E70" s="128" t="s">
        <v>1815</v>
      </c>
      <c r="F70" s="128" t="s">
        <v>1816</v>
      </c>
      <c r="G70" s="128" t="s">
        <v>1817</v>
      </c>
      <c r="H70" s="128" t="s">
        <v>1818</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1810</v>
      </c>
      <c r="B71" s="125" t="s">
        <v>1819</v>
      </c>
      <c r="C71" s="126" t="s">
        <v>1820</v>
      </c>
      <c r="D71" s="128" t="s">
        <v>1821</v>
      </c>
      <c r="E71" s="128" t="s">
        <v>1822</v>
      </c>
      <c r="F71" s="128" t="s">
        <v>1823</v>
      </c>
      <c r="G71" s="128" t="s">
        <v>1824</v>
      </c>
      <c r="H71" s="128" t="s">
        <v>1825</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1826</v>
      </c>
      <c r="B72" s="124"/>
      <c r="C72" s="123" t="s">
        <v>1827</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1826</v>
      </c>
      <c r="B73" s="125" t="s">
        <v>1828</v>
      </c>
      <c r="C73" s="126" t="s">
        <v>1829</v>
      </c>
      <c r="D73" s="128" t="s">
        <v>1830</v>
      </c>
      <c r="E73" s="128" t="s">
        <v>1831</v>
      </c>
      <c r="F73" s="128" t="s">
        <v>1832</v>
      </c>
      <c r="G73" s="128" t="s">
        <v>1833</v>
      </c>
      <c r="H73" s="128" t="s">
        <v>1834</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1826</v>
      </c>
      <c r="B74" s="125" t="s">
        <v>1835</v>
      </c>
      <c r="C74" s="126" t="s">
        <v>1836</v>
      </c>
      <c r="D74" s="128" t="s">
        <v>1837</v>
      </c>
      <c r="E74" s="128" t="s">
        <v>1838</v>
      </c>
      <c r="F74" s="128" t="s">
        <v>1839</v>
      </c>
      <c r="G74" s="128" t="s">
        <v>1840</v>
      </c>
      <c r="H74" s="128" t="s">
        <v>1841</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1826</v>
      </c>
      <c r="B75" s="125" t="s">
        <v>1842</v>
      </c>
      <c r="C75" s="126" t="s">
        <v>1843</v>
      </c>
      <c r="D75" s="128" t="s">
        <v>1844</v>
      </c>
      <c r="E75" s="128" t="s">
        <v>1845</v>
      </c>
      <c r="F75" s="128" t="s">
        <v>1846</v>
      </c>
      <c r="G75" s="128" t="s">
        <v>1847</v>
      </c>
      <c r="H75" s="128" t="s">
        <v>1848</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1826</v>
      </c>
      <c r="B76" s="125" t="s">
        <v>1849</v>
      </c>
      <c r="C76" s="126" t="s">
        <v>1850</v>
      </c>
      <c r="D76" s="128" t="s">
        <v>1851</v>
      </c>
      <c r="E76" s="128" t="s">
        <v>1852</v>
      </c>
      <c r="F76" s="128" t="s">
        <v>1853</v>
      </c>
      <c r="G76" s="128" t="s">
        <v>1854</v>
      </c>
      <c r="H76" s="128" t="s">
        <v>1855</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1826</v>
      </c>
      <c r="B77" s="125" t="s">
        <v>1856</v>
      </c>
      <c r="C77" s="126" t="s">
        <v>1857</v>
      </c>
      <c r="D77" s="128" t="s">
        <v>1858</v>
      </c>
      <c r="E77" s="128" t="s">
        <v>1859</v>
      </c>
      <c r="F77" s="128" t="s">
        <v>1860</v>
      </c>
      <c r="G77" s="128" t="s">
        <v>1854</v>
      </c>
      <c r="H77" s="128" t="s">
        <v>1861</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1862</v>
      </c>
      <c r="B78" s="124"/>
      <c r="C78" s="123" t="s">
        <v>1863</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1862</v>
      </c>
      <c r="B79" s="125" t="s">
        <v>1862</v>
      </c>
      <c r="C79" s="126" t="s">
        <v>1864</v>
      </c>
      <c r="D79" s="128" t="s">
        <v>1865</v>
      </c>
      <c r="E79" s="128" t="s">
        <v>1866</v>
      </c>
      <c r="F79" s="128" t="s">
        <v>1867</v>
      </c>
      <c r="G79" s="128" t="s">
        <v>1868</v>
      </c>
      <c r="H79" s="128" t="s">
        <v>1869</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1862</v>
      </c>
      <c r="B80" s="125" t="s">
        <v>1870</v>
      </c>
      <c r="C80" s="126" t="s">
        <v>1871</v>
      </c>
      <c r="D80" s="128" t="s">
        <v>1872</v>
      </c>
      <c r="E80" s="128" t="s">
        <v>1873</v>
      </c>
      <c r="F80" s="128" t="s">
        <v>1874</v>
      </c>
      <c r="G80" s="128" t="s">
        <v>1875</v>
      </c>
      <c r="H80" s="128" t="s">
        <v>1876</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1862</v>
      </c>
      <c r="B81" s="125" t="s">
        <v>1877</v>
      </c>
      <c r="C81" s="126" t="s">
        <v>1878</v>
      </c>
      <c r="D81" s="128" t="s">
        <v>1879</v>
      </c>
      <c r="E81" s="128" t="s">
        <v>1880</v>
      </c>
      <c r="F81" s="128" t="s">
        <v>1881</v>
      </c>
      <c r="G81" s="128" t="s">
        <v>1882</v>
      </c>
      <c r="H81" s="128" t="s">
        <v>1883</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1884</v>
      </c>
      <c r="B82" s="124"/>
      <c r="C82" s="123" t="s">
        <v>1885</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1884</v>
      </c>
      <c r="B83" s="125" t="s">
        <v>1886</v>
      </c>
      <c r="C83" s="126" t="s">
        <v>1887</v>
      </c>
      <c r="D83" s="128" t="s">
        <v>1888</v>
      </c>
      <c r="E83" s="128" t="s">
        <v>1889</v>
      </c>
      <c r="F83" s="128" t="s">
        <v>1890</v>
      </c>
      <c r="G83" s="128" t="s">
        <v>1891</v>
      </c>
      <c r="H83" s="128" t="s">
        <v>1892</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1884</v>
      </c>
      <c r="B84" s="125" t="s">
        <v>1893</v>
      </c>
      <c r="C84" s="126" t="s">
        <v>1894</v>
      </c>
      <c r="D84" s="128" t="s">
        <v>1895</v>
      </c>
      <c r="E84" s="128" t="s">
        <v>1896</v>
      </c>
      <c r="F84" s="128" t="s">
        <v>1897</v>
      </c>
      <c r="G84" s="128" t="s">
        <v>1898</v>
      </c>
      <c r="H84" s="128" t="s">
        <v>1899</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1884</v>
      </c>
      <c r="B85" s="125" t="s">
        <v>1900</v>
      </c>
      <c r="C85" s="126" t="s">
        <v>1901</v>
      </c>
      <c r="D85" s="128" t="s">
        <v>1902</v>
      </c>
      <c r="E85" s="128" t="s">
        <v>1903</v>
      </c>
      <c r="F85" s="128" t="s">
        <v>1904</v>
      </c>
      <c r="G85" s="128" t="s">
        <v>1905</v>
      </c>
      <c r="H85" s="128" t="s">
        <v>1906</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1884</v>
      </c>
      <c r="B86" s="125" t="s">
        <v>1907</v>
      </c>
      <c r="C86" s="126" t="s">
        <v>1908</v>
      </c>
      <c r="D86" s="128" t="s">
        <v>1909</v>
      </c>
      <c r="E86" s="128" t="s">
        <v>1910</v>
      </c>
      <c r="F86" s="128" t="s">
        <v>1911</v>
      </c>
      <c r="G86" s="128" t="s">
        <v>1912</v>
      </c>
      <c r="H86" s="128" t="s">
        <v>19</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1913</v>
      </c>
      <c r="B87" s="124"/>
      <c r="C87" s="123" t="s">
        <v>1914</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1913</v>
      </c>
      <c r="B88" s="125" t="s">
        <v>1915</v>
      </c>
      <c r="C88" s="126" t="s">
        <v>1916</v>
      </c>
      <c r="D88" s="128" t="s">
        <v>1917</v>
      </c>
      <c r="E88" s="128" t="s">
        <v>1918</v>
      </c>
      <c r="F88" s="128" t="s">
        <v>1919</v>
      </c>
      <c r="G88" s="128" t="s">
        <v>1920</v>
      </c>
      <c r="H88" s="128" t="s">
        <v>1921</v>
      </c>
      <c r="I88" s="130" t="str">
        <f>IF(COUNTIF(J88:AW88,"&lt;&gt;")=0,"",SUMPRODUCT(((Recommendations[ImplStatus]="Implemented")+(Recommendations[ImplStatus]="Compensated"))*ISNUMBER(MATCH(Recommendations[Id],J88:AW88,0)))/COUNTIF(J88:AW88,"&lt;&gt;"))</f>
        <v/>
      </c>
      <c r="J88" s="132"/>
      <c r="K88" s="132"/>
      <c r="L88" s="132"/>
      <c r="M88" s="132"/>
      <c r="N88" s="132"/>
      <c r="O88" s="132"/>
      <c r="P88" s="132"/>
      <c r="Q88" s="132"/>
      <c r="R88" s="132"/>
      <c r="S88" s="132"/>
      <c r="T88" s="132"/>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1913</v>
      </c>
      <c r="B89" s="125" t="s">
        <v>1922</v>
      </c>
      <c r="C89" s="126" t="s">
        <v>1923</v>
      </c>
      <c r="D89" s="128" t="s">
        <v>1924</v>
      </c>
      <c r="E89" s="128" t="s">
        <v>1925</v>
      </c>
      <c r="F89" s="128" t="s">
        <v>1926</v>
      </c>
      <c r="G89" s="128" t="s">
        <v>1450</v>
      </c>
      <c r="H89" s="128" t="s">
        <v>1927</v>
      </c>
      <c r="I89" s="130">
        <f>IF(COUNTIF(J89:AW89,"&lt;&gt;")=0,"",SUMPRODUCT(((Recommendations[ImplStatus]="Implemented")+(Recommendations[ImplStatus]="Compensated"))*ISNUMBER(MATCH(Recommendations[Id],J89:AW89,0)))/COUNTIF(J89:AW89,"&lt;&gt;"))</f>
        <v>0</v>
      </c>
      <c r="J89" s="132" t="s">
        <v>13</v>
      </c>
      <c r="K89" s="132" t="s">
        <v>23</v>
      </c>
      <c r="L89" s="132" t="s">
        <v>27</v>
      </c>
      <c r="M89" s="132" t="s">
        <v>31</v>
      </c>
      <c r="N89" s="132" t="s">
        <v>51</v>
      </c>
      <c r="O89" s="132" t="s">
        <v>184</v>
      </c>
      <c r="P89" s="132" t="s">
        <v>189</v>
      </c>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1913</v>
      </c>
      <c r="B90" s="125" t="s">
        <v>1928</v>
      </c>
      <c r="C90" s="126" t="s">
        <v>1929</v>
      </c>
      <c r="D90" s="128" t="s">
        <v>1930</v>
      </c>
      <c r="E90" s="128" t="s">
        <v>1931</v>
      </c>
      <c r="F90" s="128" t="s">
        <v>1932</v>
      </c>
      <c r="G90" s="128" t="s">
        <v>1920</v>
      </c>
      <c r="H90" s="128" t="s">
        <v>1933</v>
      </c>
      <c r="I90" s="130" t="str">
        <f>IF(COUNTIF(J90:AW90,"&lt;&gt;")=0,"",SUMPRODUCT(((Recommendations[ImplStatus]="Implemented")+(Recommendations[ImplStatus]="Compensated"))*ISNUMBER(MATCH(Recommendations[Id],J90:AW90,0)))/COUNTIF(J90:AW90,"&lt;&gt;"))</f>
        <v/>
      </c>
      <c r="J90" s="132"/>
      <c r="K90" s="132"/>
      <c r="L90" s="132"/>
      <c r="M90" s="132"/>
      <c r="N90" s="132"/>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1913</v>
      </c>
      <c r="B91" s="125" t="s">
        <v>1934</v>
      </c>
      <c r="C91" s="126" t="s">
        <v>1935</v>
      </c>
      <c r="D91" s="128" t="s">
        <v>1936</v>
      </c>
      <c r="E91" s="128" t="s">
        <v>1937</v>
      </c>
      <c r="F91" s="128" t="s">
        <v>1938</v>
      </c>
      <c r="G91" s="128" t="s">
        <v>1450</v>
      </c>
      <c r="H91" s="128" t="s">
        <v>1939</v>
      </c>
      <c r="I91" s="130" t="str">
        <f>IF(COUNTIF(J91:AW91,"&lt;&gt;")=0,"",SUMPRODUCT(((Recommendations[ImplStatus]="Implemented")+(Recommendations[ImplStatus]="Compensated"))*ISNUMBER(MATCH(Recommendations[Id],J91:AW91,0)))/COUNTIF(J91:AW91,"&lt;&gt;"))</f>
        <v/>
      </c>
      <c r="J91" s="132"/>
      <c r="K91" s="132"/>
      <c r="L91" s="132"/>
      <c r="M91" s="132"/>
      <c r="N91" s="132"/>
      <c r="O91" s="132"/>
      <c r="P91" s="132"/>
      <c r="Q91" s="132"/>
      <c r="R91" s="132"/>
      <c r="S91" s="132"/>
      <c r="T91" s="132"/>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1913</v>
      </c>
      <c r="B92" s="125" t="s">
        <v>1940</v>
      </c>
      <c r="C92" s="126" t="s">
        <v>1941</v>
      </c>
      <c r="D92" s="128" t="s">
        <v>1942</v>
      </c>
      <c r="E92" s="128" t="s">
        <v>1943</v>
      </c>
      <c r="F92" s="128" t="s">
        <v>1944</v>
      </c>
      <c r="G92" s="128" t="s">
        <v>1450</v>
      </c>
      <c r="H92" s="128" t="s">
        <v>1945</v>
      </c>
      <c r="I92" s="130" t="str">
        <f>IF(COUNTIF(J92:AW92,"&lt;&gt;")=0,"",SUMPRODUCT(((Recommendations[ImplStatus]="Implemented")+(Recommendations[ImplStatus]="Compensated"))*ISNUMBER(MATCH(Recommendations[Id],J92:AW92,0)))/COUNTIF(J92:AW92,"&lt;&gt;"))</f>
        <v/>
      </c>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1913</v>
      </c>
      <c r="B93" s="125" t="s">
        <v>1946</v>
      </c>
      <c r="C93" s="126" t="s">
        <v>1947</v>
      </c>
      <c r="D93" s="128" t="s">
        <v>1948</v>
      </c>
      <c r="E93" s="128" t="s">
        <v>1949</v>
      </c>
      <c r="F93" s="128" t="s">
        <v>1950</v>
      </c>
      <c r="G93" s="128" t="s">
        <v>1951</v>
      </c>
      <c r="H93" s="128" t="s">
        <v>1952</v>
      </c>
      <c r="I93" s="130" t="str">
        <f>IF(COUNTIF(J93:AW93,"&lt;&gt;")=0,"",SUMPRODUCT(((Recommendations[ImplStatus]="Implemented")+(Recommendations[ImplStatus]="Compensated"))*ISNUMBER(MATCH(Recommendations[Id],J93:AW93,0)))/COUNTIF(J93:AW93,"&lt;&gt;"))</f>
        <v/>
      </c>
      <c r="J93" s="132"/>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1913</v>
      </c>
      <c r="B94" s="125" t="s">
        <v>1953</v>
      </c>
      <c r="C94" s="126" t="s">
        <v>1954</v>
      </c>
      <c r="D94" s="128" t="s">
        <v>1955</v>
      </c>
      <c r="E94" s="128" t="s">
        <v>1956</v>
      </c>
      <c r="F94" s="128" t="s">
        <v>1957</v>
      </c>
      <c r="G94" s="128" t="s">
        <v>1958</v>
      </c>
      <c r="H94" s="128" t="s">
        <v>1959</v>
      </c>
      <c r="I94" s="130" t="str">
        <f>IF(COUNTIF(J94:AW94,"&lt;&gt;")=0,"",SUMPRODUCT(((Recommendations[ImplStatus]="Implemented")+(Recommendations[ImplStatus]="Compensated"))*ISNUMBER(MATCH(Recommendations[Id],J94:AW94,0)))/COUNTIF(J94:AW94,"&lt;&gt;"))</f>
        <v/>
      </c>
      <c r="J94" s="132"/>
      <c r="K94" s="132"/>
      <c r="L94" s="132"/>
      <c r="M94" s="132"/>
      <c r="N94" s="132"/>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1913</v>
      </c>
      <c r="B95" s="125" t="s">
        <v>1960</v>
      </c>
      <c r="C95" s="126" t="s">
        <v>1961</v>
      </c>
      <c r="D95" s="128" t="s">
        <v>1962</v>
      </c>
      <c r="E95" s="128" t="s">
        <v>1963</v>
      </c>
      <c r="F95" s="128" t="s">
        <v>1964</v>
      </c>
      <c r="G95" s="128" t="s">
        <v>1965</v>
      </c>
      <c r="H95" s="128" t="s">
        <v>1966</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1913</v>
      </c>
      <c r="B96" s="125" t="s">
        <v>1967</v>
      </c>
      <c r="C96" s="126" t="s">
        <v>1968</v>
      </c>
      <c r="D96" s="128" t="s">
        <v>1969</v>
      </c>
      <c r="E96" s="128" t="s">
        <v>1970</v>
      </c>
      <c r="F96" s="128" t="s">
        <v>1971</v>
      </c>
      <c r="G96" s="128" t="s">
        <v>1972</v>
      </c>
      <c r="H96" s="128" t="s">
        <v>1973</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1913</v>
      </c>
      <c r="B97" s="125" t="s">
        <v>1974</v>
      </c>
      <c r="C97" s="126" t="s">
        <v>1975</v>
      </c>
      <c r="D97" s="128" t="s">
        <v>1976</v>
      </c>
      <c r="E97" s="128" t="s">
        <v>1977</v>
      </c>
      <c r="F97" s="128" t="s">
        <v>1978</v>
      </c>
      <c r="G97" s="128" t="s">
        <v>1979</v>
      </c>
      <c r="H97" s="128" t="s">
        <v>1980</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1981</v>
      </c>
      <c r="B98" s="124"/>
      <c r="C98" s="123" t="s">
        <v>1982</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1981</v>
      </c>
      <c r="B99" s="125" t="s">
        <v>1983</v>
      </c>
      <c r="C99" s="126" t="s">
        <v>1984</v>
      </c>
      <c r="D99" s="128" t="s">
        <v>1985</v>
      </c>
      <c r="E99" s="128" t="s">
        <v>1986</v>
      </c>
      <c r="F99" s="128" t="s">
        <v>1987</v>
      </c>
      <c r="G99" s="128" t="s">
        <v>1988</v>
      </c>
      <c r="H99" s="128" t="s">
        <v>1989</v>
      </c>
      <c r="I99" s="130" t="str">
        <f>IF(COUNTIF(J99:AW99,"&lt;&gt;")=0,"",SUMPRODUCT(((Recommendations[ImplStatus]="Implemented")+(Recommendations[ImplStatus]="Compensated"))*ISNUMBER(MATCH(Recommendations[Id],J99:AW99,0)))/COUNTIF(J99:AW99,"&lt;&gt;"))</f>
        <v/>
      </c>
      <c r="J99" s="132"/>
      <c r="K99" s="132"/>
      <c r="L99" s="132"/>
      <c r="M99" s="132"/>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1981</v>
      </c>
      <c r="B100" s="125" t="s">
        <v>1990</v>
      </c>
      <c r="C100" s="126" t="s">
        <v>1991</v>
      </c>
      <c r="D100" s="128" t="s">
        <v>1992</v>
      </c>
      <c r="E100" s="128" t="s">
        <v>1993</v>
      </c>
      <c r="F100" s="128" t="s">
        <v>1994</v>
      </c>
      <c r="G100" s="128" t="s">
        <v>1995</v>
      </c>
      <c r="H100" s="128" t="s">
        <v>1996</v>
      </c>
      <c r="I100" s="130" t="str">
        <f>IF(COUNTIF(J100:AW100,"&lt;&gt;")=0,"",SUMPRODUCT(((Recommendations[ImplStatus]="Implemented")+(Recommendations[ImplStatus]="Compensated"))*ISNUMBER(MATCH(Recommendations[Id],J100:AW100,0)))/COUNTIF(J100:AW100,"&lt;&gt;"))</f>
        <v/>
      </c>
      <c r="J100" s="132"/>
      <c r="K100" s="132"/>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1981</v>
      </c>
      <c r="B101" s="125" t="s">
        <v>1997</v>
      </c>
      <c r="C101" s="126" t="s">
        <v>1998</v>
      </c>
      <c r="D101" s="128" t="s">
        <v>1999</v>
      </c>
      <c r="E101" s="128" t="s">
        <v>2000</v>
      </c>
      <c r="F101" s="128" t="s">
        <v>19</v>
      </c>
      <c r="G101" s="128" t="s">
        <v>19</v>
      </c>
      <c r="H101" s="128" t="s">
        <v>19</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1981</v>
      </c>
      <c r="B102" s="125" t="s">
        <v>2001</v>
      </c>
      <c r="C102" s="126" t="s">
        <v>2002</v>
      </c>
      <c r="D102" s="128" t="s">
        <v>2003</v>
      </c>
      <c r="E102" s="128" t="s">
        <v>2004</v>
      </c>
      <c r="F102" s="128" t="s">
        <v>2005</v>
      </c>
      <c r="G102" s="128" t="s">
        <v>2006</v>
      </c>
      <c r="H102" s="128" t="s">
        <v>2007</v>
      </c>
      <c r="I102" s="130" t="str">
        <f>IF(COUNTIF(J102:AW102,"&lt;&gt;")=0,"",SUMPRODUCT(((Recommendations[ImplStatus]="Implemented")+(Recommendations[ImplStatus]="Compensated"))*ISNUMBER(MATCH(Recommendations[Id],J102:AW102,0)))/COUNTIF(J102:AW102,"&lt;&gt;"))</f>
        <v/>
      </c>
      <c r="J102" s="132"/>
      <c r="K102" s="132"/>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1981</v>
      </c>
      <c r="B103" s="125" t="s">
        <v>2008</v>
      </c>
      <c r="C103" s="126" t="s">
        <v>2009</v>
      </c>
      <c r="D103" s="128" t="s">
        <v>2010</v>
      </c>
      <c r="E103" s="128" t="s">
        <v>2011</v>
      </c>
      <c r="F103" s="128" t="s">
        <v>2012</v>
      </c>
      <c r="G103" s="128" t="s">
        <v>2013</v>
      </c>
      <c r="H103" s="128" t="s">
        <v>2014</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2015</v>
      </c>
      <c r="B104" s="124"/>
      <c r="C104" s="123" t="s">
        <v>2016</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2015</v>
      </c>
      <c r="B105" s="125" t="s">
        <v>2017</v>
      </c>
      <c r="C105" s="126" t="s">
        <v>2018</v>
      </c>
      <c r="D105" s="128" t="s">
        <v>2019</v>
      </c>
      <c r="E105" s="128" t="s">
        <v>2020</v>
      </c>
      <c r="F105" s="128" t="s">
        <v>2021</v>
      </c>
      <c r="G105" s="128" t="s">
        <v>2022</v>
      </c>
      <c r="H105" s="128" t="s">
        <v>19</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2015</v>
      </c>
      <c r="B106" s="125" t="s">
        <v>2023</v>
      </c>
      <c r="C106" s="126" t="s">
        <v>2024</v>
      </c>
      <c r="D106" s="128" t="s">
        <v>2025</v>
      </c>
      <c r="E106" s="128" t="s">
        <v>2026</v>
      </c>
      <c r="F106" s="128" t="s">
        <v>2027</v>
      </c>
      <c r="G106" s="128" t="s">
        <v>2028</v>
      </c>
      <c r="H106" s="128" t="s">
        <v>2029</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2015</v>
      </c>
      <c r="B107" s="125" t="s">
        <v>2030</v>
      </c>
      <c r="C107" s="126" t="s">
        <v>2031</v>
      </c>
      <c r="D107" s="128" t="s">
        <v>2032</v>
      </c>
      <c r="E107" s="128" t="s">
        <v>2033</v>
      </c>
      <c r="F107" s="128" t="s">
        <v>2034</v>
      </c>
      <c r="G107" s="128" t="s">
        <v>2035</v>
      </c>
      <c r="H107" s="128" t="s">
        <v>2036</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2037</v>
      </c>
      <c r="B108" s="124"/>
      <c r="C108" s="123" t="s">
        <v>2038</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2037</v>
      </c>
      <c r="B109" s="125" t="s">
        <v>2039</v>
      </c>
      <c r="C109" s="126" t="s">
        <v>2040</v>
      </c>
      <c r="D109" s="128" t="s">
        <v>2041</v>
      </c>
      <c r="E109" s="128" t="s">
        <v>2042</v>
      </c>
      <c r="F109" s="128" t="s">
        <v>2043</v>
      </c>
      <c r="G109" s="128" t="s">
        <v>2044</v>
      </c>
      <c r="H109" s="128" t="s">
        <v>2045</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2037</v>
      </c>
      <c r="B110" s="125" t="s">
        <v>2046</v>
      </c>
      <c r="C110" s="126" t="s">
        <v>2047</v>
      </c>
      <c r="D110" s="128" t="s">
        <v>2048</v>
      </c>
      <c r="E110" s="128" t="s">
        <v>2049</v>
      </c>
      <c r="F110" s="128" t="s">
        <v>2050</v>
      </c>
      <c r="G110" s="128" t="s">
        <v>2051</v>
      </c>
      <c r="H110" s="128" t="s">
        <v>2052</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2037</v>
      </c>
      <c r="B111" s="125" t="s">
        <v>2053</v>
      </c>
      <c r="C111" s="126" t="s">
        <v>2054</v>
      </c>
      <c r="D111" s="128" t="s">
        <v>2055</v>
      </c>
      <c r="E111" s="128" t="s">
        <v>2056</v>
      </c>
      <c r="F111" s="128" t="s">
        <v>2057</v>
      </c>
      <c r="G111" s="128" t="s">
        <v>2058</v>
      </c>
      <c r="H111" s="128" t="s">
        <v>2059</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2060</v>
      </c>
      <c r="B112" s="124"/>
      <c r="C112" s="123" t="s">
        <v>2061</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2060</v>
      </c>
      <c r="B113" s="125" t="s">
        <v>2062</v>
      </c>
      <c r="C113" s="126" t="s">
        <v>2063</v>
      </c>
      <c r="D113" s="128" t="s">
        <v>2064</v>
      </c>
      <c r="E113" s="128" t="s">
        <v>2065</v>
      </c>
      <c r="F113" s="128" t="s">
        <v>2066</v>
      </c>
      <c r="G113" s="128" t="s">
        <v>2067</v>
      </c>
      <c r="H113" s="128" t="s">
        <v>2068</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2060</v>
      </c>
      <c r="B114" s="125" t="s">
        <v>2069</v>
      </c>
      <c r="C114" s="126" t="s">
        <v>2070</v>
      </c>
      <c r="D114" s="128" t="s">
        <v>2071</v>
      </c>
      <c r="E114" s="128" t="s">
        <v>2072</v>
      </c>
      <c r="F114" s="128" t="s">
        <v>2073</v>
      </c>
      <c r="G114" s="128" t="s">
        <v>2067</v>
      </c>
      <c r="H114" s="128" t="s">
        <v>2074</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2060</v>
      </c>
      <c r="B115" s="133" t="s">
        <v>2075</v>
      </c>
      <c r="C115" s="134" t="s">
        <v>2076</v>
      </c>
      <c r="D115" s="135" t="s">
        <v>2077</v>
      </c>
      <c r="E115" s="135" t="s">
        <v>2078</v>
      </c>
      <c r="F115" s="135" t="s">
        <v>2079</v>
      </c>
      <c r="G115" s="135" t="s">
        <v>2080</v>
      </c>
      <c r="H115" s="135" t="s">
        <v>2081</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55" t="s">
        <v>209</v>
      </c>
      <c r="B119" s="255"/>
      <c r="C119" s="255"/>
      <c r="D119" s="255"/>
      <c r="E119" s="255"/>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IFERROR(INDEX('Recommendations'!$G$2:$G$44, MATCH(J2,'Recommendations'!$A$2:$A$44,0))="Implemented", FALSE))</xm:f>
            <x14:dxf>
              <font>
                <color rgb="FF000000"/>
              </font>
              <fill>
                <patternFill>
                  <bgColor rgb="FF3C7D22"/>
                </patternFill>
              </fill>
            </x14:dxf>
          </x14:cfRule>
          <x14:cfRule type="expression" priority="2" id="{00000000-000E-0000-0600-000002000000}">
            <xm:f>AND(J2&lt;&gt;"", IFERROR(INDEX('Recommendations'!$G$2:$G$44, MATCH(J2,'Recommendations'!$A$2:$A$44,0))="Compensated", FALSE))</xm:f>
            <x14:dxf>
              <font>
                <color rgb="FF000000"/>
              </font>
              <fill>
                <patternFill>
                  <bgColor rgb="FFC6E0B4"/>
                </patternFill>
              </fill>
            </x14:dxf>
          </x14:cfRule>
          <x14:cfRule type="expression" priority="3" id="{00000000-000E-0000-0600-000003000000}">
            <xm:f>AND(J2&lt;&gt;"", IFERROR(INDEX('Recommendations'!$G$2:$G$44, MATCH(J2,'Recommendations'!$A$2:$A$44,0))="Testing", FALSE))</xm:f>
            <x14:dxf>
              <font>
                <color rgb="FF000000"/>
              </font>
              <fill>
                <patternFill>
                  <bgColor rgb="FFFFC000"/>
                </patternFill>
              </fill>
            </x14:dxf>
          </x14:cfRule>
          <x14:cfRule type="expression" priority="4" id="{00000000-000E-0000-0600-000004000000}">
            <xm:f>AND(J2&lt;&gt;"", IFERROR(INDEX('Recommendations'!$G$2:$G$44, MATCH(J2,'Recommendations'!$A$2:$A$44,0))="Failed", FALSE))</xm:f>
            <x14:dxf>
              <font>
                <color rgb="FF000000"/>
              </font>
              <fill>
                <patternFill>
                  <bgColor rgb="FFD82891"/>
                </patternFill>
              </fill>
            </x14:dxf>
          </x14:cfRule>
          <x14:cfRule type="expression" priority="5" id="{00000000-000E-0000-0600-000005000000}">
            <xm:f>AND(J2&lt;&gt;"", IFERROR(INDEX('Recommendations'!$G$2:$G$44, MATCH(J2,'Recommendations'!$A$2:$A$44,0))="Risk Accepted", FALSE))</xm:f>
            <x14:dxf>
              <font>
                <color rgb="FF000000"/>
              </font>
              <fill>
                <patternFill>
                  <bgColor rgb="FFD9D9D9"/>
                </patternFill>
              </fill>
            </x14:dxf>
          </x14:cfRule>
          <x14:cfRule type="expression" priority="6" id="{00000000-000E-0000-0600-000006000000}">
            <xm:f>AND(J2&lt;&gt;"", IFERROR(INDEX('Recommendations'!$G$2:$G$44, MATCH(J2,'Recommendations'!$A$2:$A$44,0))="N/A",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2082</v>
      </c>
      <c r="B1" s="184" t="s">
        <v>2083</v>
      </c>
      <c r="C1" s="184" t="s">
        <v>0</v>
      </c>
      <c r="D1" s="184" t="s">
        <v>2084</v>
      </c>
      <c r="E1" s="184" t="s">
        <v>2085</v>
      </c>
      <c r="F1" s="184" t="s">
        <v>2086</v>
      </c>
      <c r="G1" s="184" t="s">
        <v>451</v>
      </c>
      <c r="H1" s="184" t="s">
        <v>452</v>
      </c>
      <c r="I1" s="184" t="s">
        <v>453</v>
      </c>
      <c r="J1" s="184" t="s">
        <v>454</v>
      </c>
      <c r="K1" s="184" t="s">
        <v>455</v>
      </c>
      <c r="L1" s="184" t="s">
        <v>456</v>
      </c>
      <c r="M1" s="184" t="s">
        <v>457</v>
      </c>
      <c r="N1" s="184" t="s">
        <v>458</v>
      </c>
      <c r="O1" s="184" t="s">
        <v>459</v>
      </c>
      <c r="P1" s="184" t="s">
        <v>460</v>
      </c>
      <c r="Q1" s="184" t="s">
        <v>461</v>
      </c>
      <c r="R1" s="184" t="s">
        <v>462</v>
      </c>
      <c r="S1" s="184" t="s">
        <v>463</v>
      </c>
      <c r="T1" s="184" t="s">
        <v>464</v>
      </c>
      <c r="U1" s="184" t="s">
        <v>465</v>
      </c>
      <c r="V1" s="184" t="s">
        <v>466</v>
      </c>
      <c r="W1" s="184" t="s">
        <v>467</v>
      </c>
      <c r="X1" s="184" t="s">
        <v>468</v>
      </c>
      <c r="Y1" s="184" t="s">
        <v>469</v>
      </c>
      <c r="Z1" s="184" t="s">
        <v>470</v>
      </c>
      <c r="AA1" s="184" t="s">
        <v>471</v>
      </c>
      <c r="AB1" s="184" t="s">
        <v>472</v>
      </c>
      <c r="AC1" s="184" t="s">
        <v>473</v>
      </c>
      <c r="AD1" s="184" t="s">
        <v>474</v>
      </c>
      <c r="AE1" s="184" t="s">
        <v>475</v>
      </c>
      <c r="AF1" s="184" t="s">
        <v>476</v>
      </c>
      <c r="AG1" s="184" t="s">
        <v>477</v>
      </c>
      <c r="AH1" s="184" t="s">
        <v>478</v>
      </c>
      <c r="AI1" s="184" t="s">
        <v>479</v>
      </c>
      <c r="AJ1" s="184" t="s">
        <v>480</v>
      </c>
      <c r="AK1" s="184" t="s">
        <v>481</v>
      </c>
      <c r="AL1" s="184" t="s">
        <v>482</v>
      </c>
      <c r="AM1" s="184" t="s">
        <v>483</v>
      </c>
      <c r="AN1" s="184" t="s">
        <v>484</v>
      </c>
      <c r="AO1" s="184" t="s">
        <v>485</v>
      </c>
      <c r="AP1" s="184" t="s">
        <v>486</v>
      </c>
      <c r="AQ1" s="184" t="s">
        <v>487</v>
      </c>
      <c r="AR1" s="184" t="s">
        <v>488</v>
      </c>
      <c r="AS1" s="184" t="s">
        <v>489</v>
      </c>
      <c r="AT1" s="184" t="s">
        <v>490</v>
      </c>
      <c r="AU1" s="185" t="s">
        <v>491</v>
      </c>
    </row>
    <row r="2" spans="1:47" ht="60" customHeight="1" outlineLevel="1" x14ac:dyDescent="0.35">
      <c r="A2" s="175" t="s">
        <v>2087</v>
      </c>
      <c r="B2" s="149" t="s">
        <v>19</v>
      </c>
      <c r="C2" s="147" t="s">
        <v>2088</v>
      </c>
      <c r="D2" s="153" t="s">
        <v>2089</v>
      </c>
      <c r="E2" s="156" t="s">
        <v>19</v>
      </c>
      <c r="F2" s="159" t="s">
        <v>19</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2087</v>
      </c>
      <c r="B3" s="150" t="s">
        <v>2090</v>
      </c>
      <c r="C3" s="148" t="s">
        <v>2091</v>
      </c>
      <c r="D3" s="154" t="s">
        <v>2092</v>
      </c>
      <c r="E3" s="157" t="s">
        <v>19</v>
      </c>
      <c r="F3" s="160" t="s">
        <v>19</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2087</v>
      </c>
      <c r="B4" s="151" t="s">
        <v>2090</v>
      </c>
      <c r="C4" s="152" t="s">
        <v>2093</v>
      </c>
      <c r="D4" s="155" t="s">
        <v>2094</v>
      </c>
      <c r="E4" s="158" t="s">
        <v>2095</v>
      </c>
      <c r="F4" s="161" t="s">
        <v>2096</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2087</v>
      </c>
      <c r="B5" s="151" t="s">
        <v>2090</v>
      </c>
      <c r="C5" s="152" t="s">
        <v>2097</v>
      </c>
      <c r="D5" s="155" t="s">
        <v>2098</v>
      </c>
      <c r="E5" s="158" t="s">
        <v>2099</v>
      </c>
      <c r="F5" s="161" t="s">
        <v>2100</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2087</v>
      </c>
      <c r="B6" s="151" t="s">
        <v>2090</v>
      </c>
      <c r="C6" s="152" t="s">
        <v>2101</v>
      </c>
      <c r="D6" s="155" t="s">
        <v>2102</v>
      </c>
      <c r="E6" s="158" t="s">
        <v>2103</v>
      </c>
      <c r="F6" s="161" t="s">
        <v>2100</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2087</v>
      </c>
      <c r="B7" s="151" t="s">
        <v>2090</v>
      </c>
      <c r="C7" s="152" t="s">
        <v>2104</v>
      </c>
      <c r="D7" s="155" t="s">
        <v>2105</v>
      </c>
      <c r="E7" s="158" t="s">
        <v>2106</v>
      </c>
      <c r="F7" s="161" t="s">
        <v>2100</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2087</v>
      </c>
      <c r="B8" s="151" t="s">
        <v>2090</v>
      </c>
      <c r="C8" s="152" t="s">
        <v>2107</v>
      </c>
      <c r="D8" s="155" t="s">
        <v>2108</v>
      </c>
      <c r="E8" s="158" t="s">
        <v>2109</v>
      </c>
      <c r="F8" s="161" t="s">
        <v>2110</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2087</v>
      </c>
      <c r="B9" s="150" t="s">
        <v>2111</v>
      </c>
      <c r="C9" s="148" t="s">
        <v>2112</v>
      </c>
      <c r="D9" s="154" t="s">
        <v>2113</v>
      </c>
      <c r="E9" s="157" t="s">
        <v>19</v>
      </c>
      <c r="F9" s="160" t="s">
        <v>19</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2087</v>
      </c>
      <c r="B10" s="151" t="s">
        <v>2111</v>
      </c>
      <c r="C10" s="152" t="s">
        <v>2114</v>
      </c>
      <c r="D10" s="155" t="s">
        <v>2115</v>
      </c>
      <c r="E10" s="158" t="s">
        <v>2116</v>
      </c>
      <c r="F10" s="161" t="s">
        <v>2096</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2087</v>
      </c>
      <c r="B11" s="151" t="s">
        <v>2111</v>
      </c>
      <c r="C11" s="152" t="s">
        <v>2117</v>
      </c>
      <c r="D11" s="155" t="s">
        <v>2118</v>
      </c>
      <c r="E11" s="158" t="s">
        <v>2119</v>
      </c>
      <c r="F11" s="161" t="s">
        <v>2096</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2087</v>
      </c>
      <c r="B12" s="151" t="s">
        <v>2111</v>
      </c>
      <c r="C12" s="152" t="s">
        <v>2120</v>
      </c>
      <c r="D12" s="155" t="s">
        <v>2121</v>
      </c>
      <c r="E12" s="158" t="s">
        <v>2122</v>
      </c>
      <c r="F12" s="161" t="s">
        <v>2096</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2087</v>
      </c>
      <c r="B13" s="150" t="s">
        <v>2123</v>
      </c>
      <c r="C13" s="148" t="s">
        <v>2124</v>
      </c>
      <c r="D13" s="154" t="s">
        <v>2125</v>
      </c>
      <c r="E13" s="157" t="s">
        <v>19</v>
      </c>
      <c r="F13" s="160" t="s">
        <v>19</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2087</v>
      </c>
      <c r="B14" s="151" t="s">
        <v>2123</v>
      </c>
      <c r="C14" s="152" t="s">
        <v>2126</v>
      </c>
      <c r="D14" s="155" t="s">
        <v>2127</v>
      </c>
      <c r="E14" s="158" t="s">
        <v>2128</v>
      </c>
      <c r="F14" s="161" t="s">
        <v>2096</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2087</v>
      </c>
      <c r="B15" s="151" t="s">
        <v>2123</v>
      </c>
      <c r="C15" s="152" t="s">
        <v>2129</v>
      </c>
      <c r="D15" s="155" t="s">
        <v>2130</v>
      </c>
      <c r="E15" s="158" t="s">
        <v>2131</v>
      </c>
      <c r="F15" s="161" t="s">
        <v>2096</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2087</v>
      </c>
      <c r="B16" s="150" t="s">
        <v>2132</v>
      </c>
      <c r="C16" s="148" t="s">
        <v>2133</v>
      </c>
      <c r="D16" s="154" t="s">
        <v>2134</v>
      </c>
      <c r="E16" s="157" t="s">
        <v>19</v>
      </c>
      <c r="F16" s="160" t="s">
        <v>19</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2087</v>
      </c>
      <c r="B17" s="151" t="s">
        <v>2132</v>
      </c>
      <c r="C17" s="152" t="s">
        <v>2135</v>
      </c>
      <c r="D17" s="155" t="s">
        <v>2136</v>
      </c>
      <c r="E17" s="158" t="s">
        <v>2137</v>
      </c>
      <c r="F17" s="161" t="s">
        <v>2096</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2087</v>
      </c>
      <c r="B18" s="151" t="s">
        <v>2132</v>
      </c>
      <c r="C18" s="152" t="s">
        <v>2138</v>
      </c>
      <c r="D18" s="155" t="s">
        <v>2139</v>
      </c>
      <c r="E18" s="158" t="s">
        <v>2140</v>
      </c>
      <c r="F18" s="161" t="s">
        <v>2100</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2087</v>
      </c>
      <c r="B19" s="151" t="s">
        <v>2132</v>
      </c>
      <c r="C19" s="152" t="s">
        <v>2141</v>
      </c>
      <c r="D19" s="155" t="s">
        <v>2142</v>
      </c>
      <c r="E19" s="158" t="s">
        <v>2143</v>
      </c>
      <c r="F19" s="161" t="s">
        <v>2096</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2087</v>
      </c>
      <c r="B20" s="151" t="s">
        <v>2132</v>
      </c>
      <c r="C20" s="152" t="s">
        <v>2144</v>
      </c>
      <c r="D20" s="155" t="s">
        <v>2145</v>
      </c>
      <c r="E20" s="158" t="s">
        <v>2146</v>
      </c>
      <c r="F20" s="161" t="s">
        <v>2096</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2087</v>
      </c>
      <c r="B21" s="151" t="s">
        <v>2132</v>
      </c>
      <c r="C21" s="152" t="s">
        <v>2147</v>
      </c>
      <c r="D21" s="155" t="s">
        <v>2148</v>
      </c>
      <c r="E21" s="158" t="s">
        <v>2149</v>
      </c>
      <c r="F21" s="161" t="s">
        <v>2100</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2087</v>
      </c>
      <c r="B22" s="151" t="s">
        <v>2132</v>
      </c>
      <c r="C22" s="152" t="s">
        <v>2150</v>
      </c>
      <c r="D22" s="155" t="s">
        <v>2151</v>
      </c>
      <c r="E22" s="158" t="s">
        <v>2152</v>
      </c>
      <c r="F22" s="161" t="s">
        <v>2096</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2087</v>
      </c>
      <c r="B23" s="151" t="s">
        <v>2132</v>
      </c>
      <c r="C23" s="152" t="s">
        <v>2153</v>
      </c>
      <c r="D23" s="155" t="s">
        <v>2154</v>
      </c>
      <c r="E23" s="158" t="s">
        <v>2155</v>
      </c>
      <c r="F23" s="161" t="s">
        <v>2096</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2087</v>
      </c>
      <c r="B24" s="150" t="s">
        <v>2156</v>
      </c>
      <c r="C24" s="148" t="s">
        <v>2157</v>
      </c>
      <c r="D24" s="154" t="s">
        <v>2158</v>
      </c>
      <c r="E24" s="157" t="s">
        <v>19</v>
      </c>
      <c r="F24" s="160" t="s">
        <v>19</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2087</v>
      </c>
      <c r="B25" s="151" t="s">
        <v>2156</v>
      </c>
      <c r="C25" s="152" t="s">
        <v>2159</v>
      </c>
      <c r="D25" s="155" t="s">
        <v>2160</v>
      </c>
      <c r="E25" s="158" t="s">
        <v>2161</v>
      </c>
      <c r="F25" s="161" t="s">
        <v>2096</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2087</v>
      </c>
      <c r="B26" s="151" t="s">
        <v>2156</v>
      </c>
      <c r="C26" s="152" t="s">
        <v>2162</v>
      </c>
      <c r="D26" s="155" t="s">
        <v>2163</v>
      </c>
      <c r="E26" s="158" t="s">
        <v>2164</v>
      </c>
      <c r="F26" s="161" t="s">
        <v>2096</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2087</v>
      </c>
      <c r="B27" s="151" t="s">
        <v>2156</v>
      </c>
      <c r="C27" s="152" t="s">
        <v>2165</v>
      </c>
      <c r="D27" s="155" t="s">
        <v>2166</v>
      </c>
      <c r="E27" s="158" t="s">
        <v>2167</v>
      </c>
      <c r="F27" s="161" t="s">
        <v>2100</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2087</v>
      </c>
      <c r="B28" s="151" t="s">
        <v>2156</v>
      </c>
      <c r="C28" s="152" t="s">
        <v>2168</v>
      </c>
      <c r="D28" s="155" t="s">
        <v>2169</v>
      </c>
      <c r="E28" s="158" t="s">
        <v>2170</v>
      </c>
      <c r="F28" s="161" t="s">
        <v>2096</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2087</v>
      </c>
      <c r="B29" s="150" t="s">
        <v>2171</v>
      </c>
      <c r="C29" s="148" t="s">
        <v>2172</v>
      </c>
      <c r="D29" s="154" t="s">
        <v>2173</v>
      </c>
      <c r="E29" s="157" t="s">
        <v>19</v>
      </c>
      <c r="F29" s="160" t="s">
        <v>19</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2087</v>
      </c>
      <c r="B30" s="151" t="s">
        <v>2171</v>
      </c>
      <c r="C30" s="152" t="s">
        <v>2174</v>
      </c>
      <c r="D30" s="155" t="s">
        <v>2175</v>
      </c>
      <c r="E30" s="158" t="s">
        <v>2176</v>
      </c>
      <c r="F30" s="161" t="s">
        <v>2110</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2087</v>
      </c>
      <c r="B31" s="151" t="s">
        <v>2171</v>
      </c>
      <c r="C31" s="152" t="s">
        <v>2177</v>
      </c>
      <c r="D31" s="155" t="s">
        <v>2178</v>
      </c>
      <c r="E31" s="158" t="s">
        <v>2179</v>
      </c>
      <c r="F31" s="161" t="s">
        <v>2110</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2087</v>
      </c>
      <c r="B32" s="151" t="s">
        <v>2171</v>
      </c>
      <c r="C32" s="152" t="s">
        <v>2180</v>
      </c>
      <c r="D32" s="155" t="s">
        <v>2181</v>
      </c>
      <c r="E32" s="158" t="s">
        <v>2182</v>
      </c>
      <c r="F32" s="161" t="s">
        <v>2110</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2087</v>
      </c>
      <c r="B33" s="151" t="s">
        <v>2171</v>
      </c>
      <c r="C33" s="152" t="s">
        <v>2183</v>
      </c>
      <c r="D33" s="155" t="s">
        <v>2184</v>
      </c>
      <c r="E33" s="158" t="s">
        <v>2185</v>
      </c>
      <c r="F33" s="161" t="s">
        <v>2110</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2087</v>
      </c>
      <c r="B34" s="151" t="s">
        <v>2171</v>
      </c>
      <c r="C34" s="152" t="s">
        <v>2186</v>
      </c>
      <c r="D34" s="155" t="s">
        <v>2187</v>
      </c>
      <c r="E34" s="158" t="s">
        <v>2188</v>
      </c>
      <c r="F34" s="161" t="s">
        <v>2110</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2087</v>
      </c>
      <c r="B35" s="151" t="s">
        <v>2171</v>
      </c>
      <c r="C35" s="152" t="s">
        <v>2189</v>
      </c>
      <c r="D35" s="155" t="s">
        <v>2190</v>
      </c>
      <c r="E35" s="158" t="s">
        <v>2191</v>
      </c>
      <c r="F35" s="161" t="s">
        <v>2110</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2087</v>
      </c>
      <c r="B36" s="151" t="s">
        <v>2171</v>
      </c>
      <c r="C36" s="152" t="s">
        <v>2192</v>
      </c>
      <c r="D36" s="155" t="s">
        <v>2193</v>
      </c>
      <c r="E36" s="158" t="s">
        <v>2194</v>
      </c>
      <c r="F36" s="161" t="s">
        <v>2110</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2087</v>
      </c>
      <c r="B37" s="151" t="s">
        <v>2171</v>
      </c>
      <c r="C37" s="152" t="s">
        <v>2195</v>
      </c>
      <c r="D37" s="155" t="s">
        <v>2196</v>
      </c>
      <c r="E37" s="158" t="s">
        <v>2197</v>
      </c>
      <c r="F37" s="161" t="s">
        <v>2110</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2087</v>
      </c>
      <c r="B38" s="151" t="s">
        <v>2171</v>
      </c>
      <c r="C38" s="152" t="s">
        <v>2198</v>
      </c>
      <c r="D38" s="155" t="s">
        <v>2199</v>
      </c>
      <c r="E38" s="158" t="s">
        <v>2200</v>
      </c>
      <c r="F38" s="161" t="s">
        <v>2110</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2087</v>
      </c>
      <c r="B39" s="151" t="s">
        <v>2171</v>
      </c>
      <c r="C39" s="152" t="s">
        <v>2201</v>
      </c>
      <c r="D39" s="155" t="s">
        <v>2202</v>
      </c>
      <c r="E39" s="158" t="s">
        <v>2203</v>
      </c>
      <c r="F39" s="161" t="s">
        <v>2110</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2204</v>
      </c>
      <c r="B40" s="149" t="s">
        <v>19</v>
      </c>
      <c r="C40" s="147" t="s">
        <v>2205</v>
      </c>
      <c r="D40" s="153" t="s">
        <v>2206</v>
      </c>
      <c r="E40" s="156" t="s">
        <v>19</v>
      </c>
      <c r="F40" s="159" t="s">
        <v>19</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2204</v>
      </c>
      <c r="B41" s="150" t="s">
        <v>2207</v>
      </c>
      <c r="C41" s="148" t="s">
        <v>2208</v>
      </c>
      <c r="D41" s="154" t="s">
        <v>2209</v>
      </c>
      <c r="E41" s="157" t="s">
        <v>19</v>
      </c>
      <c r="F41" s="160" t="s">
        <v>19</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2204</v>
      </c>
      <c r="B42" s="151" t="s">
        <v>2207</v>
      </c>
      <c r="C42" s="152" t="s">
        <v>2210</v>
      </c>
      <c r="D42" s="155" t="s">
        <v>2211</v>
      </c>
      <c r="E42" s="158" t="s">
        <v>2212</v>
      </c>
      <c r="F42" s="161" t="s">
        <v>2096</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2204</v>
      </c>
      <c r="B43" s="151" t="s">
        <v>2207</v>
      </c>
      <c r="C43" s="152" t="s">
        <v>2213</v>
      </c>
      <c r="D43" s="155" t="s">
        <v>2214</v>
      </c>
      <c r="E43" s="158" t="s">
        <v>2215</v>
      </c>
      <c r="F43" s="161" t="s">
        <v>2096</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2204</v>
      </c>
      <c r="B44" s="151" t="s">
        <v>2207</v>
      </c>
      <c r="C44" s="152" t="s">
        <v>2216</v>
      </c>
      <c r="D44" s="155" t="s">
        <v>2217</v>
      </c>
      <c r="E44" s="158" t="s">
        <v>2218</v>
      </c>
      <c r="F44" s="161" t="s">
        <v>2100</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2204</v>
      </c>
      <c r="B45" s="151" t="s">
        <v>2207</v>
      </c>
      <c r="C45" s="152" t="s">
        <v>2219</v>
      </c>
      <c r="D45" s="155" t="s">
        <v>2220</v>
      </c>
      <c r="E45" s="158" t="s">
        <v>2221</v>
      </c>
      <c r="F45" s="161" t="s">
        <v>2110</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2204</v>
      </c>
      <c r="B46" s="151" t="s">
        <v>2207</v>
      </c>
      <c r="C46" s="152" t="s">
        <v>2222</v>
      </c>
      <c r="D46" s="155" t="s">
        <v>2223</v>
      </c>
      <c r="E46" s="158" t="s">
        <v>2224</v>
      </c>
      <c r="F46" s="161" t="s">
        <v>2096</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2204</v>
      </c>
      <c r="B47" s="151" t="s">
        <v>2207</v>
      </c>
      <c r="C47" s="152" t="s">
        <v>2225</v>
      </c>
      <c r="D47" s="155" t="s">
        <v>2226</v>
      </c>
      <c r="E47" s="158"/>
      <c r="F47" s="161" t="s">
        <v>19</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2204</v>
      </c>
      <c r="B48" s="151" t="s">
        <v>2207</v>
      </c>
      <c r="C48" s="152" t="s">
        <v>2227</v>
      </c>
      <c r="D48" s="155" t="s">
        <v>2228</v>
      </c>
      <c r="E48" s="158" t="s">
        <v>2229</v>
      </c>
      <c r="F48" s="161" t="s">
        <v>2096</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2204</v>
      </c>
      <c r="B49" s="151" t="s">
        <v>2207</v>
      </c>
      <c r="C49" s="152" t="s">
        <v>2230</v>
      </c>
      <c r="D49" s="155" t="s">
        <v>2231</v>
      </c>
      <c r="E49" s="158" t="s">
        <v>2232</v>
      </c>
      <c r="F49" s="161" t="s">
        <v>2100</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2204</v>
      </c>
      <c r="B50" s="150" t="s">
        <v>2233</v>
      </c>
      <c r="C50" s="148" t="s">
        <v>2234</v>
      </c>
      <c r="D50" s="154"/>
      <c r="E50" s="157" t="s">
        <v>19</v>
      </c>
      <c r="F50" s="160" t="s">
        <v>19</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2204</v>
      </c>
      <c r="B51" s="151" t="s">
        <v>2233</v>
      </c>
      <c r="C51" s="152" t="s">
        <v>2235</v>
      </c>
      <c r="D51" s="155" t="s">
        <v>2236</v>
      </c>
      <c r="E51" s="158"/>
      <c r="F51" s="161" t="s">
        <v>19</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2204</v>
      </c>
      <c r="B52" s="151" t="s">
        <v>2233</v>
      </c>
      <c r="C52" s="152" t="s">
        <v>2237</v>
      </c>
      <c r="D52" s="155" t="s">
        <v>2238</v>
      </c>
      <c r="E52" s="158"/>
      <c r="F52" s="161" t="s">
        <v>19</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2204</v>
      </c>
      <c r="B53" s="151" t="s">
        <v>2233</v>
      </c>
      <c r="C53" s="152" t="s">
        <v>2239</v>
      </c>
      <c r="D53" s="155" t="s">
        <v>2240</v>
      </c>
      <c r="E53" s="158"/>
      <c r="F53" s="161" t="s">
        <v>19</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2204</v>
      </c>
      <c r="B54" s="151" t="s">
        <v>2233</v>
      </c>
      <c r="C54" s="152" t="s">
        <v>2241</v>
      </c>
      <c r="D54" s="155" t="s">
        <v>2242</v>
      </c>
      <c r="E54" s="158"/>
      <c r="F54" s="161" t="s">
        <v>19</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2204</v>
      </c>
      <c r="B55" s="151" t="s">
        <v>2233</v>
      </c>
      <c r="C55" s="152" t="s">
        <v>2243</v>
      </c>
      <c r="D55" s="155" t="s">
        <v>2244</v>
      </c>
      <c r="E55" s="158"/>
      <c r="F55" s="161" t="s">
        <v>19</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2204</v>
      </c>
      <c r="B56" s="150" t="s">
        <v>358</v>
      </c>
      <c r="C56" s="148" t="s">
        <v>2245</v>
      </c>
      <c r="D56" s="154"/>
      <c r="E56" s="157" t="s">
        <v>19</v>
      </c>
      <c r="F56" s="160" t="s">
        <v>19</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2204</v>
      </c>
      <c r="B57" s="151" t="s">
        <v>358</v>
      </c>
      <c r="C57" s="152" t="s">
        <v>2246</v>
      </c>
      <c r="D57" s="155" t="s">
        <v>2247</v>
      </c>
      <c r="E57" s="158"/>
      <c r="F57" s="161" t="s">
        <v>19</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2204</v>
      </c>
      <c r="B58" s="151" t="s">
        <v>358</v>
      </c>
      <c r="C58" s="152" t="s">
        <v>2248</v>
      </c>
      <c r="D58" s="155" t="s">
        <v>2249</v>
      </c>
      <c r="E58" s="158"/>
      <c r="F58" s="161" t="s">
        <v>19</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2204</v>
      </c>
      <c r="B59" s="151" t="s">
        <v>358</v>
      </c>
      <c r="C59" s="152" t="s">
        <v>2250</v>
      </c>
      <c r="D59" s="155" t="s">
        <v>2251</v>
      </c>
      <c r="E59" s="158"/>
      <c r="F59" s="161" t="s">
        <v>19</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2204</v>
      </c>
      <c r="B60" s="151" t="s">
        <v>358</v>
      </c>
      <c r="C60" s="152" t="s">
        <v>2252</v>
      </c>
      <c r="D60" s="155" t="s">
        <v>2253</v>
      </c>
      <c r="E60" s="158"/>
      <c r="F60" s="161" t="s">
        <v>19</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2204</v>
      </c>
      <c r="B61" s="150" t="s">
        <v>2254</v>
      </c>
      <c r="C61" s="148" t="s">
        <v>2255</v>
      </c>
      <c r="D61" s="154" t="s">
        <v>2256</v>
      </c>
      <c r="E61" s="157" t="s">
        <v>19</v>
      </c>
      <c r="F61" s="160" t="s">
        <v>19</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2204</v>
      </c>
      <c r="B62" s="151" t="s">
        <v>2254</v>
      </c>
      <c r="C62" s="152" t="s">
        <v>2257</v>
      </c>
      <c r="D62" s="155" t="s">
        <v>2258</v>
      </c>
      <c r="E62" s="158" t="s">
        <v>2259</v>
      </c>
      <c r="F62" s="161" t="s">
        <v>2096</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2204</v>
      </c>
      <c r="B63" s="151" t="s">
        <v>2254</v>
      </c>
      <c r="C63" s="152" t="s">
        <v>2260</v>
      </c>
      <c r="D63" s="155" t="s">
        <v>2261</v>
      </c>
      <c r="E63" s="158" t="s">
        <v>2262</v>
      </c>
      <c r="F63" s="161" t="s">
        <v>2100</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2204</v>
      </c>
      <c r="B64" s="151" t="s">
        <v>2254</v>
      </c>
      <c r="C64" s="152" t="s">
        <v>2263</v>
      </c>
      <c r="D64" s="155" t="s">
        <v>2264</v>
      </c>
      <c r="E64" s="158" t="s">
        <v>2265</v>
      </c>
      <c r="F64" s="161" t="s">
        <v>2096</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2204</v>
      </c>
      <c r="B65" s="151" t="s">
        <v>2254</v>
      </c>
      <c r="C65" s="152" t="s">
        <v>2266</v>
      </c>
      <c r="D65" s="155" t="s">
        <v>2267</v>
      </c>
      <c r="E65" s="158" t="s">
        <v>2268</v>
      </c>
      <c r="F65" s="161" t="s">
        <v>2096</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2204</v>
      </c>
      <c r="B66" s="150" t="s">
        <v>1862</v>
      </c>
      <c r="C66" s="148" t="s">
        <v>2269</v>
      </c>
      <c r="D66" s="154" t="s">
        <v>2270</v>
      </c>
      <c r="E66" s="157" t="s">
        <v>19</v>
      </c>
      <c r="F66" s="160" t="s">
        <v>19</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2204</v>
      </c>
      <c r="B67" s="151" t="s">
        <v>1862</v>
      </c>
      <c r="C67" s="152" t="s">
        <v>2271</v>
      </c>
      <c r="D67" s="155" t="s">
        <v>2272</v>
      </c>
      <c r="E67" s="158" t="s">
        <v>2273</v>
      </c>
      <c r="F67" s="161" t="s">
        <v>2096</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2204</v>
      </c>
      <c r="B68" s="151" t="s">
        <v>1862</v>
      </c>
      <c r="C68" s="152" t="s">
        <v>2274</v>
      </c>
      <c r="D68" s="155" t="s">
        <v>2275</v>
      </c>
      <c r="E68" s="158" t="s">
        <v>2276</v>
      </c>
      <c r="F68" s="161" t="s">
        <v>2096</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2204</v>
      </c>
      <c r="B69" s="151" t="s">
        <v>1862</v>
      </c>
      <c r="C69" s="152" t="s">
        <v>2277</v>
      </c>
      <c r="D69" s="155" t="s">
        <v>2278</v>
      </c>
      <c r="E69" s="158" t="s">
        <v>2279</v>
      </c>
      <c r="F69" s="161" t="s">
        <v>2100</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2204</v>
      </c>
      <c r="B70" s="151" t="s">
        <v>1862</v>
      </c>
      <c r="C70" s="152" t="s">
        <v>2280</v>
      </c>
      <c r="D70" s="155" t="s">
        <v>2281</v>
      </c>
      <c r="E70" s="158" t="s">
        <v>2282</v>
      </c>
      <c r="F70" s="161" t="s">
        <v>2096</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2204</v>
      </c>
      <c r="B71" s="151" t="s">
        <v>1862</v>
      </c>
      <c r="C71" s="152" t="s">
        <v>2283</v>
      </c>
      <c r="D71" s="155" t="s">
        <v>2284</v>
      </c>
      <c r="E71" s="158" t="s">
        <v>2285</v>
      </c>
      <c r="F71" s="161" t="s">
        <v>2096</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2204</v>
      </c>
      <c r="B72" s="151" t="s">
        <v>1862</v>
      </c>
      <c r="C72" s="152" t="s">
        <v>2286</v>
      </c>
      <c r="D72" s="155" t="s">
        <v>2287</v>
      </c>
      <c r="E72" s="158" t="s">
        <v>2288</v>
      </c>
      <c r="F72" s="161" t="s">
        <v>2096</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2204</v>
      </c>
      <c r="B73" s="151" t="s">
        <v>1862</v>
      </c>
      <c r="C73" s="152" t="s">
        <v>2289</v>
      </c>
      <c r="D73" s="155" t="s">
        <v>2290</v>
      </c>
      <c r="E73" s="158" t="s">
        <v>2291</v>
      </c>
      <c r="F73" s="161" t="s">
        <v>19</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2204</v>
      </c>
      <c r="B74" s="151" t="s">
        <v>1862</v>
      </c>
      <c r="C74" s="152" t="s">
        <v>2292</v>
      </c>
      <c r="D74" s="155" t="s">
        <v>2293</v>
      </c>
      <c r="E74" s="158" t="s">
        <v>2294</v>
      </c>
      <c r="F74" s="161" t="s">
        <v>2100</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2204</v>
      </c>
      <c r="B75" s="151" t="s">
        <v>1862</v>
      </c>
      <c r="C75" s="152" t="s">
        <v>2295</v>
      </c>
      <c r="D75" s="155" t="s">
        <v>2296</v>
      </c>
      <c r="E75" s="158" t="s">
        <v>2297</v>
      </c>
      <c r="F75" s="161" t="s">
        <v>2110</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2204</v>
      </c>
      <c r="B76" s="151" t="s">
        <v>1862</v>
      </c>
      <c r="C76" s="152" t="s">
        <v>2298</v>
      </c>
      <c r="D76" s="155" t="s">
        <v>2299</v>
      </c>
      <c r="E76" s="158" t="s">
        <v>2300</v>
      </c>
      <c r="F76" s="161" t="s">
        <v>19</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2204</v>
      </c>
      <c r="B77" s="150" t="s">
        <v>2132</v>
      </c>
      <c r="C77" s="148" t="s">
        <v>2301</v>
      </c>
      <c r="D77" s="154"/>
      <c r="E77" s="157" t="s">
        <v>19</v>
      </c>
      <c r="F77" s="160" t="s">
        <v>19</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2204</v>
      </c>
      <c r="B78" s="151" t="s">
        <v>2132</v>
      </c>
      <c r="C78" s="152" t="s">
        <v>2302</v>
      </c>
      <c r="D78" s="155" t="s">
        <v>2303</v>
      </c>
      <c r="E78" s="158"/>
      <c r="F78" s="161" t="s">
        <v>19</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2204</v>
      </c>
      <c r="B79" s="151" t="s">
        <v>2132</v>
      </c>
      <c r="C79" s="152" t="s">
        <v>2304</v>
      </c>
      <c r="D79" s="155" t="s">
        <v>2305</v>
      </c>
      <c r="E79" s="158"/>
      <c r="F79" s="161" t="s">
        <v>19</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2204</v>
      </c>
      <c r="B80" s="151" t="s">
        <v>2132</v>
      </c>
      <c r="C80" s="152" t="s">
        <v>2306</v>
      </c>
      <c r="D80" s="155" t="s">
        <v>2307</v>
      </c>
      <c r="E80" s="158"/>
      <c r="F80" s="161" t="s">
        <v>19</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2204</v>
      </c>
      <c r="B81" s="150" t="s">
        <v>2060</v>
      </c>
      <c r="C81" s="148" t="s">
        <v>2308</v>
      </c>
      <c r="D81" s="154"/>
      <c r="E81" s="157" t="s">
        <v>19</v>
      </c>
      <c r="F81" s="160" t="s">
        <v>19</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2204</v>
      </c>
      <c r="B82" s="151" t="s">
        <v>2060</v>
      </c>
      <c r="C82" s="152" t="s">
        <v>2309</v>
      </c>
      <c r="D82" s="155" t="s">
        <v>2310</v>
      </c>
      <c r="E82" s="158"/>
      <c r="F82" s="161" t="s">
        <v>19</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2204</v>
      </c>
      <c r="B83" s="151" t="s">
        <v>2060</v>
      </c>
      <c r="C83" s="152" t="s">
        <v>2311</v>
      </c>
      <c r="D83" s="155" t="s">
        <v>2312</v>
      </c>
      <c r="E83" s="158"/>
      <c r="F83" s="161" t="s">
        <v>19</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2204</v>
      </c>
      <c r="B84" s="151" t="s">
        <v>2060</v>
      </c>
      <c r="C84" s="152" t="s">
        <v>2313</v>
      </c>
      <c r="D84" s="155" t="s">
        <v>2314</v>
      </c>
      <c r="E84" s="158"/>
      <c r="F84" s="161" t="s">
        <v>19</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2204</v>
      </c>
      <c r="B85" s="151" t="s">
        <v>2060</v>
      </c>
      <c r="C85" s="152" t="s">
        <v>2315</v>
      </c>
      <c r="D85" s="155" t="s">
        <v>2316</v>
      </c>
      <c r="E85" s="158"/>
      <c r="F85" s="161" t="s">
        <v>19</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2204</v>
      </c>
      <c r="B86" s="151" t="s">
        <v>2060</v>
      </c>
      <c r="C86" s="152" t="s">
        <v>2317</v>
      </c>
      <c r="D86" s="155" t="s">
        <v>2318</v>
      </c>
      <c r="E86" s="158"/>
      <c r="F86" s="161" t="s">
        <v>19</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2319</v>
      </c>
      <c r="B87" s="149" t="s">
        <v>19</v>
      </c>
      <c r="C87" s="147" t="s">
        <v>2320</v>
      </c>
      <c r="D87" s="153" t="s">
        <v>2321</v>
      </c>
      <c r="E87" s="156" t="s">
        <v>19</v>
      </c>
      <c r="F87" s="159" t="s">
        <v>19</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2319</v>
      </c>
      <c r="B88" s="150" t="s">
        <v>2322</v>
      </c>
      <c r="C88" s="148" t="s">
        <v>2323</v>
      </c>
      <c r="D88" s="154" t="s">
        <v>2324</v>
      </c>
      <c r="E88" s="157" t="s">
        <v>19</v>
      </c>
      <c r="F88" s="160" t="s">
        <v>19</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2319</v>
      </c>
      <c r="B89" s="151" t="s">
        <v>2322</v>
      </c>
      <c r="C89" s="152" t="s">
        <v>2325</v>
      </c>
      <c r="D89" s="155" t="s">
        <v>2326</v>
      </c>
      <c r="E89" s="158" t="s">
        <v>2327</v>
      </c>
      <c r="F89" s="161" t="s">
        <v>2096</v>
      </c>
      <c r="G89" s="164" t="str">
        <f>IF(COUNTIF(H89:AU89,"&lt;&gt;")=0,"",SUMPRODUCT(((Recommendations[ImplStatus]="Implemented")+(Recommendations[ImplStatus]="Compensated"))*ISNUMBER(MATCH(Recommendations[Id],H89:AU89,0)))/COUNTIF(H89:AU89,"&lt;&gt;"))</f>
        <v/>
      </c>
      <c r="H89" s="167"/>
      <c r="I89" s="167"/>
      <c r="J89" s="167"/>
      <c r="K89" s="167"/>
      <c r="L89" s="167"/>
      <c r="M89" s="167"/>
      <c r="N89" s="167"/>
      <c r="O89" s="167"/>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2319</v>
      </c>
      <c r="B90" s="151" t="s">
        <v>2322</v>
      </c>
      <c r="C90" s="152" t="s">
        <v>2328</v>
      </c>
      <c r="D90" s="155" t="s">
        <v>2329</v>
      </c>
      <c r="E90" s="158" t="s">
        <v>2330</v>
      </c>
      <c r="F90" s="161" t="s">
        <v>2100</v>
      </c>
      <c r="G90" s="164" t="str">
        <f>IF(COUNTIF(H90:AU90,"&lt;&gt;")=0,"",SUMPRODUCT(((Recommendations[ImplStatus]="Implemented")+(Recommendations[ImplStatus]="Compensated"))*ISNUMBER(MATCH(Recommendations[Id],H90:AU90,0)))/COUNTIF(H90:AU90,"&lt;&gt;"))</f>
        <v/>
      </c>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2319</v>
      </c>
      <c r="B91" s="151" t="s">
        <v>2322</v>
      </c>
      <c r="C91" s="152" t="s">
        <v>2331</v>
      </c>
      <c r="D91" s="155" t="s">
        <v>2332</v>
      </c>
      <c r="E91" s="158" t="s">
        <v>2333</v>
      </c>
      <c r="F91" s="161" t="s">
        <v>2096</v>
      </c>
      <c r="G91" s="164" t="str">
        <f>IF(COUNTIF(H91:AU91,"&lt;&gt;")=0,"",SUMPRODUCT(((Recommendations[ImplStatus]="Implemented")+(Recommendations[ImplStatus]="Compensated"))*ISNUMBER(MATCH(Recommendations[Id],H91:AU91,0)))/COUNTIF(H91:AU91,"&lt;&gt;"))</f>
        <v/>
      </c>
      <c r="H91" s="167"/>
      <c r="I91" s="167"/>
      <c r="J91" s="167"/>
      <c r="K91" s="167"/>
      <c r="L91" s="167"/>
      <c r="M91" s="167"/>
      <c r="N91" s="167"/>
      <c r="O91" s="167"/>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2319</v>
      </c>
      <c r="B92" s="151" t="s">
        <v>2322</v>
      </c>
      <c r="C92" s="152" t="s">
        <v>2334</v>
      </c>
      <c r="D92" s="155" t="s">
        <v>2335</v>
      </c>
      <c r="E92" s="158" t="s">
        <v>2336</v>
      </c>
      <c r="F92" s="161" t="s">
        <v>2096</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2319</v>
      </c>
      <c r="B93" s="151" t="s">
        <v>2322</v>
      </c>
      <c r="C93" s="152" t="s">
        <v>2337</v>
      </c>
      <c r="D93" s="155" t="s">
        <v>2338</v>
      </c>
      <c r="E93" s="158" t="s">
        <v>2339</v>
      </c>
      <c r="F93" s="161" t="s">
        <v>2096</v>
      </c>
      <c r="G93" s="164">
        <f>IF(COUNTIF(H93:AU93,"&lt;&gt;")=0,"",SUMPRODUCT(((Recommendations[ImplStatus]="Implemented")+(Recommendations[ImplStatus]="Compensated"))*ISNUMBER(MATCH(Recommendations[Id],H93:AU93,0)))/COUNTIF(H93:AU93,"&lt;&gt;"))</f>
        <v>0</v>
      </c>
      <c r="H93" s="167" t="s">
        <v>156</v>
      </c>
      <c r="I93" s="167" t="s">
        <v>176</v>
      </c>
      <c r="J93" s="167" t="s">
        <v>181</v>
      </c>
      <c r="K93" s="167" t="s">
        <v>204</v>
      </c>
      <c r="L93" s="167"/>
      <c r="M93" s="167"/>
      <c r="N93" s="167"/>
      <c r="O93" s="167"/>
      <c r="P93" s="167"/>
      <c r="Q93" s="167"/>
      <c r="R93" s="167"/>
      <c r="S93" s="167"/>
      <c r="T93" s="167"/>
      <c r="U93" s="167"/>
      <c r="V93" s="167"/>
      <c r="W93" s="167"/>
      <c r="X93" s="167"/>
      <c r="Y93" s="167"/>
      <c r="Z93" s="167"/>
      <c r="AA93" s="167"/>
      <c r="AB93" s="167"/>
      <c r="AC93" s="167"/>
      <c r="AD93" s="167"/>
      <c r="AE93" s="167"/>
      <c r="AF93" s="167"/>
      <c r="AG93" s="167"/>
      <c r="AH93" s="167"/>
      <c r="AI93" s="167"/>
      <c r="AJ93" s="167"/>
      <c r="AK93" s="167"/>
      <c r="AL93" s="167"/>
      <c r="AM93" s="167"/>
      <c r="AN93" s="167"/>
      <c r="AO93" s="167"/>
      <c r="AP93" s="167"/>
      <c r="AQ93" s="167"/>
      <c r="AR93" s="167"/>
      <c r="AS93" s="167"/>
      <c r="AT93" s="167"/>
      <c r="AU93" s="181"/>
    </row>
    <row r="94" spans="1:47" ht="60" customHeight="1" x14ac:dyDescent="0.35">
      <c r="A94" s="177" t="s">
        <v>2319</v>
      </c>
      <c r="B94" s="151" t="s">
        <v>2322</v>
      </c>
      <c r="C94" s="152" t="s">
        <v>2340</v>
      </c>
      <c r="D94" s="155" t="s">
        <v>2341</v>
      </c>
      <c r="E94" s="158" t="s">
        <v>2342</v>
      </c>
      <c r="F94" s="161" t="s">
        <v>2100</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2319</v>
      </c>
      <c r="B95" s="150" t="s">
        <v>2343</v>
      </c>
      <c r="C95" s="148" t="s">
        <v>2344</v>
      </c>
      <c r="D95" s="154"/>
      <c r="E95" s="157" t="s">
        <v>19</v>
      </c>
      <c r="F95" s="160" t="s">
        <v>19</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2319</v>
      </c>
      <c r="B96" s="151" t="s">
        <v>2343</v>
      </c>
      <c r="C96" s="152" t="s">
        <v>2345</v>
      </c>
      <c r="D96" s="155" t="s">
        <v>2346</v>
      </c>
      <c r="E96" s="158"/>
      <c r="F96" s="161" t="s">
        <v>19</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2319</v>
      </c>
      <c r="B97" s="151" t="s">
        <v>2343</v>
      </c>
      <c r="C97" s="152" t="s">
        <v>2347</v>
      </c>
      <c r="D97" s="155" t="s">
        <v>2348</v>
      </c>
      <c r="E97" s="158"/>
      <c r="F97" s="161" t="s">
        <v>19</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2319</v>
      </c>
      <c r="B98" s="151" t="s">
        <v>2343</v>
      </c>
      <c r="C98" s="152" t="s">
        <v>2349</v>
      </c>
      <c r="D98" s="155" t="s">
        <v>2350</v>
      </c>
      <c r="E98" s="158"/>
      <c r="F98" s="161" t="s">
        <v>19</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2319</v>
      </c>
      <c r="B99" s="151" t="s">
        <v>2343</v>
      </c>
      <c r="C99" s="152" t="s">
        <v>2351</v>
      </c>
      <c r="D99" s="155" t="s">
        <v>2352</v>
      </c>
      <c r="E99" s="158"/>
      <c r="F99" s="161" t="s">
        <v>19</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2319</v>
      </c>
      <c r="B100" s="151" t="s">
        <v>2343</v>
      </c>
      <c r="C100" s="152" t="s">
        <v>2353</v>
      </c>
      <c r="D100" s="155" t="s">
        <v>2354</v>
      </c>
      <c r="E100" s="158"/>
      <c r="F100" s="161" t="s">
        <v>19</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2319</v>
      </c>
      <c r="B101" s="151" t="s">
        <v>2343</v>
      </c>
      <c r="C101" s="152" t="s">
        <v>2355</v>
      </c>
      <c r="D101" s="155" t="s">
        <v>2356</v>
      </c>
      <c r="E101" s="158"/>
      <c r="F101" s="161" t="s">
        <v>19</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2319</v>
      </c>
      <c r="B102" s="151" t="s">
        <v>2343</v>
      </c>
      <c r="C102" s="152" t="s">
        <v>2357</v>
      </c>
      <c r="D102" s="155" t="s">
        <v>2358</v>
      </c>
      <c r="E102" s="158"/>
      <c r="F102" s="161" t="s">
        <v>19</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2319</v>
      </c>
      <c r="B103" s="150" t="s">
        <v>1503</v>
      </c>
      <c r="C103" s="148" t="s">
        <v>2359</v>
      </c>
      <c r="D103" s="154" t="s">
        <v>2360</v>
      </c>
      <c r="E103" s="157" t="s">
        <v>19</v>
      </c>
      <c r="F103" s="160" t="s">
        <v>19</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2319</v>
      </c>
      <c r="B104" s="151" t="s">
        <v>1503</v>
      </c>
      <c r="C104" s="152" t="s">
        <v>2361</v>
      </c>
      <c r="D104" s="155" t="s">
        <v>2362</v>
      </c>
      <c r="E104" s="158" t="s">
        <v>2363</v>
      </c>
      <c r="F104" s="161" t="s">
        <v>2096</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2319</v>
      </c>
      <c r="B105" s="151" t="s">
        <v>1503</v>
      </c>
      <c r="C105" s="152" t="s">
        <v>2364</v>
      </c>
      <c r="D105" s="155" t="s">
        <v>2365</v>
      </c>
      <c r="E105" s="158" t="s">
        <v>2366</v>
      </c>
      <c r="F105" s="161" t="s">
        <v>2100</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2319</v>
      </c>
      <c r="B106" s="151" t="s">
        <v>1503</v>
      </c>
      <c r="C106" s="152" t="s">
        <v>2367</v>
      </c>
      <c r="D106" s="155" t="s">
        <v>2368</v>
      </c>
      <c r="E106" s="158"/>
      <c r="F106" s="161" t="s">
        <v>19</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2319</v>
      </c>
      <c r="B107" s="151" t="s">
        <v>1503</v>
      </c>
      <c r="C107" s="152" t="s">
        <v>2369</v>
      </c>
      <c r="D107" s="155" t="s">
        <v>2370</v>
      </c>
      <c r="E107" s="158"/>
      <c r="F107" s="161" t="s">
        <v>19</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2319</v>
      </c>
      <c r="B108" s="151" t="s">
        <v>1503</v>
      </c>
      <c r="C108" s="152" t="s">
        <v>2371</v>
      </c>
      <c r="D108" s="155" t="s">
        <v>2372</v>
      </c>
      <c r="E108" s="158"/>
      <c r="F108" s="161" t="s">
        <v>19</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2319</v>
      </c>
      <c r="B109" s="150" t="s">
        <v>2373</v>
      </c>
      <c r="C109" s="148" t="s">
        <v>2374</v>
      </c>
      <c r="D109" s="154" t="s">
        <v>2375</v>
      </c>
      <c r="E109" s="157" t="s">
        <v>19</v>
      </c>
      <c r="F109" s="160" t="s">
        <v>19</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2319</v>
      </c>
      <c r="B110" s="151" t="s">
        <v>2373</v>
      </c>
      <c r="C110" s="152" t="s">
        <v>2376</v>
      </c>
      <c r="D110" s="155" t="s">
        <v>2377</v>
      </c>
      <c r="E110" s="158" t="s">
        <v>2378</v>
      </c>
      <c r="F110" s="161" t="s">
        <v>2096</v>
      </c>
      <c r="G110" s="164" t="str">
        <f>IF(COUNTIF(H110:AU110,"&lt;&gt;")=0,"",SUMPRODUCT(((Recommendations[ImplStatus]="Implemented")+(Recommendations[ImplStatus]="Compensated"))*ISNUMBER(MATCH(Recommendations[Id],H110:AU110,0)))/COUNTIF(H110:AU110,"&lt;&gt;"))</f>
        <v/>
      </c>
      <c r="H110" s="167"/>
      <c r="I110" s="167"/>
      <c r="J110" s="167"/>
      <c r="K110" s="167"/>
      <c r="L110" s="167"/>
      <c r="M110" s="167"/>
      <c r="N110" s="167"/>
      <c r="O110" s="167"/>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2319</v>
      </c>
      <c r="B111" s="151" t="s">
        <v>2373</v>
      </c>
      <c r="C111" s="152" t="s">
        <v>2379</v>
      </c>
      <c r="D111" s="155" t="s">
        <v>2380</v>
      </c>
      <c r="E111" s="158" t="s">
        <v>2381</v>
      </c>
      <c r="F111" s="161" t="s">
        <v>2096</v>
      </c>
      <c r="G111" s="164" t="str">
        <f>IF(COUNTIF(H111:AU111,"&lt;&gt;")=0,"",SUMPRODUCT(((Recommendations[ImplStatus]="Implemented")+(Recommendations[ImplStatus]="Compensated"))*ISNUMBER(MATCH(Recommendations[Id],H111:AU111,0)))/COUNTIF(H111:AU111,"&lt;&gt;"))</f>
        <v/>
      </c>
      <c r="H111" s="167"/>
      <c r="I111" s="167"/>
      <c r="J111" s="167"/>
      <c r="K111" s="167"/>
      <c r="L111" s="167"/>
      <c r="M111" s="167"/>
      <c r="N111" s="167"/>
      <c r="O111" s="167"/>
      <c r="P111" s="167"/>
      <c r="Q111" s="167"/>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2319</v>
      </c>
      <c r="B112" s="151" t="s">
        <v>2373</v>
      </c>
      <c r="C112" s="152" t="s">
        <v>2382</v>
      </c>
      <c r="D112" s="155" t="s">
        <v>2383</v>
      </c>
      <c r="E112" s="158"/>
      <c r="F112" s="161" t="s">
        <v>19</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2319</v>
      </c>
      <c r="B113" s="151" t="s">
        <v>2373</v>
      </c>
      <c r="C113" s="152" t="s">
        <v>2384</v>
      </c>
      <c r="D113" s="155" t="s">
        <v>2385</v>
      </c>
      <c r="E113" s="158"/>
      <c r="F113" s="161" t="s">
        <v>19</v>
      </c>
      <c r="G113" s="164">
        <f>IF(COUNTIF(H113:AU113,"&lt;&gt;")=0,"",SUMPRODUCT(((Recommendations[ImplStatus]="Implemented")+(Recommendations[ImplStatus]="Compensated"))*ISNUMBER(MATCH(Recommendations[Id],H113:AU113,0)))/COUNTIF(H113:AU113,"&lt;&gt;"))</f>
        <v>0</v>
      </c>
      <c r="H113" s="167" t="s">
        <v>130</v>
      </c>
      <c r="I113" s="167" t="s">
        <v>171</v>
      </c>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2319</v>
      </c>
      <c r="B114" s="151" t="s">
        <v>2373</v>
      </c>
      <c r="C114" s="152" t="s">
        <v>2386</v>
      </c>
      <c r="D114" s="155" t="s">
        <v>2387</v>
      </c>
      <c r="E114" s="158"/>
      <c r="F114" s="161" t="s">
        <v>19</v>
      </c>
      <c r="G114" s="164">
        <f>IF(COUNTIF(H114:AU114,"&lt;&gt;")=0,"",SUMPRODUCT(((Recommendations[ImplStatus]="Implemented")+(Recommendations[ImplStatus]="Compensated"))*ISNUMBER(MATCH(Recommendations[Id],H114:AU114,0)))/COUNTIF(H114:AU114,"&lt;&gt;"))</f>
        <v>0</v>
      </c>
      <c r="H114" s="167" t="s">
        <v>13</v>
      </c>
      <c r="I114" s="167" t="s">
        <v>23</v>
      </c>
      <c r="J114" s="167" t="s">
        <v>27</v>
      </c>
      <c r="K114" s="167" t="s">
        <v>31</v>
      </c>
      <c r="L114" s="167" t="s">
        <v>51</v>
      </c>
      <c r="M114" s="167" t="s">
        <v>184</v>
      </c>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2319</v>
      </c>
      <c r="B115" s="151" t="s">
        <v>2373</v>
      </c>
      <c r="C115" s="152" t="s">
        <v>2388</v>
      </c>
      <c r="D115" s="155" t="s">
        <v>2389</v>
      </c>
      <c r="E115" s="158"/>
      <c r="F115" s="161" t="s">
        <v>19</v>
      </c>
      <c r="G115" s="164" t="str">
        <f>IF(COUNTIF(H115:AU115,"&lt;&gt;")=0,"",SUMPRODUCT(((Recommendations[ImplStatus]="Implemented")+(Recommendations[ImplStatus]="Compensated"))*ISNUMBER(MATCH(Recommendations[Id],H115:AU115,0)))/COUNTIF(H115:AU115,"&lt;&gt;"))</f>
        <v/>
      </c>
      <c r="H115" s="167"/>
      <c r="I115" s="167"/>
      <c r="J115" s="167"/>
      <c r="K115" s="167"/>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2319</v>
      </c>
      <c r="B116" s="151" t="s">
        <v>2373</v>
      </c>
      <c r="C116" s="152" t="s">
        <v>2390</v>
      </c>
      <c r="D116" s="155" t="s">
        <v>2391</v>
      </c>
      <c r="E116" s="158"/>
      <c r="F116" s="161" t="s">
        <v>19</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2319</v>
      </c>
      <c r="B117" s="151" t="s">
        <v>2373</v>
      </c>
      <c r="C117" s="152" t="s">
        <v>2392</v>
      </c>
      <c r="D117" s="155" t="s">
        <v>2393</v>
      </c>
      <c r="E117" s="158"/>
      <c r="F117" s="161" t="s">
        <v>19</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2319</v>
      </c>
      <c r="B118" s="151" t="s">
        <v>2373</v>
      </c>
      <c r="C118" s="152" t="s">
        <v>2394</v>
      </c>
      <c r="D118" s="155" t="s">
        <v>2395</v>
      </c>
      <c r="E118" s="158" t="s">
        <v>2396</v>
      </c>
      <c r="F118" s="161" t="s">
        <v>2096</v>
      </c>
      <c r="G118" s="164">
        <f>IF(COUNTIF(H118:AU118,"&lt;&gt;")=0,"",SUMPRODUCT(((Recommendations[ImplStatus]="Implemented")+(Recommendations[ImplStatus]="Compensated"))*ISNUMBER(MATCH(Recommendations[Id],H118:AU118,0)))/COUNTIF(H118:AU118,"&lt;&gt;"))</f>
        <v>0</v>
      </c>
      <c r="H118" s="167" t="s">
        <v>189</v>
      </c>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2319</v>
      </c>
      <c r="B119" s="151" t="s">
        <v>2373</v>
      </c>
      <c r="C119" s="152" t="s">
        <v>2397</v>
      </c>
      <c r="D119" s="155" t="s">
        <v>2398</v>
      </c>
      <c r="E119" s="158" t="s">
        <v>2399</v>
      </c>
      <c r="F119" s="161" t="s">
        <v>2096</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2319</v>
      </c>
      <c r="B120" s="150" t="s">
        <v>2400</v>
      </c>
      <c r="C120" s="148" t="s">
        <v>2401</v>
      </c>
      <c r="D120" s="154"/>
      <c r="E120" s="157" t="s">
        <v>19</v>
      </c>
      <c r="F120" s="160" t="s">
        <v>19</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2319</v>
      </c>
      <c r="B121" s="151" t="s">
        <v>2400</v>
      </c>
      <c r="C121" s="152" t="s">
        <v>2402</v>
      </c>
      <c r="D121" s="155" t="s">
        <v>2403</v>
      </c>
      <c r="E121" s="158"/>
      <c r="F121" s="161" t="s">
        <v>19</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2319</v>
      </c>
      <c r="B122" s="151" t="s">
        <v>2400</v>
      </c>
      <c r="C122" s="152" t="s">
        <v>2404</v>
      </c>
      <c r="D122" s="155" t="s">
        <v>2405</v>
      </c>
      <c r="E122" s="158"/>
      <c r="F122" s="161" t="s">
        <v>19</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2319</v>
      </c>
      <c r="B123" s="151" t="s">
        <v>2400</v>
      </c>
      <c r="C123" s="152" t="s">
        <v>2406</v>
      </c>
      <c r="D123" s="155" t="s">
        <v>2407</v>
      </c>
      <c r="E123" s="158"/>
      <c r="F123" s="161" t="s">
        <v>19</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2319</v>
      </c>
      <c r="B124" s="151" t="s">
        <v>2400</v>
      </c>
      <c r="C124" s="152" t="s">
        <v>2408</v>
      </c>
      <c r="D124" s="155" t="s">
        <v>2409</v>
      </c>
      <c r="E124" s="158"/>
      <c r="F124" s="161" t="s">
        <v>19</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2319</v>
      </c>
      <c r="B125" s="151" t="s">
        <v>2400</v>
      </c>
      <c r="C125" s="152" t="s">
        <v>2410</v>
      </c>
      <c r="D125" s="155" t="s">
        <v>2411</v>
      </c>
      <c r="E125" s="158"/>
      <c r="F125" s="161" t="s">
        <v>19</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2319</v>
      </c>
      <c r="B126" s="151" t="s">
        <v>2400</v>
      </c>
      <c r="C126" s="152" t="s">
        <v>2412</v>
      </c>
      <c r="D126" s="155" t="s">
        <v>2413</v>
      </c>
      <c r="E126" s="158"/>
      <c r="F126" s="161" t="s">
        <v>19</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2319</v>
      </c>
      <c r="B127" s="151" t="s">
        <v>2400</v>
      </c>
      <c r="C127" s="152" t="s">
        <v>2414</v>
      </c>
      <c r="D127" s="155" t="s">
        <v>2415</v>
      </c>
      <c r="E127" s="158"/>
      <c r="F127" s="161" t="s">
        <v>19</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2319</v>
      </c>
      <c r="B128" s="151" t="s">
        <v>2400</v>
      </c>
      <c r="C128" s="152" t="s">
        <v>2416</v>
      </c>
      <c r="D128" s="155" t="s">
        <v>2417</v>
      </c>
      <c r="E128" s="158"/>
      <c r="F128" s="161" t="s">
        <v>19</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2319</v>
      </c>
      <c r="B129" s="151" t="s">
        <v>2400</v>
      </c>
      <c r="C129" s="152" t="s">
        <v>2418</v>
      </c>
      <c r="D129" s="155" t="s">
        <v>2419</v>
      </c>
      <c r="E129" s="158"/>
      <c r="F129" s="161" t="s">
        <v>19</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2319</v>
      </c>
      <c r="B130" s="151" t="s">
        <v>2400</v>
      </c>
      <c r="C130" s="152" t="s">
        <v>2420</v>
      </c>
      <c r="D130" s="155" t="s">
        <v>2421</v>
      </c>
      <c r="E130" s="158"/>
      <c r="F130" s="161" t="s">
        <v>19</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2319</v>
      </c>
      <c r="B131" s="151" t="s">
        <v>2400</v>
      </c>
      <c r="C131" s="152" t="s">
        <v>2422</v>
      </c>
      <c r="D131" s="155" t="s">
        <v>2423</v>
      </c>
      <c r="E131" s="158"/>
      <c r="F131" s="161" t="s">
        <v>19</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2319</v>
      </c>
      <c r="B132" s="151" t="s">
        <v>2400</v>
      </c>
      <c r="C132" s="152" t="s">
        <v>2424</v>
      </c>
      <c r="D132" s="155" t="s">
        <v>2425</v>
      </c>
      <c r="E132" s="158"/>
      <c r="F132" s="161" t="s">
        <v>19</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2319</v>
      </c>
      <c r="B133" s="150" t="s">
        <v>2426</v>
      </c>
      <c r="C133" s="148" t="s">
        <v>2427</v>
      </c>
      <c r="D133" s="154" t="s">
        <v>2428</v>
      </c>
      <c r="E133" s="157" t="s">
        <v>19</v>
      </c>
      <c r="F133" s="160" t="s">
        <v>19</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2319</v>
      </c>
      <c r="B134" s="151" t="s">
        <v>2426</v>
      </c>
      <c r="C134" s="152" t="s">
        <v>2429</v>
      </c>
      <c r="D134" s="155" t="s">
        <v>2430</v>
      </c>
      <c r="E134" s="158" t="s">
        <v>2431</v>
      </c>
      <c r="F134" s="161" t="s">
        <v>2100</v>
      </c>
      <c r="G134" s="164" t="str">
        <f>IF(COUNTIF(H134:AU134,"&lt;&gt;")=0,"",SUMPRODUCT(((Recommendations[ImplStatus]="Implemented")+(Recommendations[ImplStatus]="Compensated"))*ISNUMBER(MATCH(Recommendations[Id],H134:AU134,0)))/COUNTIF(H134:AU134,"&lt;&gt;"))</f>
        <v/>
      </c>
      <c r="H134" s="167"/>
      <c r="I134" s="167"/>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2319</v>
      </c>
      <c r="B135" s="151" t="s">
        <v>2426</v>
      </c>
      <c r="C135" s="152" t="s">
        <v>2432</v>
      </c>
      <c r="D135" s="155" t="s">
        <v>2433</v>
      </c>
      <c r="E135" s="158" t="s">
        <v>2434</v>
      </c>
      <c r="F135" s="161" t="s">
        <v>2100</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2319</v>
      </c>
      <c r="B136" s="151" t="s">
        <v>2426</v>
      </c>
      <c r="C136" s="152" t="s">
        <v>2435</v>
      </c>
      <c r="D136" s="155" t="s">
        <v>2436</v>
      </c>
      <c r="E136" s="158" t="s">
        <v>2437</v>
      </c>
      <c r="F136" s="161" t="s">
        <v>2096</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2319</v>
      </c>
      <c r="B137" s="151" t="s">
        <v>2426</v>
      </c>
      <c r="C137" s="152" t="s">
        <v>2438</v>
      </c>
      <c r="D137" s="155" t="s">
        <v>2439</v>
      </c>
      <c r="E137" s="158" t="s">
        <v>2440</v>
      </c>
      <c r="F137" s="161" t="s">
        <v>19</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2319</v>
      </c>
      <c r="B138" s="150" t="s">
        <v>1736</v>
      </c>
      <c r="C138" s="148" t="s">
        <v>2441</v>
      </c>
      <c r="D138" s="154"/>
      <c r="E138" s="157" t="s">
        <v>19</v>
      </c>
      <c r="F138" s="160" t="s">
        <v>19</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2319</v>
      </c>
      <c r="B139" s="151" t="s">
        <v>1736</v>
      </c>
      <c r="C139" s="152" t="s">
        <v>2442</v>
      </c>
      <c r="D139" s="155" t="s">
        <v>2443</v>
      </c>
      <c r="E139" s="158"/>
      <c r="F139" s="161" t="s">
        <v>19</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2319</v>
      </c>
      <c r="B140" s="151" t="s">
        <v>1736</v>
      </c>
      <c r="C140" s="152" t="s">
        <v>2444</v>
      </c>
      <c r="D140" s="155" t="s">
        <v>2445</v>
      </c>
      <c r="E140" s="158"/>
      <c r="F140" s="161" t="s">
        <v>19</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2319</v>
      </c>
      <c r="B141" s="150" t="s">
        <v>2446</v>
      </c>
      <c r="C141" s="148" t="s">
        <v>2447</v>
      </c>
      <c r="D141" s="154" t="s">
        <v>2448</v>
      </c>
      <c r="E141" s="157" t="s">
        <v>19</v>
      </c>
      <c r="F141" s="160" t="s">
        <v>19</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2319</v>
      </c>
      <c r="B142" s="151" t="s">
        <v>2446</v>
      </c>
      <c r="C142" s="152" t="s">
        <v>2449</v>
      </c>
      <c r="D142" s="155" t="s">
        <v>2450</v>
      </c>
      <c r="E142" s="158" t="s">
        <v>2451</v>
      </c>
      <c r="F142" s="161" t="s">
        <v>2096</v>
      </c>
      <c r="G142" s="164">
        <f>IF(COUNTIF(H142:AU142,"&lt;&gt;")=0,"",SUMPRODUCT(((Recommendations[ImplStatus]="Implemented")+(Recommendations[ImplStatus]="Compensated"))*ISNUMBER(MATCH(Recommendations[Id],H142:AU142,0)))/COUNTIF(H142:AU142,"&lt;&gt;"))</f>
        <v>0</v>
      </c>
      <c r="H142" s="167" t="s">
        <v>35</v>
      </c>
      <c r="I142" s="167" t="s">
        <v>41</v>
      </c>
      <c r="J142" s="167" t="s">
        <v>57</v>
      </c>
      <c r="K142" s="167" t="s">
        <v>62</v>
      </c>
      <c r="L142" s="167" t="s">
        <v>66</v>
      </c>
      <c r="M142" s="167" t="s">
        <v>70</v>
      </c>
      <c r="N142" s="167" t="s">
        <v>74</v>
      </c>
      <c r="O142" s="167" t="s">
        <v>78</v>
      </c>
      <c r="P142" s="167" t="s">
        <v>82</v>
      </c>
      <c r="Q142" s="167" t="s">
        <v>86</v>
      </c>
      <c r="R142" s="167" t="s">
        <v>90</v>
      </c>
      <c r="S142" s="167" t="s">
        <v>94</v>
      </c>
      <c r="T142" s="167" t="s">
        <v>98</v>
      </c>
      <c r="U142" s="167" t="s">
        <v>102</v>
      </c>
      <c r="V142" s="167" t="s">
        <v>106</v>
      </c>
      <c r="W142" s="167" t="s">
        <v>110</v>
      </c>
      <c r="X142" s="167" t="s">
        <v>114</v>
      </c>
      <c r="Y142" s="167" t="s">
        <v>118</v>
      </c>
      <c r="Z142" s="167" t="s">
        <v>122</v>
      </c>
      <c r="AA142" s="167" t="s">
        <v>126</v>
      </c>
      <c r="AB142" s="167" t="s">
        <v>130</v>
      </c>
      <c r="AC142" s="167" t="s">
        <v>135</v>
      </c>
      <c r="AD142" s="167" t="s">
        <v>140</v>
      </c>
      <c r="AE142" s="167" t="s">
        <v>144</v>
      </c>
      <c r="AF142" s="167" t="s">
        <v>148</v>
      </c>
      <c r="AG142" s="167" t="s">
        <v>152</v>
      </c>
      <c r="AH142" s="167" t="s">
        <v>161</v>
      </c>
      <c r="AI142" s="167" t="s">
        <v>166</v>
      </c>
      <c r="AJ142" s="167" t="s">
        <v>171</v>
      </c>
      <c r="AK142" s="167" t="s">
        <v>194</v>
      </c>
      <c r="AL142" s="167" t="s">
        <v>199</v>
      </c>
      <c r="AM142" s="167"/>
      <c r="AN142" s="167"/>
      <c r="AO142" s="167"/>
      <c r="AP142" s="167"/>
      <c r="AQ142" s="167"/>
      <c r="AR142" s="167"/>
      <c r="AS142" s="167"/>
      <c r="AT142" s="167"/>
      <c r="AU142" s="181"/>
    </row>
    <row r="143" spans="1:47" ht="60" customHeight="1" x14ac:dyDescent="0.35">
      <c r="A143" s="177" t="s">
        <v>2319</v>
      </c>
      <c r="B143" s="151" t="s">
        <v>2446</v>
      </c>
      <c r="C143" s="152" t="s">
        <v>2452</v>
      </c>
      <c r="D143" s="155" t="s">
        <v>2453</v>
      </c>
      <c r="E143" s="158" t="s">
        <v>2454</v>
      </c>
      <c r="F143" s="161" t="s">
        <v>2096</v>
      </c>
      <c r="G143" s="164" t="str">
        <f>IF(COUNTIF(H143:AU143,"&lt;&gt;")=0,"",SUMPRODUCT(((Recommendations[ImplStatus]="Implemented")+(Recommendations[ImplStatus]="Compensated"))*ISNUMBER(MATCH(Recommendations[Id],H143:AU143,0)))/COUNTIF(H143:AU143,"&lt;&gt;"))</f>
        <v/>
      </c>
      <c r="H143" s="167"/>
      <c r="I143" s="167"/>
      <c r="J143" s="167"/>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2319</v>
      </c>
      <c r="B144" s="151" t="s">
        <v>2446</v>
      </c>
      <c r="C144" s="152" t="s">
        <v>2455</v>
      </c>
      <c r="D144" s="155" t="s">
        <v>2456</v>
      </c>
      <c r="E144" s="158" t="s">
        <v>2457</v>
      </c>
      <c r="F144" s="161" t="s">
        <v>2100</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2319</v>
      </c>
      <c r="B145" s="151" t="s">
        <v>2446</v>
      </c>
      <c r="C145" s="152" t="s">
        <v>2458</v>
      </c>
      <c r="D145" s="155" t="s">
        <v>2459</v>
      </c>
      <c r="E145" s="158" t="s">
        <v>2460</v>
      </c>
      <c r="F145" s="161" t="s">
        <v>2096</v>
      </c>
      <c r="G145" s="164">
        <f>IF(COUNTIF(H145:AU145,"&lt;&gt;")=0,"",SUMPRODUCT(((Recommendations[ImplStatus]="Implemented")+(Recommendations[ImplStatus]="Compensated"))*ISNUMBER(MATCH(Recommendations[Id],H145:AU145,0)))/COUNTIF(H145:AU145,"&lt;&gt;"))</f>
        <v>0</v>
      </c>
      <c r="H145" s="167" t="s">
        <v>46</v>
      </c>
      <c r="I145" s="167"/>
      <c r="J145" s="167"/>
      <c r="K145" s="167"/>
      <c r="L145" s="167"/>
      <c r="M145" s="167"/>
      <c r="N145" s="167"/>
      <c r="O145" s="167"/>
      <c r="P145" s="167"/>
      <c r="Q145" s="167"/>
      <c r="R145" s="167"/>
      <c r="S145" s="167"/>
      <c r="T145" s="167"/>
      <c r="U145" s="167"/>
      <c r="V145" s="167"/>
      <c r="W145" s="167"/>
      <c r="X145" s="167"/>
      <c r="Y145" s="167"/>
      <c r="Z145" s="167"/>
      <c r="AA145" s="167"/>
      <c r="AB145" s="167"/>
      <c r="AC145" s="167"/>
      <c r="AD145" s="167"/>
      <c r="AE145" s="167"/>
      <c r="AF145" s="167"/>
      <c r="AG145" s="167"/>
      <c r="AH145" s="167"/>
      <c r="AI145" s="167"/>
      <c r="AJ145" s="167"/>
      <c r="AK145" s="167"/>
      <c r="AL145" s="167"/>
      <c r="AM145" s="167"/>
      <c r="AN145" s="167"/>
      <c r="AO145" s="167"/>
      <c r="AP145" s="167"/>
      <c r="AQ145" s="167"/>
      <c r="AR145" s="167"/>
      <c r="AS145" s="167"/>
      <c r="AT145" s="167"/>
      <c r="AU145" s="181"/>
    </row>
    <row r="146" spans="1:47" ht="60" customHeight="1" x14ac:dyDescent="0.35">
      <c r="A146" s="177" t="s">
        <v>2319</v>
      </c>
      <c r="B146" s="151" t="s">
        <v>2446</v>
      </c>
      <c r="C146" s="152" t="s">
        <v>2461</v>
      </c>
      <c r="D146" s="155" t="s">
        <v>2462</v>
      </c>
      <c r="E146" s="158" t="s">
        <v>2463</v>
      </c>
      <c r="F146" s="161" t="s">
        <v>2096</v>
      </c>
      <c r="G146" s="164" t="str">
        <f>IF(COUNTIF(H146:AU146,"&lt;&gt;")=0,"",SUMPRODUCT(((Recommendations[ImplStatus]="Implemented")+(Recommendations[ImplStatus]="Compensated"))*ISNUMBER(MATCH(Recommendations[Id],H146:AU146,0)))/COUNTIF(H146:AU146,"&lt;&gt;"))</f>
        <v/>
      </c>
      <c r="H146" s="167"/>
      <c r="I146" s="167"/>
      <c r="J146" s="167"/>
      <c r="K146" s="167"/>
      <c r="L146" s="167"/>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2319</v>
      </c>
      <c r="B147" s="151" t="s">
        <v>2446</v>
      </c>
      <c r="C147" s="152" t="s">
        <v>2464</v>
      </c>
      <c r="D147" s="155" t="s">
        <v>2465</v>
      </c>
      <c r="E147" s="158" t="s">
        <v>2466</v>
      </c>
      <c r="F147" s="161" t="s">
        <v>2096</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2319</v>
      </c>
      <c r="B148" s="150" t="s">
        <v>2467</v>
      </c>
      <c r="C148" s="148" t="s">
        <v>2468</v>
      </c>
      <c r="D148" s="154"/>
      <c r="E148" s="157" t="s">
        <v>19</v>
      </c>
      <c r="F148" s="160" t="s">
        <v>19</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2319</v>
      </c>
      <c r="B149" s="151" t="s">
        <v>2467</v>
      </c>
      <c r="C149" s="152" t="s">
        <v>2469</v>
      </c>
      <c r="D149" s="155" t="s">
        <v>2470</v>
      </c>
      <c r="E149" s="158"/>
      <c r="F149" s="161" t="s">
        <v>19</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2319</v>
      </c>
      <c r="B150" s="151" t="s">
        <v>2467</v>
      </c>
      <c r="C150" s="152" t="s">
        <v>2471</v>
      </c>
      <c r="D150" s="155" t="s">
        <v>2472</v>
      </c>
      <c r="E150" s="158"/>
      <c r="F150" s="161" t="s">
        <v>19</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2319</v>
      </c>
      <c r="B151" s="151" t="s">
        <v>2467</v>
      </c>
      <c r="C151" s="152" t="s">
        <v>2473</v>
      </c>
      <c r="D151" s="155" t="s">
        <v>2474</v>
      </c>
      <c r="E151" s="158"/>
      <c r="F151" s="161" t="s">
        <v>19</v>
      </c>
      <c r="G151" s="164" t="str">
        <f>IF(COUNTIF(H151:AU151,"&lt;&gt;")=0,"",SUMPRODUCT(((Recommendations[ImplStatus]="Implemented")+(Recommendations[ImplStatus]="Compensated"))*ISNUMBER(MATCH(Recommendations[Id],H151:AU151,0)))/COUNTIF(H151:AU151,"&lt;&gt;"))</f>
        <v/>
      </c>
      <c r="H151" s="167"/>
      <c r="I151" s="167"/>
      <c r="J151" s="167"/>
      <c r="K151" s="167"/>
      <c r="L151" s="167"/>
      <c r="M151" s="167"/>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2319</v>
      </c>
      <c r="B152" s="151" t="s">
        <v>2467</v>
      </c>
      <c r="C152" s="152" t="s">
        <v>2475</v>
      </c>
      <c r="D152" s="155" t="s">
        <v>2476</v>
      </c>
      <c r="E152" s="158"/>
      <c r="F152" s="161" t="s">
        <v>19</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2319</v>
      </c>
      <c r="B153" s="151" t="s">
        <v>2467</v>
      </c>
      <c r="C153" s="152" t="s">
        <v>2477</v>
      </c>
      <c r="D153" s="155" t="s">
        <v>2478</v>
      </c>
      <c r="E153" s="158"/>
      <c r="F153" s="161" t="s">
        <v>19</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2479</v>
      </c>
      <c r="B154" s="149" t="s">
        <v>19</v>
      </c>
      <c r="C154" s="147" t="s">
        <v>2480</v>
      </c>
      <c r="D154" s="153" t="s">
        <v>2481</v>
      </c>
      <c r="E154" s="156" t="s">
        <v>19</v>
      </c>
      <c r="F154" s="159" t="s">
        <v>19</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2479</v>
      </c>
      <c r="B155" s="150" t="s">
        <v>2482</v>
      </c>
      <c r="C155" s="148" t="s">
        <v>2483</v>
      </c>
      <c r="D155" s="154" t="s">
        <v>2484</v>
      </c>
      <c r="E155" s="157" t="s">
        <v>19</v>
      </c>
      <c r="F155" s="160" t="s">
        <v>19</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2479</v>
      </c>
      <c r="B156" s="151" t="s">
        <v>2482</v>
      </c>
      <c r="C156" s="152" t="s">
        <v>2485</v>
      </c>
      <c r="D156" s="155" t="s">
        <v>2486</v>
      </c>
      <c r="E156" s="158"/>
      <c r="F156" s="161" t="s">
        <v>19</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2479</v>
      </c>
      <c r="B157" s="151" t="s">
        <v>2482</v>
      </c>
      <c r="C157" s="152" t="s">
        <v>2487</v>
      </c>
      <c r="D157" s="155" t="s">
        <v>2488</v>
      </c>
      <c r="E157" s="158" t="s">
        <v>2489</v>
      </c>
      <c r="F157" s="161" t="s">
        <v>2096</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2479</v>
      </c>
      <c r="B158" s="151" t="s">
        <v>2482</v>
      </c>
      <c r="C158" s="152" t="s">
        <v>2490</v>
      </c>
      <c r="D158" s="155" t="s">
        <v>2491</v>
      </c>
      <c r="E158" s="158" t="s">
        <v>2492</v>
      </c>
      <c r="F158" s="161" t="s">
        <v>2096</v>
      </c>
      <c r="G158" s="164" t="str">
        <f>IF(COUNTIF(H158:AU158,"&lt;&gt;")=0,"",SUMPRODUCT(((Recommendations[ImplStatus]="Implemented")+(Recommendations[ImplStatus]="Compensated"))*ISNUMBER(MATCH(Recommendations[Id],H158:AU158,0)))/COUNTIF(H158:AU158,"&lt;&gt;"))</f>
        <v/>
      </c>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2479</v>
      </c>
      <c r="B159" s="151" t="s">
        <v>2482</v>
      </c>
      <c r="C159" s="152" t="s">
        <v>2493</v>
      </c>
      <c r="D159" s="155" t="s">
        <v>2494</v>
      </c>
      <c r="E159" s="158" t="s">
        <v>2495</v>
      </c>
      <c r="F159" s="161" t="s">
        <v>2096</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2479</v>
      </c>
      <c r="B160" s="151" t="s">
        <v>2482</v>
      </c>
      <c r="C160" s="152" t="s">
        <v>2496</v>
      </c>
      <c r="D160" s="155" t="s">
        <v>2497</v>
      </c>
      <c r="E160" s="158"/>
      <c r="F160" s="161" t="s">
        <v>19</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2479</v>
      </c>
      <c r="B161" s="151" t="s">
        <v>2482</v>
      </c>
      <c r="C161" s="152" t="s">
        <v>2498</v>
      </c>
      <c r="D161" s="155" t="s">
        <v>2499</v>
      </c>
      <c r="E161" s="158" t="s">
        <v>2500</v>
      </c>
      <c r="F161" s="161" t="s">
        <v>2096</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2479</v>
      </c>
      <c r="B162" s="151" t="s">
        <v>2482</v>
      </c>
      <c r="C162" s="152" t="s">
        <v>2501</v>
      </c>
      <c r="D162" s="155" t="s">
        <v>2502</v>
      </c>
      <c r="E162" s="158" t="s">
        <v>2503</v>
      </c>
      <c r="F162" s="161" t="s">
        <v>2096</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2479</v>
      </c>
      <c r="B163" s="151" t="s">
        <v>2482</v>
      </c>
      <c r="C163" s="152" t="s">
        <v>2504</v>
      </c>
      <c r="D163" s="155" t="s">
        <v>2505</v>
      </c>
      <c r="E163" s="158" t="s">
        <v>2506</v>
      </c>
      <c r="F163" s="161" t="s">
        <v>2096</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2479</v>
      </c>
      <c r="B164" s="150" t="s">
        <v>1900</v>
      </c>
      <c r="C164" s="148" t="s">
        <v>2507</v>
      </c>
      <c r="D164" s="154" t="s">
        <v>2508</v>
      </c>
      <c r="E164" s="157" t="s">
        <v>19</v>
      </c>
      <c r="F164" s="160" t="s">
        <v>19</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2479</v>
      </c>
      <c r="B165" s="151" t="s">
        <v>1900</v>
      </c>
      <c r="C165" s="152" t="s">
        <v>2509</v>
      </c>
      <c r="D165" s="155" t="s">
        <v>2510</v>
      </c>
      <c r="E165" s="158" t="s">
        <v>2511</v>
      </c>
      <c r="F165" s="161" t="s">
        <v>2096</v>
      </c>
      <c r="G165" s="164" t="str">
        <f>IF(COUNTIF(H165:AU165,"&lt;&gt;")=0,"",SUMPRODUCT(((Recommendations[ImplStatus]="Implemented")+(Recommendations[ImplStatus]="Compensated"))*ISNUMBER(MATCH(Recommendations[Id],H165:AU165,0)))/COUNTIF(H165:AU165,"&lt;&gt;"))</f>
        <v/>
      </c>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2479</v>
      </c>
      <c r="B166" s="151" t="s">
        <v>1900</v>
      </c>
      <c r="C166" s="152" t="s">
        <v>2512</v>
      </c>
      <c r="D166" s="155" t="s">
        <v>2513</v>
      </c>
      <c r="E166" s="158" t="s">
        <v>2514</v>
      </c>
      <c r="F166" s="161" t="s">
        <v>2096</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2479</v>
      </c>
      <c r="B167" s="151" t="s">
        <v>1900</v>
      </c>
      <c r="C167" s="152" t="s">
        <v>2515</v>
      </c>
      <c r="D167" s="155" t="s">
        <v>2516</v>
      </c>
      <c r="E167" s="158" t="s">
        <v>2517</v>
      </c>
      <c r="F167" s="161" t="s">
        <v>2096</v>
      </c>
      <c r="G167" s="164" t="str">
        <f>IF(COUNTIF(H167:AU167,"&lt;&gt;")=0,"",SUMPRODUCT(((Recommendations[ImplStatus]="Implemented")+(Recommendations[ImplStatus]="Compensated"))*ISNUMBER(MATCH(Recommendations[Id],H167:AU167,0)))/COUNTIF(H167:AU167,"&lt;&gt;"))</f>
        <v/>
      </c>
      <c r="H167" s="167"/>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2479</v>
      </c>
      <c r="B168" s="151" t="s">
        <v>1900</v>
      </c>
      <c r="C168" s="152" t="s">
        <v>2518</v>
      </c>
      <c r="D168" s="155" t="s">
        <v>2519</v>
      </c>
      <c r="E168" s="158"/>
      <c r="F168" s="161" t="s">
        <v>19</v>
      </c>
      <c r="G168" s="164" t="str">
        <f>IF(COUNTIF(H168:AU168,"&lt;&gt;")=0,"",SUMPRODUCT(((Recommendations[ImplStatus]="Implemented")+(Recommendations[ImplStatus]="Compensated"))*ISNUMBER(MATCH(Recommendations[Id],H168:AU168,0)))/COUNTIF(H168:AU168,"&lt;&gt;"))</f>
        <v/>
      </c>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2479</v>
      </c>
      <c r="B169" s="151" t="s">
        <v>1900</v>
      </c>
      <c r="C169" s="152" t="s">
        <v>2520</v>
      </c>
      <c r="D169" s="155" t="s">
        <v>2521</v>
      </c>
      <c r="E169" s="158"/>
      <c r="F169" s="161" t="s">
        <v>19</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2479</v>
      </c>
      <c r="B170" s="151" t="s">
        <v>1900</v>
      </c>
      <c r="C170" s="152" t="s">
        <v>2522</v>
      </c>
      <c r="D170" s="155" t="s">
        <v>2523</v>
      </c>
      <c r="E170" s="158" t="s">
        <v>2524</v>
      </c>
      <c r="F170" s="161" t="s">
        <v>2110</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2479</v>
      </c>
      <c r="B171" s="151" t="s">
        <v>1900</v>
      </c>
      <c r="C171" s="152" t="s">
        <v>2525</v>
      </c>
      <c r="D171" s="155" t="s">
        <v>2526</v>
      </c>
      <c r="E171" s="158"/>
      <c r="F171" s="161" t="s">
        <v>19</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2479</v>
      </c>
      <c r="B172" s="151" t="s">
        <v>1900</v>
      </c>
      <c r="C172" s="152" t="s">
        <v>2527</v>
      </c>
      <c r="D172" s="155" t="s">
        <v>2528</v>
      </c>
      <c r="E172" s="158"/>
      <c r="F172" s="161" t="s">
        <v>19</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2479</v>
      </c>
      <c r="B173" s="151" t="s">
        <v>1900</v>
      </c>
      <c r="C173" s="152" t="s">
        <v>2529</v>
      </c>
      <c r="D173" s="155" t="s">
        <v>2530</v>
      </c>
      <c r="E173" s="158" t="s">
        <v>2531</v>
      </c>
      <c r="F173" s="161" t="s">
        <v>2096</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2479</v>
      </c>
      <c r="B174" s="150" t="s">
        <v>2532</v>
      </c>
      <c r="C174" s="148" t="s">
        <v>2533</v>
      </c>
      <c r="D174" s="154"/>
      <c r="E174" s="157" t="s">
        <v>19</v>
      </c>
      <c r="F174" s="160" t="s">
        <v>19</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2479</v>
      </c>
      <c r="B175" s="151" t="s">
        <v>2532</v>
      </c>
      <c r="C175" s="152" t="s">
        <v>2534</v>
      </c>
      <c r="D175" s="155" t="s">
        <v>2535</v>
      </c>
      <c r="E175" s="158"/>
      <c r="F175" s="161" t="s">
        <v>19</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2479</v>
      </c>
      <c r="B176" s="151" t="s">
        <v>2532</v>
      </c>
      <c r="C176" s="152" t="s">
        <v>2536</v>
      </c>
      <c r="D176" s="155" t="s">
        <v>2537</v>
      </c>
      <c r="E176" s="158"/>
      <c r="F176" s="161" t="s">
        <v>19</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2479</v>
      </c>
      <c r="B177" s="151" t="s">
        <v>2532</v>
      </c>
      <c r="C177" s="152" t="s">
        <v>2538</v>
      </c>
      <c r="D177" s="155" t="s">
        <v>2539</v>
      </c>
      <c r="E177" s="158"/>
      <c r="F177" s="161" t="s">
        <v>19</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2479</v>
      </c>
      <c r="B178" s="151" t="s">
        <v>2532</v>
      </c>
      <c r="C178" s="152" t="s">
        <v>2540</v>
      </c>
      <c r="D178" s="155" t="s">
        <v>2541</v>
      </c>
      <c r="E178" s="158"/>
      <c r="F178" s="161" t="s">
        <v>19</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2479</v>
      </c>
      <c r="B179" s="151" t="s">
        <v>2532</v>
      </c>
      <c r="C179" s="152" t="s">
        <v>2542</v>
      </c>
      <c r="D179" s="155" t="s">
        <v>2543</v>
      </c>
      <c r="E179" s="158"/>
      <c r="F179" s="161" t="s">
        <v>19</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2544</v>
      </c>
      <c r="B180" s="149" t="s">
        <v>19</v>
      </c>
      <c r="C180" s="147" t="s">
        <v>2545</v>
      </c>
      <c r="D180" s="153" t="s">
        <v>2546</v>
      </c>
      <c r="E180" s="156" t="s">
        <v>19</v>
      </c>
      <c r="F180" s="159" t="s">
        <v>19</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2544</v>
      </c>
      <c r="B181" s="150" t="s">
        <v>2547</v>
      </c>
      <c r="C181" s="148" t="s">
        <v>2548</v>
      </c>
      <c r="D181" s="154" t="s">
        <v>2549</v>
      </c>
      <c r="E181" s="157" t="s">
        <v>19</v>
      </c>
      <c r="F181" s="160" t="s">
        <v>19</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2544</v>
      </c>
      <c r="B182" s="151" t="s">
        <v>2547</v>
      </c>
      <c r="C182" s="152" t="s">
        <v>2550</v>
      </c>
      <c r="D182" s="155" t="s">
        <v>2551</v>
      </c>
      <c r="E182" s="158"/>
      <c r="F182" s="161" t="s">
        <v>19</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2544</v>
      </c>
      <c r="B183" s="151" t="s">
        <v>2547</v>
      </c>
      <c r="C183" s="152" t="s">
        <v>2552</v>
      </c>
      <c r="D183" s="155" t="s">
        <v>2553</v>
      </c>
      <c r="E183" s="158"/>
      <c r="F183" s="161" t="s">
        <v>19</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2544</v>
      </c>
      <c r="B184" s="151" t="s">
        <v>2547</v>
      </c>
      <c r="C184" s="152" t="s">
        <v>2554</v>
      </c>
      <c r="D184" s="155" t="s">
        <v>2555</v>
      </c>
      <c r="E184" s="158" t="s">
        <v>2556</v>
      </c>
      <c r="F184" s="161" t="s">
        <v>2096</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2544</v>
      </c>
      <c r="B185" s="151" t="s">
        <v>2547</v>
      </c>
      <c r="C185" s="152" t="s">
        <v>2557</v>
      </c>
      <c r="D185" s="155" t="s">
        <v>2558</v>
      </c>
      <c r="E185" s="158"/>
      <c r="F185" s="161" t="s">
        <v>19</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2544</v>
      </c>
      <c r="B186" s="151" t="s">
        <v>2547</v>
      </c>
      <c r="C186" s="152" t="s">
        <v>2559</v>
      </c>
      <c r="D186" s="155" t="s">
        <v>2560</v>
      </c>
      <c r="E186" s="158"/>
      <c r="F186" s="161" t="s">
        <v>19</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2544</v>
      </c>
      <c r="B187" s="151" t="s">
        <v>2547</v>
      </c>
      <c r="C187" s="152" t="s">
        <v>2561</v>
      </c>
      <c r="D187" s="155" t="s">
        <v>2562</v>
      </c>
      <c r="E187" s="158" t="s">
        <v>2563</v>
      </c>
      <c r="F187" s="161" t="s">
        <v>2096</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2544</v>
      </c>
      <c r="B188" s="151" t="s">
        <v>2547</v>
      </c>
      <c r="C188" s="152" t="s">
        <v>2564</v>
      </c>
      <c r="D188" s="155" t="s">
        <v>2565</v>
      </c>
      <c r="E188" s="158" t="s">
        <v>2566</v>
      </c>
      <c r="F188" s="161" t="s">
        <v>2096</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2544</v>
      </c>
      <c r="B189" s="151" t="s">
        <v>2547</v>
      </c>
      <c r="C189" s="152" t="s">
        <v>2567</v>
      </c>
      <c r="D189" s="155" t="s">
        <v>2568</v>
      </c>
      <c r="E189" s="158" t="s">
        <v>2569</v>
      </c>
      <c r="F189" s="161" t="s">
        <v>2096</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2544</v>
      </c>
      <c r="B190" s="150" t="s">
        <v>2570</v>
      </c>
      <c r="C190" s="148" t="s">
        <v>2571</v>
      </c>
      <c r="D190" s="154" t="s">
        <v>2572</v>
      </c>
      <c r="E190" s="157" t="s">
        <v>19</v>
      </c>
      <c r="F190" s="160" t="s">
        <v>19</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2544</v>
      </c>
      <c r="B191" s="151" t="s">
        <v>2570</v>
      </c>
      <c r="C191" s="152" t="s">
        <v>2573</v>
      </c>
      <c r="D191" s="155" t="s">
        <v>2574</v>
      </c>
      <c r="E191" s="158"/>
      <c r="F191" s="161" t="s">
        <v>19</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2544</v>
      </c>
      <c r="B192" s="151" t="s">
        <v>2570</v>
      </c>
      <c r="C192" s="152" t="s">
        <v>2575</v>
      </c>
      <c r="D192" s="155" t="s">
        <v>2576</v>
      </c>
      <c r="E192" s="158" t="s">
        <v>2577</v>
      </c>
      <c r="F192" s="161" t="s">
        <v>2100</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2544</v>
      </c>
      <c r="B193" s="151" t="s">
        <v>2570</v>
      </c>
      <c r="C193" s="152" t="s">
        <v>2578</v>
      </c>
      <c r="D193" s="155" t="s">
        <v>2579</v>
      </c>
      <c r="E193" s="158" t="s">
        <v>2580</v>
      </c>
      <c r="F193" s="161" t="s">
        <v>2100</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2544</v>
      </c>
      <c r="B194" s="151" t="s">
        <v>2570</v>
      </c>
      <c r="C194" s="152" t="s">
        <v>2581</v>
      </c>
      <c r="D194" s="155" t="s">
        <v>2582</v>
      </c>
      <c r="E194" s="158"/>
      <c r="F194" s="161" t="s">
        <v>19</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2544</v>
      </c>
      <c r="B195" s="151" t="s">
        <v>2570</v>
      </c>
      <c r="C195" s="152" t="s">
        <v>2583</v>
      </c>
      <c r="D195" s="155" t="s">
        <v>2584</v>
      </c>
      <c r="E195" s="158"/>
      <c r="F195" s="161" t="s">
        <v>19</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2544</v>
      </c>
      <c r="B196" s="150" t="s">
        <v>2585</v>
      </c>
      <c r="C196" s="148" t="s">
        <v>2586</v>
      </c>
      <c r="D196" s="154"/>
      <c r="E196" s="157" t="s">
        <v>19</v>
      </c>
      <c r="F196" s="160" t="s">
        <v>19</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2544</v>
      </c>
      <c r="B197" s="151" t="s">
        <v>2585</v>
      </c>
      <c r="C197" s="152" t="s">
        <v>2587</v>
      </c>
      <c r="D197" s="155" t="s">
        <v>2588</v>
      </c>
      <c r="E197" s="158"/>
      <c r="F197" s="161" t="s">
        <v>19</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2544</v>
      </c>
      <c r="B198" s="151" t="s">
        <v>2585</v>
      </c>
      <c r="C198" s="152" t="s">
        <v>2589</v>
      </c>
      <c r="D198" s="155" t="s">
        <v>2590</v>
      </c>
      <c r="E198" s="158"/>
      <c r="F198" s="161" t="s">
        <v>19</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2544</v>
      </c>
      <c r="B199" s="150" t="s">
        <v>2591</v>
      </c>
      <c r="C199" s="148" t="s">
        <v>2592</v>
      </c>
      <c r="D199" s="154" t="s">
        <v>2593</v>
      </c>
      <c r="E199" s="157" t="s">
        <v>19</v>
      </c>
      <c r="F199" s="160" t="s">
        <v>19</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2544</v>
      </c>
      <c r="B200" s="151" t="s">
        <v>2591</v>
      </c>
      <c r="C200" s="152" t="s">
        <v>2594</v>
      </c>
      <c r="D200" s="155" t="s">
        <v>2595</v>
      </c>
      <c r="E200" s="158" t="s">
        <v>2596</v>
      </c>
      <c r="F200" s="161" t="s">
        <v>2110</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2544</v>
      </c>
      <c r="B201" s="151" t="s">
        <v>2591</v>
      </c>
      <c r="C201" s="152" t="s">
        <v>2597</v>
      </c>
      <c r="D201" s="155" t="s">
        <v>2598</v>
      </c>
      <c r="E201" s="158" t="s">
        <v>2599</v>
      </c>
      <c r="F201" s="161" t="s">
        <v>2096</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2544</v>
      </c>
      <c r="B202" s="151" t="s">
        <v>2591</v>
      </c>
      <c r="C202" s="152" t="s">
        <v>2600</v>
      </c>
      <c r="D202" s="155" t="s">
        <v>2601</v>
      </c>
      <c r="E202" s="158" t="s">
        <v>2602</v>
      </c>
      <c r="F202" s="161" t="s">
        <v>2096</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2544</v>
      </c>
      <c r="B203" s="151" t="s">
        <v>2591</v>
      </c>
      <c r="C203" s="152" t="s">
        <v>2603</v>
      </c>
      <c r="D203" s="155" t="s">
        <v>2604</v>
      </c>
      <c r="E203" s="158" t="s">
        <v>2605</v>
      </c>
      <c r="F203" s="161" t="s">
        <v>2096</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2544</v>
      </c>
      <c r="B204" s="151" t="s">
        <v>2591</v>
      </c>
      <c r="C204" s="152" t="s">
        <v>2606</v>
      </c>
      <c r="D204" s="155" t="s">
        <v>2607</v>
      </c>
      <c r="E204" s="158" t="s">
        <v>2608</v>
      </c>
      <c r="F204" s="161" t="s">
        <v>2096</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2544</v>
      </c>
      <c r="B205" s="150" t="s">
        <v>2609</v>
      </c>
      <c r="C205" s="148" t="s">
        <v>2610</v>
      </c>
      <c r="D205" s="154" t="s">
        <v>2611</v>
      </c>
      <c r="E205" s="157" t="s">
        <v>19</v>
      </c>
      <c r="F205" s="160" t="s">
        <v>19</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2544</v>
      </c>
      <c r="B206" s="151" t="s">
        <v>2609</v>
      </c>
      <c r="C206" s="152" t="s">
        <v>2612</v>
      </c>
      <c r="D206" s="155" t="s">
        <v>2613</v>
      </c>
      <c r="E206" s="158" t="s">
        <v>2614</v>
      </c>
      <c r="F206" s="161" t="s">
        <v>2100</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2544</v>
      </c>
      <c r="B207" s="151" t="s">
        <v>2609</v>
      </c>
      <c r="C207" s="152" t="s">
        <v>2615</v>
      </c>
      <c r="D207" s="155" t="s">
        <v>2616</v>
      </c>
      <c r="E207" s="158" t="s">
        <v>2617</v>
      </c>
      <c r="F207" s="161" t="s">
        <v>2100</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2544</v>
      </c>
      <c r="B208" s="151" t="s">
        <v>2609</v>
      </c>
      <c r="C208" s="152" t="s">
        <v>2618</v>
      </c>
      <c r="D208" s="155" t="s">
        <v>2619</v>
      </c>
      <c r="E208" s="158"/>
      <c r="F208" s="161" t="s">
        <v>19</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2544</v>
      </c>
      <c r="B209" s="150" t="s">
        <v>2620</v>
      </c>
      <c r="C209" s="148" t="s">
        <v>2621</v>
      </c>
      <c r="D209" s="154"/>
      <c r="E209" s="157" t="s">
        <v>19</v>
      </c>
      <c r="F209" s="160" t="s">
        <v>19</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2544</v>
      </c>
      <c r="B210" s="151" t="s">
        <v>2620</v>
      </c>
      <c r="C210" s="152" t="s">
        <v>2622</v>
      </c>
      <c r="D210" s="155" t="s">
        <v>2623</v>
      </c>
      <c r="E210" s="158"/>
      <c r="F210" s="161" t="s">
        <v>19</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2624</v>
      </c>
      <c r="B211" s="149" t="s">
        <v>19</v>
      </c>
      <c r="C211" s="147" t="s">
        <v>2625</v>
      </c>
      <c r="D211" s="153" t="s">
        <v>2626</v>
      </c>
      <c r="E211" s="156" t="s">
        <v>19</v>
      </c>
      <c r="F211" s="159" t="s">
        <v>19</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2624</v>
      </c>
      <c r="B212" s="150" t="s">
        <v>2627</v>
      </c>
      <c r="C212" s="148" t="s">
        <v>2628</v>
      </c>
      <c r="D212" s="154" t="s">
        <v>2629</v>
      </c>
      <c r="E212" s="157" t="s">
        <v>19</v>
      </c>
      <c r="F212" s="160" t="s">
        <v>19</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2624</v>
      </c>
      <c r="B213" s="151" t="s">
        <v>2627</v>
      </c>
      <c r="C213" s="152" t="s">
        <v>2630</v>
      </c>
      <c r="D213" s="155" t="s">
        <v>2631</v>
      </c>
      <c r="E213" s="158"/>
      <c r="F213" s="161" t="s">
        <v>19</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2624</v>
      </c>
      <c r="B214" s="151" t="s">
        <v>2627</v>
      </c>
      <c r="C214" s="152" t="s">
        <v>2632</v>
      </c>
      <c r="D214" s="155" t="s">
        <v>2633</v>
      </c>
      <c r="E214" s="158"/>
      <c r="F214" s="161" t="s">
        <v>19</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2624</v>
      </c>
      <c r="B215" s="151" t="s">
        <v>2627</v>
      </c>
      <c r="C215" s="152" t="s">
        <v>2634</v>
      </c>
      <c r="D215" s="155" t="s">
        <v>2635</v>
      </c>
      <c r="E215" s="158" t="s">
        <v>2636</v>
      </c>
      <c r="F215" s="161" t="s">
        <v>2100</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2624</v>
      </c>
      <c r="B216" s="151" t="s">
        <v>2627</v>
      </c>
      <c r="C216" s="152" t="s">
        <v>2637</v>
      </c>
      <c r="D216" s="155" t="s">
        <v>2638</v>
      </c>
      <c r="E216" s="158" t="s">
        <v>2639</v>
      </c>
      <c r="F216" s="161" t="s">
        <v>2096</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2624</v>
      </c>
      <c r="B217" s="150" t="s">
        <v>2585</v>
      </c>
      <c r="C217" s="148" t="s">
        <v>2640</v>
      </c>
      <c r="D217" s="154"/>
      <c r="E217" s="157" t="s">
        <v>19</v>
      </c>
      <c r="F217" s="160" t="s">
        <v>19</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2624</v>
      </c>
      <c r="B218" s="151" t="s">
        <v>2585</v>
      </c>
      <c r="C218" s="152" t="s">
        <v>2641</v>
      </c>
      <c r="D218" s="155" t="s">
        <v>2642</v>
      </c>
      <c r="E218" s="158"/>
      <c r="F218" s="161" t="s">
        <v>19</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2624</v>
      </c>
      <c r="B219" s="151" t="s">
        <v>2585</v>
      </c>
      <c r="C219" s="152" t="s">
        <v>2643</v>
      </c>
      <c r="D219" s="155" t="s">
        <v>2644</v>
      </c>
      <c r="E219" s="158"/>
      <c r="F219" s="161" t="s">
        <v>19</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2624</v>
      </c>
      <c r="B220" s="150" t="s">
        <v>2645</v>
      </c>
      <c r="C220" s="148" t="s">
        <v>2646</v>
      </c>
      <c r="D220" s="154" t="s">
        <v>2647</v>
      </c>
      <c r="E220" s="157" t="s">
        <v>19</v>
      </c>
      <c r="F220" s="160" t="s">
        <v>19</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2624</v>
      </c>
      <c r="B221" s="151" t="s">
        <v>2645</v>
      </c>
      <c r="C221" s="152" t="s">
        <v>2648</v>
      </c>
      <c r="D221" s="155" t="s">
        <v>2649</v>
      </c>
      <c r="E221" s="158" t="s">
        <v>2650</v>
      </c>
      <c r="F221" s="161" t="s">
        <v>2096</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2624</v>
      </c>
      <c r="B222" s="151" t="s">
        <v>2645</v>
      </c>
      <c r="C222" s="152" t="s">
        <v>2651</v>
      </c>
      <c r="D222" s="155" t="s">
        <v>2652</v>
      </c>
      <c r="E222" s="158" t="s">
        <v>2653</v>
      </c>
      <c r="F222" s="161" t="s">
        <v>2096</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2624</v>
      </c>
      <c r="B223" s="151" t="s">
        <v>2645</v>
      </c>
      <c r="C223" s="152" t="s">
        <v>2654</v>
      </c>
      <c r="D223" s="155" t="s">
        <v>2655</v>
      </c>
      <c r="E223" s="158" t="s">
        <v>2656</v>
      </c>
      <c r="F223" s="161" t="s">
        <v>2096</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2624</v>
      </c>
      <c r="B224" s="151" t="s">
        <v>2645</v>
      </c>
      <c r="C224" s="152" t="s">
        <v>2657</v>
      </c>
      <c r="D224" s="155" t="s">
        <v>2658</v>
      </c>
      <c r="E224" s="158" t="s">
        <v>2659</v>
      </c>
      <c r="F224" s="161" t="s">
        <v>2096</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2624</v>
      </c>
      <c r="B225" s="151" t="s">
        <v>2645</v>
      </c>
      <c r="C225" s="152" t="s">
        <v>2660</v>
      </c>
      <c r="D225" s="155" t="s">
        <v>2661</v>
      </c>
      <c r="E225" s="158" t="s">
        <v>2662</v>
      </c>
      <c r="F225" s="161" t="s">
        <v>2096</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2624</v>
      </c>
      <c r="B226" s="168" t="s">
        <v>2645</v>
      </c>
      <c r="C226" s="169" t="s">
        <v>2663</v>
      </c>
      <c r="D226" s="170" t="s">
        <v>2664</v>
      </c>
      <c r="E226" s="171" t="s">
        <v>2665</v>
      </c>
      <c r="F226" s="172" t="s">
        <v>2096</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55" t="s">
        <v>209</v>
      </c>
      <c r="B230" s="255"/>
      <c r="C230" s="255"/>
      <c r="D230" s="255"/>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IFERROR(INDEX('Recommendations'!$G$2:$G$44, MATCH(H2,'Recommendations'!$A$2:$A$44,0))="Implemented", FALSE))</xm:f>
            <x14:dxf>
              <font>
                <color rgb="FF000000"/>
              </font>
              <fill>
                <patternFill>
                  <bgColor rgb="FF3C7D22"/>
                </patternFill>
              </fill>
            </x14:dxf>
          </x14:cfRule>
          <x14:cfRule type="expression" priority="2" id="{00000000-000E-0000-0700-000002000000}">
            <xm:f>AND(H2&lt;&gt;"", IFERROR(INDEX('Recommendations'!$G$2:$G$44, MATCH(H2,'Recommendations'!$A$2:$A$44,0))="Compensated", FALSE))</xm:f>
            <x14:dxf>
              <font>
                <color rgb="FF000000"/>
              </font>
              <fill>
                <patternFill>
                  <bgColor rgb="FFC6E0B4"/>
                </patternFill>
              </fill>
            </x14:dxf>
          </x14:cfRule>
          <x14:cfRule type="expression" priority="3" id="{00000000-000E-0000-0700-000003000000}">
            <xm:f>AND(H2&lt;&gt;"", IFERROR(INDEX('Recommendations'!$G$2:$G$44, MATCH(H2,'Recommendations'!$A$2:$A$44,0))="Testing", FALSE))</xm:f>
            <x14:dxf>
              <font>
                <color rgb="FF000000"/>
              </font>
              <fill>
                <patternFill>
                  <bgColor rgb="FFFFC000"/>
                </patternFill>
              </fill>
            </x14:dxf>
          </x14:cfRule>
          <x14:cfRule type="expression" priority="4" id="{00000000-000E-0000-0700-000004000000}">
            <xm:f>AND(H2&lt;&gt;"", IFERROR(INDEX('Recommendations'!$G$2:$G$44, MATCH(H2,'Recommendations'!$A$2:$A$44,0))="Failed", FALSE))</xm:f>
            <x14:dxf>
              <font>
                <color rgb="FF000000"/>
              </font>
              <fill>
                <patternFill>
                  <bgColor rgb="FFD82891"/>
                </patternFill>
              </fill>
            </x14:dxf>
          </x14:cfRule>
          <x14:cfRule type="expression" priority="5" id="{00000000-000E-0000-0700-000005000000}">
            <xm:f>AND(H2&lt;&gt;"", IFERROR(INDEX('Recommendations'!$G$2:$G$44, MATCH(H2,'Recommendations'!$A$2:$A$44,0))="Risk Accepted", FALSE))</xm:f>
            <x14:dxf>
              <font>
                <color rgb="FF000000"/>
              </font>
              <fill>
                <patternFill>
                  <bgColor rgb="FFD9D9D9"/>
                </patternFill>
              </fill>
            </x14:dxf>
          </x14:cfRule>
          <x14:cfRule type="expression" priority="6" id="{00000000-000E-0000-0700-000006000000}">
            <xm:f>AND(H2&lt;&gt;"", IFERROR(INDEX('Recommendations'!$G$2:$G$44, MATCH(H2,'Recommendations'!$A$2:$A$44,0))="N/A",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2083</v>
      </c>
      <c r="B1" s="207" t="s">
        <v>2666</v>
      </c>
      <c r="C1" s="207" t="s">
        <v>2667</v>
      </c>
      <c r="D1" s="207" t="s">
        <v>2668</v>
      </c>
      <c r="E1" s="207" t="s">
        <v>1392</v>
      </c>
      <c r="F1" s="207" t="s">
        <v>451</v>
      </c>
      <c r="G1" s="207" t="s">
        <v>452</v>
      </c>
      <c r="H1" s="207" t="s">
        <v>453</v>
      </c>
      <c r="I1" s="207" t="s">
        <v>454</v>
      </c>
      <c r="J1" s="207" t="s">
        <v>455</v>
      </c>
      <c r="K1" s="207" t="s">
        <v>456</v>
      </c>
      <c r="L1" s="207" t="s">
        <v>457</v>
      </c>
      <c r="M1" s="207" t="s">
        <v>458</v>
      </c>
      <c r="N1" s="207" t="s">
        <v>459</v>
      </c>
      <c r="O1" s="207" t="s">
        <v>460</v>
      </c>
      <c r="P1" s="207" t="s">
        <v>461</v>
      </c>
      <c r="Q1" s="207" t="s">
        <v>462</v>
      </c>
      <c r="R1" s="207" t="s">
        <v>463</v>
      </c>
      <c r="S1" s="207" t="s">
        <v>464</v>
      </c>
      <c r="T1" s="207" t="s">
        <v>465</v>
      </c>
      <c r="U1" s="207" t="s">
        <v>466</v>
      </c>
      <c r="V1" s="207" t="s">
        <v>467</v>
      </c>
      <c r="W1" s="207" t="s">
        <v>468</v>
      </c>
      <c r="X1" s="207" t="s">
        <v>469</v>
      </c>
      <c r="Y1" s="207" t="s">
        <v>470</v>
      </c>
      <c r="Z1" s="207" t="s">
        <v>471</v>
      </c>
      <c r="AA1" s="207" t="s">
        <v>472</v>
      </c>
      <c r="AB1" s="207" t="s">
        <v>473</v>
      </c>
      <c r="AC1" s="207" t="s">
        <v>474</v>
      </c>
      <c r="AD1" s="207" t="s">
        <v>475</v>
      </c>
      <c r="AE1" s="207" t="s">
        <v>476</v>
      </c>
      <c r="AF1" s="207" t="s">
        <v>477</v>
      </c>
      <c r="AG1" s="207" t="s">
        <v>478</v>
      </c>
      <c r="AH1" s="207" t="s">
        <v>479</v>
      </c>
      <c r="AI1" s="207" t="s">
        <v>480</v>
      </c>
      <c r="AJ1" s="207" t="s">
        <v>481</v>
      </c>
      <c r="AK1" s="207" t="s">
        <v>482</v>
      </c>
      <c r="AL1" s="207" t="s">
        <v>483</v>
      </c>
      <c r="AM1" s="207" t="s">
        <v>484</v>
      </c>
      <c r="AN1" s="207" t="s">
        <v>485</v>
      </c>
      <c r="AO1" s="207" t="s">
        <v>486</v>
      </c>
      <c r="AP1" s="207" t="s">
        <v>487</v>
      </c>
      <c r="AQ1" s="207" t="s">
        <v>488</v>
      </c>
      <c r="AR1" s="207" t="s">
        <v>489</v>
      </c>
      <c r="AS1" s="207" t="s">
        <v>490</v>
      </c>
      <c r="AT1" s="208" t="s">
        <v>491</v>
      </c>
    </row>
    <row r="2" spans="1:46" ht="60" customHeight="1" outlineLevel="1" x14ac:dyDescent="0.35">
      <c r="A2" s="200" t="s">
        <v>293</v>
      </c>
      <c r="B2" s="186" t="s">
        <v>2669</v>
      </c>
      <c r="C2" s="186"/>
      <c r="D2" s="189" t="s">
        <v>2670</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293</v>
      </c>
      <c r="B3" s="187" t="s">
        <v>2669</v>
      </c>
      <c r="C3" s="188" t="s">
        <v>2671</v>
      </c>
      <c r="D3" s="190" t="s">
        <v>2672</v>
      </c>
      <c r="E3" s="190" t="s">
        <v>2673</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293</v>
      </c>
      <c r="B4" s="187" t="s">
        <v>2669</v>
      </c>
      <c r="C4" s="188" t="s">
        <v>2674</v>
      </c>
      <c r="D4" s="190" t="s">
        <v>2675</v>
      </c>
      <c r="E4" s="190" t="s">
        <v>2676</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293</v>
      </c>
      <c r="B5" s="187" t="s">
        <v>2669</v>
      </c>
      <c r="C5" s="188" t="s">
        <v>2677</v>
      </c>
      <c r="D5" s="190" t="s">
        <v>2678</v>
      </c>
      <c r="E5" s="190" t="s">
        <v>2679</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293</v>
      </c>
      <c r="B6" s="187" t="s">
        <v>2669</v>
      </c>
      <c r="C6" s="188" t="s">
        <v>2680</v>
      </c>
      <c r="D6" s="190" t="s">
        <v>2681</v>
      </c>
      <c r="E6" s="190" t="s">
        <v>2682</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293</v>
      </c>
      <c r="B7" s="187" t="s">
        <v>2669</v>
      </c>
      <c r="C7" s="188" t="s">
        <v>2683</v>
      </c>
      <c r="D7" s="190" t="s">
        <v>2684</v>
      </c>
      <c r="E7" s="190" t="s">
        <v>2685</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293</v>
      </c>
      <c r="B8" s="187" t="s">
        <v>2669</v>
      </c>
      <c r="C8" s="188" t="s">
        <v>2686</v>
      </c>
      <c r="D8" s="190" t="s">
        <v>2687</v>
      </c>
      <c r="E8" s="190" t="s">
        <v>2688</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293</v>
      </c>
      <c r="B9" s="187" t="s">
        <v>2669</v>
      </c>
      <c r="C9" s="188" t="s">
        <v>2689</v>
      </c>
      <c r="D9" s="190" t="s">
        <v>2690</v>
      </c>
      <c r="E9" s="190" t="s">
        <v>2691</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293</v>
      </c>
      <c r="B10" s="187" t="s">
        <v>2669</v>
      </c>
      <c r="C10" s="188" t="s">
        <v>2692</v>
      </c>
      <c r="D10" s="190" t="s">
        <v>2693</v>
      </c>
      <c r="E10" s="190" t="s">
        <v>2694</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293</v>
      </c>
      <c r="B11" s="187" t="s">
        <v>2669</v>
      </c>
      <c r="C11" s="188" t="s">
        <v>2695</v>
      </c>
      <c r="D11" s="190" t="s">
        <v>2696</v>
      </c>
      <c r="E11" s="190" t="s">
        <v>2697</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293</v>
      </c>
      <c r="B12" s="187" t="s">
        <v>2669</v>
      </c>
      <c r="C12" s="188" t="s">
        <v>2698</v>
      </c>
      <c r="D12" s="190" t="s">
        <v>2699</v>
      </c>
      <c r="E12" s="190" t="s">
        <v>2700</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293</v>
      </c>
      <c r="B13" s="187" t="s">
        <v>2669</v>
      </c>
      <c r="C13" s="188" t="s">
        <v>2701</v>
      </c>
      <c r="D13" s="190" t="s">
        <v>2702</v>
      </c>
      <c r="E13" s="190" t="s">
        <v>2703</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293</v>
      </c>
      <c r="B14" s="187" t="s">
        <v>2669</v>
      </c>
      <c r="C14" s="188" t="s">
        <v>2704</v>
      </c>
      <c r="D14" s="190" t="s">
        <v>2705</v>
      </c>
      <c r="E14" s="190" t="s">
        <v>2706</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293</v>
      </c>
      <c r="B15" s="187" t="s">
        <v>2669</v>
      </c>
      <c r="C15" s="188" t="s">
        <v>2707</v>
      </c>
      <c r="D15" s="190" t="s">
        <v>2708</v>
      </c>
      <c r="E15" s="190" t="s">
        <v>2709</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293</v>
      </c>
      <c r="B16" s="187" t="s">
        <v>2669</v>
      </c>
      <c r="C16" s="188" t="s">
        <v>2710</v>
      </c>
      <c r="D16" s="190" t="s">
        <v>2711</v>
      </c>
      <c r="E16" s="190" t="s">
        <v>2712</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293</v>
      </c>
      <c r="B17" s="187" t="s">
        <v>2669</v>
      </c>
      <c r="C17" s="188" t="s">
        <v>2713</v>
      </c>
      <c r="D17" s="190" t="s">
        <v>2714</v>
      </c>
      <c r="E17" s="190" t="s">
        <v>2715</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293</v>
      </c>
      <c r="B18" s="187" t="s">
        <v>2669</v>
      </c>
      <c r="C18" s="188" t="s">
        <v>2716</v>
      </c>
      <c r="D18" s="190" t="s">
        <v>2717</v>
      </c>
      <c r="E18" s="190" t="s">
        <v>2718</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293</v>
      </c>
      <c r="B19" s="186" t="s">
        <v>2719</v>
      </c>
      <c r="C19" s="186"/>
      <c r="D19" s="189" t="s">
        <v>2720</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293</v>
      </c>
      <c r="B20" s="187" t="s">
        <v>2719</v>
      </c>
      <c r="C20" s="188" t="s">
        <v>2721</v>
      </c>
      <c r="D20" s="190" t="s">
        <v>2722</v>
      </c>
      <c r="E20" s="190" t="s">
        <v>2723</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293</v>
      </c>
      <c r="B21" s="187" t="s">
        <v>2719</v>
      </c>
      <c r="C21" s="188" t="s">
        <v>2724</v>
      </c>
      <c r="D21" s="190" t="s">
        <v>2725</v>
      </c>
      <c r="E21" s="190" t="s">
        <v>2726</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293</v>
      </c>
      <c r="B22" s="187" t="s">
        <v>2719</v>
      </c>
      <c r="C22" s="188" t="s">
        <v>2727</v>
      </c>
      <c r="D22" s="190" t="s">
        <v>2728</v>
      </c>
      <c r="E22" s="190" t="s">
        <v>2729</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293</v>
      </c>
      <c r="B23" s="187" t="s">
        <v>2719</v>
      </c>
      <c r="C23" s="188" t="s">
        <v>2730</v>
      </c>
      <c r="D23" s="190" t="s">
        <v>2731</v>
      </c>
      <c r="E23" s="190" t="s">
        <v>2732</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293</v>
      </c>
      <c r="B24" s="187" t="s">
        <v>2719</v>
      </c>
      <c r="C24" s="188" t="s">
        <v>2733</v>
      </c>
      <c r="D24" s="190" t="s">
        <v>2734</v>
      </c>
      <c r="E24" s="190" t="s">
        <v>2735</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293</v>
      </c>
      <c r="B25" s="187" t="s">
        <v>2719</v>
      </c>
      <c r="C25" s="188" t="s">
        <v>2736</v>
      </c>
      <c r="D25" s="190" t="s">
        <v>2737</v>
      </c>
      <c r="E25" s="190" t="s">
        <v>2738</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293</v>
      </c>
      <c r="B26" s="187" t="s">
        <v>2719</v>
      </c>
      <c r="C26" s="188" t="s">
        <v>2739</v>
      </c>
      <c r="D26" s="190" t="s">
        <v>2740</v>
      </c>
      <c r="E26" s="190" t="s">
        <v>2741</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293</v>
      </c>
      <c r="B27" s="187" t="s">
        <v>2719</v>
      </c>
      <c r="C27" s="188" t="s">
        <v>2742</v>
      </c>
      <c r="D27" s="190" t="s">
        <v>2743</v>
      </c>
      <c r="E27" s="190" t="s">
        <v>2744</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293</v>
      </c>
      <c r="B28" s="187" t="s">
        <v>2719</v>
      </c>
      <c r="C28" s="188" t="s">
        <v>2745</v>
      </c>
      <c r="D28" s="190" t="s">
        <v>2746</v>
      </c>
      <c r="E28" s="190" t="s">
        <v>2747</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293</v>
      </c>
      <c r="B29" s="187" t="s">
        <v>2719</v>
      </c>
      <c r="C29" s="188" t="s">
        <v>2748</v>
      </c>
      <c r="D29" s="190" t="s">
        <v>2749</v>
      </c>
      <c r="E29" s="190" t="s">
        <v>2750</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293</v>
      </c>
      <c r="B30" s="187" t="s">
        <v>2719</v>
      </c>
      <c r="C30" s="188" t="s">
        <v>2751</v>
      </c>
      <c r="D30" s="190" t="s">
        <v>2752</v>
      </c>
      <c r="E30" s="190" t="s">
        <v>2753</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293</v>
      </c>
      <c r="B31" s="187" t="s">
        <v>2719</v>
      </c>
      <c r="C31" s="188" t="s">
        <v>2754</v>
      </c>
      <c r="D31" s="190" t="s">
        <v>2755</v>
      </c>
      <c r="E31" s="190" t="s">
        <v>2756</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2757</v>
      </c>
      <c r="B32" s="186"/>
      <c r="C32" s="186"/>
      <c r="D32" s="189" t="s">
        <v>2758</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2757</v>
      </c>
      <c r="B33" s="187"/>
      <c r="C33" s="188" t="s">
        <v>2759</v>
      </c>
      <c r="D33" s="190" t="s">
        <v>2760</v>
      </c>
      <c r="E33" s="190" t="s">
        <v>2761</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2757</v>
      </c>
      <c r="B34" s="187"/>
      <c r="C34" s="188" t="s">
        <v>2762</v>
      </c>
      <c r="D34" s="190" t="s">
        <v>2763</v>
      </c>
      <c r="E34" s="190" t="s">
        <v>2764</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2757</v>
      </c>
      <c r="B35" s="187"/>
      <c r="C35" s="188" t="s">
        <v>2765</v>
      </c>
      <c r="D35" s="190" t="s">
        <v>2766</v>
      </c>
      <c r="E35" s="190" t="s">
        <v>2767</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2757</v>
      </c>
      <c r="B36" s="186" t="s">
        <v>2768</v>
      </c>
      <c r="C36" s="186"/>
      <c r="D36" s="189" t="s">
        <v>2769</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2757</v>
      </c>
      <c r="B37" s="187" t="s">
        <v>2768</v>
      </c>
      <c r="C37" s="188" t="s">
        <v>2770</v>
      </c>
      <c r="D37" s="190" t="s">
        <v>2771</v>
      </c>
      <c r="E37" s="190" t="s">
        <v>2772</v>
      </c>
      <c r="F37" s="192" t="str">
        <f>IF(COUNTIF(G37:AT37,"&lt;&gt;")=0,"",SUMPRODUCT(((Recommendations[ImplStatus]="Implemented")+(Recommendations[ImplStatus]="Compensated"))*ISNUMBER(MATCH(Recommendations[Id],G37:AT37,0)))/COUNTIF(G37:AT37,"&lt;&gt;"))</f>
        <v/>
      </c>
      <c r="G37" s="194"/>
      <c r="H37" s="194"/>
      <c r="I37" s="194"/>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2757</v>
      </c>
      <c r="B38" s="187" t="s">
        <v>2768</v>
      </c>
      <c r="C38" s="188" t="s">
        <v>2773</v>
      </c>
      <c r="D38" s="190" t="s">
        <v>2774</v>
      </c>
      <c r="E38" s="190" t="s">
        <v>2775</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2757</v>
      </c>
      <c r="B39" s="187" t="s">
        <v>2768</v>
      </c>
      <c r="C39" s="188" t="s">
        <v>2776</v>
      </c>
      <c r="D39" s="190" t="s">
        <v>2777</v>
      </c>
      <c r="E39" s="190" t="s">
        <v>2778</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2757</v>
      </c>
      <c r="B40" s="187" t="s">
        <v>2768</v>
      </c>
      <c r="C40" s="188" t="s">
        <v>2779</v>
      </c>
      <c r="D40" s="190" t="s">
        <v>2780</v>
      </c>
      <c r="E40" s="190" t="s">
        <v>2781</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2757</v>
      </c>
      <c r="B41" s="187" t="s">
        <v>2768</v>
      </c>
      <c r="C41" s="188" t="s">
        <v>2782</v>
      </c>
      <c r="D41" s="190" t="s">
        <v>2783</v>
      </c>
      <c r="E41" s="190" t="s">
        <v>2784</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2757</v>
      </c>
      <c r="B42" s="187" t="s">
        <v>2768</v>
      </c>
      <c r="C42" s="188" t="s">
        <v>2785</v>
      </c>
      <c r="D42" s="190" t="s">
        <v>2786</v>
      </c>
      <c r="E42" s="190" t="s">
        <v>2787</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2757</v>
      </c>
      <c r="B43" s="187" t="s">
        <v>2768</v>
      </c>
      <c r="C43" s="188" t="s">
        <v>2788</v>
      </c>
      <c r="D43" s="190" t="s">
        <v>2789</v>
      </c>
      <c r="E43" s="190" t="s">
        <v>2790</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2757</v>
      </c>
      <c r="B44" s="187" t="s">
        <v>2768</v>
      </c>
      <c r="C44" s="188" t="s">
        <v>2791</v>
      </c>
      <c r="D44" s="190" t="s">
        <v>2792</v>
      </c>
      <c r="E44" s="190" t="s">
        <v>2793</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2757</v>
      </c>
      <c r="B45" s="187" t="s">
        <v>2768</v>
      </c>
      <c r="C45" s="188" t="s">
        <v>2794</v>
      </c>
      <c r="D45" s="190" t="s">
        <v>2795</v>
      </c>
      <c r="E45" s="190" t="s">
        <v>2796</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2757</v>
      </c>
      <c r="B46" s="187" t="s">
        <v>2768</v>
      </c>
      <c r="C46" s="188" t="s">
        <v>2797</v>
      </c>
      <c r="D46" s="190" t="s">
        <v>2798</v>
      </c>
      <c r="E46" s="190" t="s">
        <v>2799</v>
      </c>
      <c r="F46" s="192" t="str">
        <f>IF(COUNTIF(G46:AT46,"&lt;&gt;")=0,"",SUMPRODUCT(((Recommendations[ImplStatus]="Implemented")+(Recommendations[ImplStatus]="Compensated"))*ISNUMBER(MATCH(Recommendations[Id],G46:AT46,0)))/COUNTIF(G46:AT46,"&lt;&gt;"))</f>
        <v/>
      </c>
      <c r="G46" s="194"/>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2757</v>
      </c>
      <c r="B47" s="187" t="s">
        <v>2768</v>
      </c>
      <c r="C47" s="188" t="s">
        <v>2800</v>
      </c>
      <c r="D47" s="190" t="s">
        <v>2801</v>
      </c>
      <c r="E47" s="190" t="s">
        <v>2802</v>
      </c>
      <c r="F47" s="192" t="str">
        <f>IF(COUNTIF(G47:AT47,"&lt;&gt;")=0,"",SUMPRODUCT(((Recommendations[ImplStatus]="Implemented")+(Recommendations[ImplStatus]="Compensated"))*ISNUMBER(MATCH(Recommendations[Id],G47:AT47,0)))/COUNTIF(G47:AT47,"&lt;&gt;"))</f>
        <v/>
      </c>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2757</v>
      </c>
      <c r="B48" s="187" t="s">
        <v>2768</v>
      </c>
      <c r="C48" s="188" t="s">
        <v>2803</v>
      </c>
      <c r="D48" s="190" t="s">
        <v>2804</v>
      </c>
      <c r="E48" s="190" t="s">
        <v>2805</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2757</v>
      </c>
      <c r="B49" s="187" t="s">
        <v>2768</v>
      </c>
      <c r="C49" s="188" t="s">
        <v>2806</v>
      </c>
      <c r="D49" s="190" t="s">
        <v>2807</v>
      </c>
      <c r="E49" s="190" t="s">
        <v>2808</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2757</v>
      </c>
      <c r="B50" s="187" t="s">
        <v>2768</v>
      </c>
      <c r="C50" s="188" t="s">
        <v>2809</v>
      </c>
      <c r="D50" s="190" t="s">
        <v>2810</v>
      </c>
      <c r="E50" s="190" t="s">
        <v>2811</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2757</v>
      </c>
      <c r="B51" s="186" t="s">
        <v>2812</v>
      </c>
      <c r="C51" s="186"/>
      <c r="D51" s="189" t="s">
        <v>2813</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2757</v>
      </c>
      <c r="B52" s="187" t="s">
        <v>2812</v>
      </c>
      <c r="C52" s="188" t="s">
        <v>2814</v>
      </c>
      <c r="D52" s="190" t="s">
        <v>2815</v>
      </c>
      <c r="E52" s="190" t="s">
        <v>2816</v>
      </c>
      <c r="F52" s="192">
        <f>IF(COUNTIF(G52:AT52,"&lt;&gt;")=0,"",SUMPRODUCT(((Recommendations[ImplStatus]="Implemented")+(Recommendations[ImplStatus]="Compensated"))*ISNUMBER(MATCH(Recommendations[Id],G52:AT52,0)))/COUNTIF(G52:AT52,"&lt;&gt;"))</f>
        <v>0</v>
      </c>
      <c r="G52" s="194" t="s">
        <v>161</v>
      </c>
      <c r="H52" s="194"/>
      <c r="I52" s="194"/>
      <c r="J52" s="194"/>
      <c r="K52" s="194"/>
      <c r="L52" s="194"/>
      <c r="M52" s="194"/>
      <c r="N52" s="194"/>
      <c r="O52" s="194"/>
      <c r="P52" s="194"/>
      <c r="Q52" s="194"/>
      <c r="R52" s="194"/>
      <c r="S52" s="194"/>
      <c r="T52" s="194"/>
      <c r="U52" s="194"/>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194"/>
      <c r="AT52" s="204"/>
    </row>
    <row r="53" spans="1:46" ht="60" customHeight="1" x14ac:dyDescent="0.35">
      <c r="A53" s="201" t="s">
        <v>2757</v>
      </c>
      <c r="B53" s="187" t="s">
        <v>2812</v>
      </c>
      <c r="C53" s="188" t="s">
        <v>2817</v>
      </c>
      <c r="D53" s="190" t="s">
        <v>2818</v>
      </c>
      <c r="E53" s="190" t="s">
        <v>2819</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2757</v>
      </c>
      <c r="B54" s="187" t="s">
        <v>2812</v>
      </c>
      <c r="C54" s="188" t="s">
        <v>2820</v>
      </c>
      <c r="D54" s="190" t="s">
        <v>2821</v>
      </c>
      <c r="E54" s="190" t="s">
        <v>2822</v>
      </c>
      <c r="F54" s="192" t="str">
        <f>IF(COUNTIF(G54:AT54,"&lt;&gt;")=0,"",SUMPRODUCT(((Recommendations[ImplStatus]="Implemented")+(Recommendations[ImplStatus]="Compensated"))*ISNUMBER(MATCH(Recommendations[Id],G54:AT54,0)))/COUNTIF(G54:AT54,"&lt;&gt;"))</f>
        <v/>
      </c>
      <c r="G54" s="194"/>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2757</v>
      </c>
      <c r="B55" s="187" t="s">
        <v>2812</v>
      </c>
      <c r="C55" s="188" t="s">
        <v>2823</v>
      </c>
      <c r="D55" s="190" t="s">
        <v>2824</v>
      </c>
      <c r="E55" s="190" t="s">
        <v>2825</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2757</v>
      </c>
      <c r="B56" s="187" t="s">
        <v>2812</v>
      </c>
      <c r="C56" s="188" t="s">
        <v>2826</v>
      </c>
      <c r="D56" s="190" t="s">
        <v>2827</v>
      </c>
      <c r="E56" s="190" t="s">
        <v>2828</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2757</v>
      </c>
      <c r="B57" s="187" t="s">
        <v>2812</v>
      </c>
      <c r="C57" s="188" t="s">
        <v>2829</v>
      </c>
      <c r="D57" s="190" t="s">
        <v>2830</v>
      </c>
      <c r="E57" s="190" t="s">
        <v>2831</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2757</v>
      </c>
      <c r="B58" s="187" t="s">
        <v>2812</v>
      </c>
      <c r="C58" s="188" t="s">
        <v>2832</v>
      </c>
      <c r="D58" s="190" t="s">
        <v>2833</v>
      </c>
      <c r="E58" s="190" t="s">
        <v>2834</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2757</v>
      </c>
      <c r="B59" s="187" t="s">
        <v>2812</v>
      </c>
      <c r="C59" s="188" t="s">
        <v>2835</v>
      </c>
      <c r="D59" s="190" t="s">
        <v>2836</v>
      </c>
      <c r="E59" s="190" t="s">
        <v>2837</v>
      </c>
      <c r="F59" s="192" t="str">
        <f>IF(COUNTIF(G59:AT59,"&lt;&gt;")=0,"",SUMPRODUCT(((Recommendations[ImplStatus]="Implemented")+(Recommendations[ImplStatus]="Compensated"))*ISNUMBER(MATCH(Recommendations[Id],G59:AT59,0)))/COUNTIF(G59:AT59,"&lt;&gt;"))</f>
        <v/>
      </c>
      <c r="G59" s="194"/>
      <c r="H59" s="194"/>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2757</v>
      </c>
      <c r="B60" s="187" t="s">
        <v>2838</v>
      </c>
      <c r="C60" s="188" t="s">
        <v>2839</v>
      </c>
      <c r="D60" s="190" t="s">
        <v>2840</v>
      </c>
      <c r="E60" s="190" t="s">
        <v>2841</v>
      </c>
      <c r="F60" s="192" t="str">
        <f>IF(COUNTIF(G60:AT60,"&lt;&gt;")=0,"",SUMPRODUCT(((Recommendations[ImplStatus]="Implemented")+(Recommendations[ImplStatus]="Compensated"))*ISNUMBER(MATCH(Recommendations[Id],G60:AT60,0)))/COUNTIF(G60:AT60,"&lt;&gt;"))</f>
        <v/>
      </c>
      <c r="G60" s="194"/>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2757</v>
      </c>
      <c r="B61" s="187" t="s">
        <v>2838</v>
      </c>
      <c r="C61" s="188" t="s">
        <v>2842</v>
      </c>
      <c r="D61" s="190" t="s">
        <v>2843</v>
      </c>
      <c r="E61" s="190" t="s">
        <v>2844</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2757</v>
      </c>
      <c r="B62" s="186" t="s">
        <v>2845</v>
      </c>
      <c r="C62" s="186"/>
      <c r="D62" s="189" t="s">
        <v>2846</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2757</v>
      </c>
      <c r="B63" s="187" t="s">
        <v>2845</v>
      </c>
      <c r="C63" s="188" t="s">
        <v>2847</v>
      </c>
      <c r="D63" s="190" t="s">
        <v>2848</v>
      </c>
      <c r="E63" s="190" t="s">
        <v>2849</v>
      </c>
      <c r="F63" s="192" t="str">
        <f>IF(COUNTIF(G63:AT63,"&lt;&gt;")=0,"",SUMPRODUCT(((Recommendations[ImplStatus]="Implemented")+(Recommendations[ImplStatus]="Compensated"))*ISNUMBER(MATCH(Recommendations[Id],G63:AT63,0)))/COUNTIF(G63:AT63,"&lt;&gt;"))</f>
        <v/>
      </c>
      <c r="G63" s="194"/>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2757</v>
      </c>
      <c r="B64" s="187" t="s">
        <v>2845</v>
      </c>
      <c r="C64" s="188" t="s">
        <v>2850</v>
      </c>
      <c r="D64" s="190" t="s">
        <v>2851</v>
      </c>
      <c r="E64" s="190" t="s">
        <v>2852</v>
      </c>
      <c r="F64" s="192" t="str">
        <f>IF(COUNTIF(G64:AT64,"&lt;&gt;")=0,"",SUMPRODUCT(((Recommendations[ImplStatus]="Implemented")+(Recommendations[ImplStatus]="Compensated"))*ISNUMBER(MATCH(Recommendations[Id],G64:AT64,0)))/COUNTIF(G64:AT64,"&lt;&gt;"))</f>
        <v/>
      </c>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2757</v>
      </c>
      <c r="B65" s="187" t="s">
        <v>2845</v>
      </c>
      <c r="C65" s="188" t="s">
        <v>2853</v>
      </c>
      <c r="D65" s="190" t="s">
        <v>2854</v>
      </c>
      <c r="E65" s="190" t="s">
        <v>2855</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2757</v>
      </c>
      <c r="B66" s="187" t="s">
        <v>2845</v>
      </c>
      <c r="C66" s="188" t="s">
        <v>2856</v>
      </c>
      <c r="D66" s="190" t="s">
        <v>2857</v>
      </c>
      <c r="E66" s="190" t="s">
        <v>2858</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2757</v>
      </c>
      <c r="B67" s="187" t="s">
        <v>2845</v>
      </c>
      <c r="C67" s="188" t="s">
        <v>2859</v>
      </c>
      <c r="D67" s="190" t="s">
        <v>2860</v>
      </c>
      <c r="E67" s="190" t="s">
        <v>2861</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2757</v>
      </c>
      <c r="B68" s="187" t="s">
        <v>2845</v>
      </c>
      <c r="C68" s="188" t="s">
        <v>2862</v>
      </c>
      <c r="D68" s="190" t="s">
        <v>2863</v>
      </c>
      <c r="E68" s="190" t="s">
        <v>2864</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2757</v>
      </c>
      <c r="B69" s="187" t="s">
        <v>2845</v>
      </c>
      <c r="C69" s="188" t="s">
        <v>2865</v>
      </c>
      <c r="D69" s="190" t="s">
        <v>2866</v>
      </c>
      <c r="E69" s="190" t="s">
        <v>2867</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2757</v>
      </c>
      <c r="B70" s="187" t="s">
        <v>2845</v>
      </c>
      <c r="C70" s="188" t="s">
        <v>2868</v>
      </c>
      <c r="D70" s="190" t="s">
        <v>2869</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2757</v>
      </c>
      <c r="B71" s="187" t="s">
        <v>2845</v>
      </c>
      <c r="C71" s="188" t="s">
        <v>2870</v>
      </c>
      <c r="D71" s="190" t="s">
        <v>2871</v>
      </c>
      <c r="E71" s="190" t="s">
        <v>2872</v>
      </c>
      <c r="F71" s="192" t="str">
        <f>IF(COUNTIF(G71:AT71,"&lt;&gt;")=0,"",SUMPRODUCT(((Recommendations[ImplStatus]="Implemented")+(Recommendations[ImplStatus]="Compensated"))*ISNUMBER(MATCH(Recommendations[Id],G71:AT71,0)))/COUNTIF(G71:AT71,"&lt;&gt;"))</f>
        <v/>
      </c>
      <c r="G71" s="194"/>
      <c r="H71" s="194"/>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2757</v>
      </c>
      <c r="B72" s="187" t="s">
        <v>2845</v>
      </c>
      <c r="C72" s="188" t="s">
        <v>2873</v>
      </c>
      <c r="D72" s="190" t="s">
        <v>2874</v>
      </c>
      <c r="E72" s="190" t="s">
        <v>2875</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2757</v>
      </c>
      <c r="B73" s="187" t="s">
        <v>2845</v>
      </c>
      <c r="C73" s="188" t="s">
        <v>2876</v>
      </c>
      <c r="D73" s="190" t="s">
        <v>2877</v>
      </c>
      <c r="E73" s="190" t="s">
        <v>2878</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2757</v>
      </c>
      <c r="B74" s="187" t="s">
        <v>2845</v>
      </c>
      <c r="C74" s="188" t="s">
        <v>2879</v>
      </c>
      <c r="D74" s="190" t="s">
        <v>2880</v>
      </c>
      <c r="E74" s="190" t="s">
        <v>2881</v>
      </c>
      <c r="F74" s="192" t="str">
        <f>IF(COUNTIF(G74:AT74,"&lt;&gt;")=0,"",SUMPRODUCT(((Recommendations[ImplStatus]="Implemented")+(Recommendations[ImplStatus]="Compensated"))*ISNUMBER(MATCH(Recommendations[Id],G74:AT74,0)))/COUNTIF(G74:AT74,"&lt;&gt;"))</f>
        <v/>
      </c>
      <c r="G74" s="194"/>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2757</v>
      </c>
      <c r="B75" s="187" t="s">
        <v>2845</v>
      </c>
      <c r="C75" s="188" t="s">
        <v>2882</v>
      </c>
      <c r="D75" s="190" t="s">
        <v>2883</v>
      </c>
      <c r="E75" s="190" t="s">
        <v>2884</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2757</v>
      </c>
      <c r="B76" s="187" t="s">
        <v>2845</v>
      </c>
      <c r="C76" s="188" t="s">
        <v>2885</v>
      </c>
      <c r="D76" s="190" t="s">
        <v>2886</v>
      </c>
      <c r="E76" s="190" t="s">
        <v>2887</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2757</v>
      </c>
      <c r="B77" s="187" t="s">
        <v>2845</v>
      </c>
      <c r="C77" s="188" t="s">
        <v>2888</v>
      </c>
      <c r="D77" s="190" t="s">
        <v>2889</v>
      </c>
      <c r="E77" s="190" t="s">
        <v>2890</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2757</v>
      </c>
      <c r="B78" s="187" t="s">
        <v>2845</v>
      </c>
      <c r="C78" s="188" t="s">
        <v>2891</v>
      </c>
      <c r="D78" s="190" t="s">
        <v>2892</v>
      </c>
      <c r="E78" s="190" t="s">
        <v>2893</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2757</v>
      </c>
      <c r="B79" s="186" t="s">
        <v>2845</v>
      </c>
      <c r="C79" s="186"/>
      <c r="D79" s="189" t="s">
        <v>2894</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2895</v>
      </c>
      <c r="B80" s="187"/>
      <c r="C80" s="188" t="s">
        <v>2896</v>
      </c>
      <c r="D80" s="190" t="s">
        <v>2897</v>
      </c>
      <c r="E80" s="190" t="s">
        <v>2898</v>
      </c>
      <c r="F80" s="192" t="str">
        <f>IF(COUNTIF(G80:AT80,"&lt;&gt;")=0,"",SUMPRODUCT(((Recommendations[ImplStatus]="Implemented")+(Recommendations[ImplStatus]="Compensated"))*ISNUMBER(MATCH(Recommendations[Id],G80:AT80,0)))/COUNTIF(G80:AT80,"&lt;&gt;"))</f>
        <v/>
      </c>
      <c r="G80" s="194"/>
      <c r="H80" s="194"/>
      <c r="I80" s="194"/>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2895</v>
      </c>
      <c r="B81" s="187"/>
      <c r="C81" s="188" t="s">
        <v>2899</v>
      </c>
      <c r="D81" s="190" t="s">
        <v>2900</v>
      </c>
      <c r="E81" s="190" t="s">
        <v>2901</v>
      </c>
      <c r="F81" s="192" t="str">
        <f>IF(COUNTIF(G81:AT81,"&lt;&gt;")=0,"",SUMPRODUCT(((Recommendations[ImplStatus]="Implemented")+(Recommendations[ImplStatus]="Compensated"))*ISNUMBER(MATCH(Recommendations[Id],G81:AT81,0)))/COUNTIF(G81:AT81,"&lt;&gt;"))</f>
        <v/>
      </c>
      <c r="G81" s="194"/>
      <c r="H81" s="194"/>
      <c r="I81" s="194"/>
      <c r="J81" s="194"/>
      <c r="K81" s="194"/>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2895</v>
      </c>
      <c r="B82" s="187"/>
      <c r="C82" s="188" t="s">
        <v>2902</v>
      </c>
      <c r="D82" s="190" t="s">
        <v>2903</v>
      </c>
      <c r="E82" s="190" t="s">
        <v>2904</v>
      </c>
      <c r="F82" s="192" t="str">
        <f>IF(COUNTIF(G82:AT82,"&lt;&gt;")=0,"",SUMPRODUCT(((Recommendations[ImplStatus]="Implemented")+(Recommendations[ImplStatus]="Compensated"))*ISNUMBER(MATCH(Recommendations[Id],G82:AT82,0)))/COUNTIF(G82:AT82,"&lt;&gt;"))</f>
        <v/>
      </c>
      <c r="G82" s="194"/>
      <c r="H82" s="194"/>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2895</v>
      </c>
      <c r="B83" s="187"/>
      <c r="C83" s="188" t="s">
        <v>2905</v>
      </c>
      <c r="D83" s="190" t="s">
        <v>2906</v>
      </c>
      <c r="E83" s="190" t="s">
        <v>2907</v>
      </c>
      <c r="F83" s="192">
        <f>IF(COUNTIF(G83:AT83,"&lt;&gt;")=0,"",SUMPRODUCT(((Recommendations[ImplStatus]="Implemented")+(Recommendations[ImplStatus]="Compensated"))*ISNUMBER(MATCH(Recommendations[Id],G83:AT83,0)))/COUNTIF(G83:AT83,"&lt;&gt;"))</f>
        <v>0</v>
      </c>
      <c r="G83" s="194" t="s">
        <v>204</v>
      </c>
      <c r="H83" s="194"/>
      <c r="I83" s="194"/>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2895</v>
      </c>
      <c r="B84" s="186"/>
      <c r="C84" s="186"/>
      <c r="D84" s="189" t="s">
        <v>2908</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2909</v>
      </c>
      <c r="B85" s="187"/>
      <c r="C85" s="188" t="s">
        <v>2910</v>
      </c>
      <c r="D85" s="190" t="s">
        <v>2911</v>
      </c>
      <c r="E85" s="190" t="s">
        <v>2912</v>
      </c>
      <c r="F85" s="192" t="str">
        <f>IF(COUNTIF(G85:AT85,"&lt;&gt;")=0,"",SUMPRODUCT(((Recommendations[ImplStatus]="Implemented")+(Recommendations[ImplStatus]="Compensated"))*ISNUMBER(MATCH(Recommendations[Id],G85:AT85,0)))/COUNTIF(G85:AT85,"&lt;&gt;"))</f>
        <v/>
      </c>
      <c r="G85" s="194"/>
      <c r="H85" s="194"/>
      <c r="I85" s="194"/>
      <c r="J85" s="194"/>
      <c r="K85" s="194"/>
      <c r="L85" s="194"/>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2909</v>
      </c>
      <c r="B86" s="187"/>
      <c r="C86" s="188" t="s">
        <v>2913</v>
      </c>
      <c r="D86" s="190" t="s">
        <v>2914</v>
      </c>
      <c r="E86" s="190" t="s">
        <v>2915</v>
      </c>
      <c r="F86" s="192" t="str">
        <f>IF(COUNTIF(G86:AT86,"&lt;&gt;")=0,"",SUMPRODUCT(((Recommendations[ImplStatus]="Implemented")+(Recommendations[ImplStatus]="Compensated"))*ISNUMBER(MATCH(Recommendations[Id],G86:AT86,0)))/COUNTIF(G86:AT86,"&lt;&gt;"))</f>
        <v/>
      </c>
      <c r="G86" s="194"/>
      <c r="H86" s="194"/>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2909</v>
      </c>
      <c r="B87" s="187"/>
      <c r="C87" s="188" t="s">
        <v>2916</v>
      </c>
      <c r="D87" s="190" t="s">
        <v>2917</v>
      </c>
      <c r="E87" s="190" t="s">
        <v>2918</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2909</v>
      </c>
      <c r="B88" s="187"/>
      <c r="C88" s="188" t="s">
        <v>2919</v>
      </c>
      <c r="D88" s="190" t="s">
        <v>2920</v>
      </c>
      <c r="E88" s="190" t="s">
        <v>2921</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2909</v>
      </c>
      <c r="B89" s="187"/>
      <c r="C89" s="188" t="s">
        <v>2922</v>
      </c>
      <c r="D89" s="190" t="s">
        <v>2923</v>
      </c>
      <c r="E89" s="190" t="s">
        <v>2924</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2909</v>
      </c>
      <c r="B90" s="186" t="s">
        <v>2925</v>
      </c>
      <c r="C90" s="186"/>
      <c r="D90" s="189" t="s">
        <v>2926</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2909</v>
      </c>
      <c r="B91" s="187" t="s">
        <v>2925</v>
      </c>
      <c r="C91" s="188" t="s">
        <v>2927</v>
      </c>
      <c r="D91" s="190" t="s">
        <v>2928</v>
      </c>
      <c r="E91" s="190" t="s">
        <v>2929</v>
      </c>
      <c r="F91" s="192" t="str">
        <f>IF(COUNTIF(G91:AT91,"&lt;&gt;")=0,"",SUMPRODUCT(((Recommendations[ImplStatus]="Implemented")+(Recommendations[ImplStatus]="Compensated"))*ISNUMBER(MATCH(Recommendations[Id],G91:AT91,0)))/COUNTIF(G91:AT91,"&lt;&gt;"))</f>
        <v/>
      </c>
      <c r="G91" s="194"/>
      <c r="H91" s="194"/>
      <c r="I91" s="194"/>
      <c r="J91" s="194"/>
      <c r="K91" s="194"/>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2909</v>
      </c>
      <c r="B92" s="187" t="s">
        <v>2925</v>
      </c>
      <c r="C92" s="188" t="s">
        <v>2930</v>
      </c>
      <c r="D92" s="190" t="s">
        <v>2931</v>
      </c>
      <c r="E92" s="190" t="s">
        <v>2932</v>
      </c>
      <c r="F92" s="192" t="str">
        <f>IF(COUNTIF(G92:AT92,"&lt;&gt;")=0,"",SUMPRODUCT(((Recommendations[ImplStatus]="Implemented")+(Recommendations[ImplStatus]="Compensated"))*ISNUMBER(MATCH(Recommendations[Id],G92:AT92,0)))/COUNTIF(G92:AT92,"&lt;&gt;"))</f>
        <v/>
      </c>
      <c r="G92" s="194"/>
      <c r="H92" s="194"/>
      <c r="I92" s="194"/>
      <c r="J92" s="194"/>
      <c r="K92" s="194"/>
      <c r="L92" s="194"/>
      <c r="M92" s="194"/>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2925</v>
      </c>
      <c r="C93" s="188" t="s">
        <v>2933</v>
      </c>
      <c r="D93" s="190" t="s">
        <v>2934</v>
      </c>
      <c r="E93" s="190" t="s">
        <v>2935</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2925</v>
      </c>
      <c r="C94" s="188" t="s">
        <v>2936</v>
      </c>
      <c r="D94" s="190" t="s">
        <v>2937</v>
      </c>
      <c r="E94" s="190" t="s">
        <v>2938</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2925</v>
      </c>
      <c r="C95" s="188" t="s">
        <v>2939</v>
      </c>
      <c r="D95" s="190" t="s">
        <v>2940</v>
      </c>
      <c r="E95" s="190" t="s">
        <v>2941</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2925</v>
      </c>
      <c r="C96" s="188" t="s">
        <v>2942</v>
      </c>
      <c r="D96" s="190" t="s">
        <v>2943</v>
      </c>
      <c r="E96" s="190" t="s">
        <v>2944</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2925</v>
      </c>
      <c r="C97" s="188" t="s">
        <v>2945</v>
      </c>
      <c r="D97" s="190" t="s">
        <v>2946</v>
      </c>
      <c r="E97" s="190" t="s">
        <v>2947</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2925</v>
      </c>
      <c r="C98" s="188" t="s">
        <v>2948</v>
      </c>
      <c r="D98" s="190" t="s">
        <v>2949</v>
      </c>
      <c r="E98" s="190" t="s">
        <v>2950</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2951</v>
      </c>
      <c r="C99" s="186"/>
      <c r="D99" s="189" t="s">
        <v>2952</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2951</v>
      </c>
      <c r="C100" s="188" t="s">
        <v>2953</v>
      </c>
      <c r="D100" s="190" t="s">
        <v>2954</v>
      </c>
      <c r="E100" s="190" t="s">
        <v>2955</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2951</v>
      </c>
      <c r="C101" s="188" t="s">
        <v>2956</v>
      </c>
      <c r="D101" s="190" t="s">
        <v>2957</v>
      </c>
      <c r="E101" s="190" t="s">
        <v>2958</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2951</v>
      </c>
      <c r="C102" s="188" t="s">
        <v>2959</v>
      </c>
      <c r="D102" s="190" t="s">
        <v>2960</v>
      </c>
      <c r="E102" s="190" t="s">
        <v>2961</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2951</v>
      </c>
      <c r="C103" s="188" t="s">
        <v>2962</v>
      </c>
      <c r="D103" s="190" t="s">
        <v>2963</v>
      </c>
      <c r="E103" s="190" t="s">
        <v>2964</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2951</v>
      </c>
      <c r="C104" s="196" t="s">
        <v>2965</v>
      </c>
      <c r="D104" s="197" t="s">
        <v>2966</v>
      </c>
      <c r="E104" s="197" t="s">
        <v>2967</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55" t="s">
        <v>209</v>
      </c>
      <c r="B108" s="255"/>
      <c r="C108" s="255"/>
      <c r="D108" s="255"/>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IFERROR(INDEX('Recommendations'!$G$2:$G$44, MATCH(G2,'Recommendations'!$A$2:$A$44,0))="Implemented", FALSE))</xm:f>
            <x14:dxf>
              <font>
                <color rgb="FF000000"/>
              </font>
              <fill>
                <patternFill>
                  <bgColor rgb="FF3C7D22"/>
                </patternFill>
              </fill>
            </x14:dxf>
          </x14:cfRule>
          <x14:cfRule type="expression" priority="2" id="{00000000-000E-0000-0800-000002000000}">
            <xm:f>AND(G2&lt;&gt;"", IFERROR(INDEX('Recommendations'!$G$2:$G$44, MATCH(G2,'Recommendations'!$A$2:$A$44,0))="Compensated", FALSE))</xm:f>
            <x14:dxf>
              <font>
                <color rgb="FF000000"/>
              </font>
              <fill>
                <patternFill>
                  <bgColor rgb="FFC6E0B4"/>
                </patternFill>
              </fill>
            </x14:dxf>
          </x14:cfRule>
          <x14:cfRule type="expression" priority="3" id="{00000000-000E-0000-0800-000003000000}">
            <xm:f>AND(G2&lt;&gt;"", IFERROR(INDEX('Recommendations'!$G$2:$G$44, MATCH(G2,'Recommendations'!$A$2:$A$44,0))="Testing", FALSE))</xm:f>
            <x14:dxf>
              <font>
                <color rgb="FF000000"/>
              </font>
              <fill>
                <patternFill>
                  <bgColor rgb="FFFFC000"/>
                </patternFill>
              </fill>
            </x14:dxf>
          </x14:cfRule>
          <x14:cfRule type="expression" priority="4" id="{00000000-000E-0000-0800-000004000000}">
            <xm:f>AND(G2&lt;&gt;"", IFERROR(INDEX('Recommendations'!$G$2:$G$44, MATCH(G2,'Recommendations'!$A$2:$A$44,0))="Failed", FALSE))</xm:f>
            <x14:dxf>
              <font>
                <color rgb="FF000000"/>
              </font>
              <fill>
                <patternFill>
                  <bgColor rgb="FFD82891"/>
                </patternFill>
              </fill>
            </x14:dxf>
          </x14:cfRule>
          <x14:cfRule type="expression" priority="5" id="{00000000-000E-0000-0800-000005000000}">
            <xm:f>AND(G2&lt;&gt;"", IFERROR(INDEX('Recommendations'!$G$2:$G$44, MATCH(G2,'Recommendations'!$A$2:$A$44,0))="Risk Accepted", FALSE))</xm:f>
            <x14:dxf>
              <font>
                <color rgb="FF000000"/>
              </font>
              <fill>
                <patternFill>
                  <bgColor rgb="FFD9D9D9"/>
                </patternFill>
              </fill>
            </x14:dxf>
          </x14:cfRule>
          <x14:cfRule type="expression" priority="6" id="{00000000-000E-0000-0800-000006000000}">
            <xm:f>AND(G2&lt;&gt;"", IFERROR(INDEX('Recommendations'!$G$2:$G$44, MATCH(G2,'Recommendations'!$A$2:$A$44,0))="N/A",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VMware vSphere Virtual Machine Version 6 Security Technical Implementation Guide - SHGIR</dc:title>
  <dc:subject>Generated on: 2026-06-08 13:02:56</dc:subject>
  <dc:creator>Anicet Fopa Tchoffo</dc:creator>
  <cp:keywords>Baseline;Hardening;DISA;STIG</cp:keywords>
  <dc:description>Baseline Developed By: VMware and Defense Information Systems Agency (DISA) for the US DoD</dc:description>
  <cp:lastModifiedBy>Anicet Fopa Tchoffo</cp:lastModifiedBy>
  <dcterms:modified xsi:type="dcterms:W3CDTF">2026-06-08T12:03:04Z</dcterms:modified>
  <cp:category>DISA-STIG</cp:category>
  <cp:contentStatus>Draft</cp:contentStatus>
</cp:coreProperties>
</file>