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9" documentId="11_5FA8C775077ED3E2C2EA56AC294718BE3A9A8315" xr6:coauthVersionLast="47" xr6:coauthVersionMax="47" xr10:uidLastSave="{40A14F65-BC16-44DE-BCD9-5FFB3D6DE656}"/>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1" i="1"/>
  <c r="L20" i="1"/>
  <c r="L19" i="1"/>
  <c r="L18" i="1"/>
  <c r="L17" i="1"/>
  <c r="L16" i="1"/>
  <c r="L15" i="1"/>
  <c r="L14" i="1"/>
  <c r="L13" i="1"/>
  <c r="L12" i="1"/>
  <c r="L11" i="1"/>
  <c r="L10" i="1"/>
  <c r="L9" i="1"/>
  <c r="L8" i="1"/>
  <c r="L7" i="1"/>
  <c r="L6" i="1"/>
  <c r="L5" i="1"/>
  <c r="L4" i="1"/>
  <c r="L3" i="1"/>
  <c r="L2" i="1"/>
  <c r="F110" i="3" s="1"/>
  <c r="R185" i="3"/>
  <c r="R184" i="3"/>
  <c r="R183" i="3"/>
  <c r="R182" i="3"/>
  <c r="R181" i="3"/>
  <c r="R180" i="3"/>
  <c r="R179" i="3"/>
  <c r="R178" i="3"/>
  <c r="R177" i="3"/>
  <c r="R176" i="3"/>
  <c r="R175" i="3"/>
  <c r="R174" i="3"/>
  <c r="R173" i="3"/>
  <c r="R172" i="3"/>
  <c r="R171" i="3"/>
  <c r="R170" i="3"/>
  <c r="R169" i="3"/>
  <c r="R168" i="3"/>
  <c r="R167" i="3"/>
  <c r="R166" i="3"/>
  <c r="O110" i="3"/>
  <c r="N110" i="3"/>
  <c r="M110" i="3"/>
  <c r="L110" i="3"/>
  <c r="K110" i="3"/>
  <c r="E110" i="3"/>
  <c r="O109" i="3"/>
  <c r="N109" i="3"/>
  <c r="M109" i="3"/>
  <c r="L109" i="3"/>
  <c r="K109" i="3"/>
  <c r="F109" i="3"/>
  <c r="E109" i="3"/>
  <c r="G109" i="3" s="1"/>
  <c r="O108" i="3"/>
  <c r="N108" i="3"/>
  <c r="M108" i="3"/>
  <c r="L108" i="3"/>
  <c r="K108" i="3"/>
  <c r="F108" i="3"/>
  <c r="E108" i="3"/>
  <c r="G108" i="3" s="1"/>
  <c r="O107" i="3"/>
  <c r="N107" i="3"/>
  <c r="M107" i="3"/>
  <c r="L107" i="3"/>
  <c r="K107" i="3"/>
  <c r="F107" i="3"/>
  <c r="E107" i="3"/>
  <c r="G107" i="3" s="1"/>
  <c r="O106" i="3"/>
  <c r="N106" i="3"/>
  <c r="M106" i="3"/>
  <c r="L106" i="3"/>
  <c r="K106" i="3"/>
  <c r="F106" i="3"/>
  <c r="E106" i="3"/>
  <c r="G106" i="3" s="1"/>
  <c r="O105" i="3"/>
  <c r="N105" i="3"/>
  <c r="M105" i="3"/>
  <c r="L105" i="3"/>
  <c r="K105" i="3"/>
  <c r="F105" i="3"/>
  <c r="E105" i="3"/>
  <c r="G105" i="3" s="1"/>
  <c r="E91" i="3"/>
  <c r="D91" i="3"/>
  <c r="C91" i="3"/>
  <c r="F91" i="3" s="1"/>
  <c r="E90" i="3"/>
  <c r="D90" i="3"/>
  <c r="C90" i="3"/>
  <c r="F90" i="3" s="1"/>
  <c r="E89" i="3"/>
  <c r="D89" i="3"/>
  <c r="C89" i="3"/>
  <c r="F89" i="3" s="1"/>
  <c r="E88" i="3"/>
  <c r="D88" i="3"/>
  <c r="C88" i="3"/>
  <c r="F88" i="3" s="1"/>
  <c r="E78" i="3"/>
  <c r="D78" i="3"/>
  <c r="F71" i="3"/>
  <c r="E79" i="3" s="1"/>
  <c r="E71" i="3"/>
  <c r="D71" i="3"/>
  <c r="C71" i="3"/>
  <c r="F70" i="3"/>
  <c r="C78" i="3" s="1"/>
  <c r="E70" i="3"/>
  <c r="D70" i="3"/>
  <c r="C70" i="3"/>
  <c r="E69" i="3"/>
  <c r="D69" i="3"/>
  <c r="C69" i="3"/>
  <c r="F69" i="3" s="1"/>
  <c r="E68" i="3"/>
  <c r="F68" i="3" s="1"/>
  <c r="D68" i="3"/>
  <c r="C68" i="3"/>
  <c r="U121" i="3" s="1"/>
  <c r="E67" i="3"/>
  <c r="D67" i="3"/>
  <c r="C67" i="3"/>
  <c r="F67" i="3" s="1"/>
  <c r="E53" i="3"/>
  <c r="D53" i="3"/>
  <c r="C53" i="3"/>
  <c r="F53" i="3" s="1"/>
  <c r="E52" i="3"/>
  <c r="D52" i="3"/>
  <c r="C52" i="3"/>
  <c r="F52" i="3" s="1"/>
  <c r="E34" i="3"/>
  <c r="D34" i="3"/>
  <c r="C34" i="3"/>
  <c r="F34" i="3" s="1"/>
  <c r="E33" i="3"/>
  <c r="D33" i="3"/>
  <c r="C33" i="3"/>
  <c r="F33" i="3" s="1"/>
  <c r="E32" i="3"/>
  <c r="D32" i="3"/>
  <c r="C32" i="3"/>
  <c r="F32" i="3" s="1"/>
  <c r="E31" i="3"/>
  <c r="D31" i="3"/>
  <c r="C31" i="3"/>
  <c r="F31" i="3" s="1"/>
  <c r="E30" i="3"/>
  <c r="D30" i="3"/>
  <c r="C30" i="3"/>
  <c r="F30" i="3" s="1"/>
  <c r="E29" i="3"/>
  <c r="D29" i="3"/>
  <c r="C29" i="3"/>
  <c r="F29" i="3" s="1"/>
  <c r="F16" i="3"/>
  <c r="R151" i="3" s="1"/>
  <c r="E16" i="3"/>
  <c r="D16" i="3"/>
  <c r="C16" i="3"/>
  <c r="Q121" i="3" s="1"/>
  <c r="C9" i="3"/>
  <c r="D9" i="3" s="1"/>
  <c r="D8" i="3"/>
  <c r="C8" i="3"/>
  <c r="C7" i="3"/>
  <c r="D7" i="3" s="1"/>
  <c r="E96" i="3" l="1"/>
  <c r="D96" i="3"/>
  <c r="C96" i="3"/>
  <c r="C42" i="3"/>
  <c r="D42" i="3"/>
  <c r="E42" i="3"/>
  <c r="E98" i="3"/>
  <c r="D98" i="3"/>
  <c r="C98" i="3"/>
  <c r="V150" i="3"/>
  <c r="V145" i="3"/>
  <c r="V140" i="3"/>
  <c r="V135" i="3"/>
  <c r="V130" i="3"/>
  <c r="V125" i="3"/>
  <c r="E76" i="3"/>
  <c r="D76" i="3"/>
  <c r="V149" i="3"/>
  <c r="V144" i="3"/>
  <c r="V139" i="3"/>
  <c r="V134" i="3"/>
  <c r="V129" i="3"/>
  <c r="V124" i="3"/>
  <c r="V153" i="3"/>
  <c r="V148" i="3"/>
  <c r="V143" i="3"/>
  <c r="V138" i="3"/>
  <c r="V133" i="3"/>
  <c r="V128" i="3"/>
  <c r="V123" i="3"/>
  <c r="C76" i="3"/>
  <c r="V152" i="3"/>
  <c r="V147" i="3"/>
  <c r="V142" i="3"/>
  <c r="V137" i="3"/>
  <c r="V132" i="3"/>
  <c r="V127" i="3"/>
  <c r="V151" i="3"/>
  <c r="V146" i="3"/>
  <c r="V141" i="3"/>
  <c r="V136" i="3"/>
  <c r="V131" i="3"/>
  <c r="V126" i="3"/>
  <c r="E43" i="3"/>
  <c r="D43" i="3"/>
  <c r="C43" i="3"/>
  <c r="D57" i="3"/>
  <c r="E57" i="3"/>
  <c r="C57" i="3"/>
  <c r="E97" i="3"/>
  <c r="D97" i="3"/>
  <c r="C97" i="3"/>
  <c r="E41" i="3"/>
  <c r="D41" i="3"/>
  <c r="C41" i="3"/>
  <c r="D38" i="3"/>
  <c r="E38" i="3"/>
  <c r="C38" i="3"/>
  <c r="E58" i="3"/>
  <c r="D58" i="3"/>
  <c r="C58" i="3"/>
  <c r="G110" i="3"/>
  <c r="C95" i="3"/>
  <c r="E95" i="3"/>
  <c r="D95" i="3"/>
  <c r="D40" i="3"/>
  <c r="E40" i="3"/>
  <c r="C40" i="3"/>
  <c r="X150" i="3"/>
  <c r="X145" i="3"/>
  <c r="X140" i="3"/>
  <c r="X135" i="3"/>
  <c r="X130" i="3"/>
  <c r="X125" i="3"/>
  <c r="C77" i="3"/>
  <c r="X149" i="3"/>
  <c r="X144" i="3"/>
  <c r="X139" i="3"/>
  <c r="X134" i="3"/>
  <c r="X129" i="3"/>
  <c r="X124" i="3"/>
  <c r="X153" i="3"/>
  <c r="X148" i="3"/>
  <c r="X143" i="3"/>
  <c r="X138" i="3"/>
  <c r="X133" i="3"/>
  <c r="X128" i="3"/>
  <c r="X123" i="3"/>
  <c r="D77" i="3"/>
  <c r="X152" i="3"/>
  <c r="X147" i="3"/>
  <c r="X142" i="3"/>
  <c r="X137" i="3"/>
  <c r="X132" i="3"/>
  <c r="X127" i="3"/>
  <c r="E77" i="3"/>
  <c r="X151" i="3"/>
  <c r="X146" i="3"/>
  <c r="X141" i="3"/>
  <c r="X136" i="3"/>
  <c r="X131" i="3"/>
  <c r="X126" i="3"/>
  <c r="C39" i="3"/>
  <c r="E39" i="3"/>
  <c r="D39" i="3"/>
  <c r="T150" i="3"/>
  <c r="T145" i="3"/>
  <c r="T140" i="3"/>
  <c r="T135" i="3"/>
  <c r="T130" i="3"/>
  <c r="T125" i="3"/>
  <c r="E75" i="3"/>
  <c r="D75" i="3"/>
  <c r="T149" i="3"/>
  <c r="T144" i="3"/>
  <c r="T139" i="3"/>
  <c r="T134" i="3"/>
  <c r="T129" i="3"/>
  <c r="T124" i="3"/>
  <c r="C75" i="3"/>
  <c r="T153" i="3"/>
  <c r="T148" i="3"/>
  <c r="T143" i="3"/>
  <c r="T138" i="3"/>
  <c r="T133" i="3"/>
  <c r="T128" i="3"/>
  <c r="T123" i="3"/>
  <c r="T152" i="3"/>
  <c r="T147" i="3"/>
  <c r="T142" i="3"/>
  <c r="T137" i="3"/>
  <c r="T132" i="3"/>
  <c r="T127" i="3"/>
  <c r="T151" i="3"/>
  <c r="T146" i="3"/>
  <c r="T141" i="3"/>
  <c r="T136" i="3"/>
  <c r="T131" i="3"/>
  <c r="T126" i="3"/>
  <c r="R127" i="3"/>
  <c r="R132" i="3"/>
  <c r="R137" i="3"/>
  <c r="R142" i="3"/>
  <c r="R147" i="3"/>
  <c r="R152" i="3"/>
  <c r="C79" i="3"/>
  <c r="S121" i="3"/>
  <c r="D79" i="3"/>
  <c r="E20" i="3"/>
  <c r="W121" i="3"/>
  <c r="R123" i="3"/>
  <c r="R128" i="3"/>
  <c r="R133" i="3"/>
  <c r="R138" i="3"/>
  <c r="R143" i="3"/>
  <c r="R148" i="3"/>
  <c r="R153" i="3"/>
  <c r="R124" i="3"/>
  <c r="R129" i="3"/>
  <c r="R134" i="3"/>
  <c r="R139" i="3"/>
  <c r="R144" i="3"/>
  <c r="R149" i="3"/>
  <c r="C20" i="3"/>
  <c r="D20" i="3"/>
  <c r="R125" i="3"/>
  <c r="R130" i="3"/>
  <c r="R135" i="3"/>
  <c r="R140" i="3"/>
  <c r="R145" i="3"/>
  <c r="R150" i="3"/>
  <c r="R126" i="3"/>
  <c r="R131" i="3"/>
  <c r="R136" i="3"/>
  <c r="R141" i="3"/>
  <c r="R146"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4" authorId="0" shapeId="0" xr:uid="{00000000-0006-0000-0400-000001000000}">
      <text>
        <r>
          <rPr>
            <sz val="11"/>
            <rFont val="Calibri"/>
          </rPr>
          <t>The Workspace ONE UEM server or platform must be configured to initiate a session lock after a 15-minute period of inactivity.</t>
        </r>
      </text>
    </comment>
    <comment ref="J35" authorId="0" shapeId="0" xr:uid="{00000000-0006-0000-0400-000002000000}">
      <text>
        <r>
          <rPr>
            <sz val="11"/>
            <rFont val="Calibri"/>
          </rPr>
          <t>The Workspace ONE UEM server must be protected by a DoD-approved firewall.</t>
        </r>
      </text>
    </comment>
    <comment ref="K35" authorId="0" shapeId="0" xr:uid="{00000000-0006-0000-0400-000004000000}">
      <text>
        <r>
          <rPr>
            <sz val="11"/>
            <rFont val="Calibri"/>
          </rPr>
          <t>The firewall protecting the Workspace ONE UEM server must be configured to restrict all network traffic to and from all addresses with the exception of ports, protocols, and IP address ranges required to support MDM server and platform functions.</t>
        </r>
      </text>
    </comment>
    <comment ref="L35" authorId="0" shapeId="0" xr:uid="{00000000-0006-0000-0400-000003000000}">
      <text>
        <r>
          <rPr>
            <sz val="11"/>
            <rFont val="Calibri"/>
          </rPr>
          <t>The firewall protecting the Workspace ONE UEM server must be configured so that only DoD-approved ports, protocols, and services are enabled. (See the DoD Ports, Protocols, Services Management [PPSM] Category Assurance Levels [CAL] list for DoD-approved ports, protocols, and services).</t>
        </r>
      </text>
    </comment>
    <comment ref="J41" authorId="0" shapeId="0" xr:uid="{00000000-0006-0000-0400-000005000000}">
      <text>
        <r>
          <rPr>
            <sz val="11"/>
            <rFont val="Calibri"/>
          </rPr>
          <t>The Workspace ONE UEM must enforce the limit of three consecutive invalid logon attempts by a user.</t>
        </r>
      </text>
    </comment>
    <comment ref="J48" authorId="0" shapeId="0" xr:uid="{00000000-0006-0000-0400-000006000000}">
      <text>
        <r>
          <rPr>
            <sz val="11"/>
            <rFont val="Calibri"/>
          </rPr>
          <t>The Workspace ONE UEM server must be configured to have at least one user in the following Administrator roles: Server primary administrator, security configuration administrator, device user group administrator, or auditor.</t>
        </r>
      </text>
    </comment>
    <comment ref="J49" authorId="0" shapeId="0" xr:uid="{00000000-0006-0000-0400-000007000000}">
      <text>
        <r>
          <rPr>
            <sz val="11"/>
            <rFont val="Calibri"/>
          </rPr>
          <t>All Workspace ONE UEM server local accounts created during application installation and configuration must be disabled or removed.</t>
        </r>
      </text>
    </comment>
    <comment ref="J50" authorId="0" shapeId="0" xr:uid="{00000000-0006-0000-0400-000008000000}">
      <text>
        <r>
          <rPr>
            <sz val="11"/>
            <rFont val="Calibri"/>
          </rPr>
          <t>The Workspace ONE UEM server must be configured to leverage the MDM platform user and administrator accounts and groups for Workspace ONE UEM server user identification and authentication.</t>
        </r>
      </text>
    </comment>
    <comment ref="J56" authorId="0" shapeId="0" xr:uid="{00000000-0006-0000-0400-000009000000}">
      <text>
        <r>
          <rPr>
            <sz val="11"/>
            <rFont val="Calibri"/>
          </rPr>
          <t>Authentication of MDM platform accounts must be configured so they are implemented via an enterprise directory service.</t>
        </r>
      </text>
    </comment>
    <comment ref="K56" authorId="0" shapeId="0" xr:uid="{00000000-0006-0000-0400-00000A000000}">
      <text>
        <r>
          <rPr>
            <sz val="11"/>
            <rFont val="Calibri"/>
          </rPr>
          <t>The Workspace ONE UEM must use multifactor authentication for local access to privileged accounts.</t>
        </r>
      </text>
    </comment>
    <comment ref="J63" authorId="0" shapeId="0" xr:uid="{00000000-0006-0000-0400-00000B000000}">
      <text>
        <r>
          <rPr>
            <sz val="11"/>
            <rFont val="Calibri"/>
          </rPr>
          <t>The Workspace ONE UEM server must be configured with a periodicity for reachable events of six hours or less for the following commands to the agent: 
- query connectivity status;
- query the current version of the MD firmware/software;
- query the current version of installed mobile applications;
- read audit logs kept by the MD.</t>
        </r>
      </text>
    </comment>
    <comment ref="J64" authorId="0" shapeId="0" xr:uid="{00000000-0006-0000-0400-00000C000000}">
      <text>
        <r>
          <rPr>
            <sz val="11"/>
            <rFont val="Calibri"/>
          </rPr>
          <t>The Workspace ONE UEM server must be configured with a periodicity for reachable events of six hours or less for the following commands to the agent: 
- query connectivity status;
- query the current version of the MD firmware/software;
- query the current version of installed mobile applications;
- read audit logs kept by the MD.</t>
        </r>
      </text>
    </comment>
    <comment ref="K64" authorId="0" shapeId="0" xr:uid="{00000000-0006-0000-0400-00000D000000}">
      <text>
        <r>
          <rPr>
            <sz val="11"/>
            <rFont val="Calibri"/>
          </rPr>
          <t>The Workspace ONE UEM server must be maintained at a supported version.</t>
        </r>
      </text>
    </comment>
    <comment ref="L64" authorId="0" shapeId="0" xr:uid="{00000000-0006-0000-0400-00000E000000}">
      <text>
        <r>
          <rPr>
            <sz val="11"/>
            <rFont val="Calibri"/>
          </rPr>
          <t>The MDM Agent must be configured to enable the following function: [selection: read audit logs of the MD].
This requirement is inherently met if the function is automatically implemented during MDM Agent install/device enrollment.</t>
        </r>
      </text>
    </comment>
    <comment ref="J77" authorId="0" shapeId="0" xr:uid="{00000000-0006-0000-0400-00000F000000}">
      <text>
        <r>
          <rPr>
            <sz val="11"/>
            <rFont val="Calibri"/>
          </rPr>
          <t>The Workspace ONE UEM server must be configured to transfer Workspace ONE UEM server logs to another server for storage, analysis, and reporting.
Note: Workspace ONE UEM server logs include logs of MDM events and logs transferred to the Workspace ONE UEM server by MDM agents of managed devices.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 authorId="0" shapeId="0" xr:uid="{00000000-0006-0000-0500-000001000000}">
      <text>
        <r>
          <rPr>
            <sz val="11"/>
            <rFont val="Calibri"/>
          </rPr>
          <t>The Workspace ONE UEM must enforce the limit of three consecutive invalid logon attempts by a user.</t>
        </r>
      </text>
    </comment>
    <comment ref="H3" authorId="0" shapeId="0" xr:uid="{00000000-0006-0000-0500-000002000000}">
      <text>
        <r>
          <rPr>
            <sz val="11"/>
            <rFont val="Calibri"/>
          </rPr>
          <t>The Workspace ONE UEM server must be configured to leverage the MDM platform user and administrator accounts and groups for Workspace ONE UEM server user identification and authentication.</t>
        </r>
      </text>
    </comment>
    <comment ref="H7" authorId="0" shapeId="0" xr:uid="{00000000-0006-0000-0500-000003000000}">
      <text>
        <r>
          <rPr>
            <sz val="11"/>
            <rFont val="Calibri"/>
          </rPr>
          <t>The Workspace ONE UEM server must be configured to transfer Workspace ONE UEM server logs to another server for storage, analysis, and reporting.
Note: Workspace ONE UEM server logs include logs of MDM events and logs transferred to the Workspace ONE UEM server by MDM agents of managed devices.</t>
        </r>
      </text>
    </comment>
    <comment ref="H16" authorId="0" shapeId="0" xr:uid="{00000000-0006-0000-0500-000004000000}">
      <text>
        <r>
          <rPr>
            <sz val="11"/>
            <rFont val="Calibri"/>
          </rPr>
          <t>The Workspace ONE UEM server must be configured with an enterprise certificate for signing policies (if function is not automatically implemented during Workspace ONE UEM server install).</t>
        </r>
      </text>
    </comment>
    <comment ref="H20" authorId="0" shapeId="0" xr:uid="{00000000-0006-0000-0500-000005000000}">
      <text>
        <r>
          <rPr>
            <sz val="11"/>
            <rFont val="Calibri"/>
          </rPr>
          <t>The Workspace ONE UEM server must be protected by a DoD-approved firewall.</t>
        </r>
      </text>
    </comment>
    <comment ref="I20" authorId="0" shapeId="0" xr:uid="{00000000-0006-0000-0500-000007000000}">
      <text>
        <r>
          <rPr>
            <sz val="11"/>
            <rFont val="Calibri"/>
          </rPr>
          <t>The firewall protecting the Workspace ONE UEM server must be configured to restrict all network traffic to and from all addresses with the exception of ports, protocols, and IP address ranges required to support MDM server and platform functions.</t>
        </r>
      </text>
    </comment>
    <comment ref="J20" authorId="0" shapeId="0" xr:uid="{00000000-0006-0000-0500-000006000000}">
      <text>
        <r>
          <rPr>
            <sz val="11"/>
            <rFont val="Calibri"/>
          </rPr>
          <t>The firewall protecting the Workspace ONE UEM server must be configured so that only DoD-approved ports, protocols, and services are enabled. (See the DoD Ports, Protocols, Services Management [PPSM] Category Assurance Levels [CAL] list for DoD-approved ports, protocols, and services).</t>
        </r>
      </text>
    </comment>
    <comment ref="H24" authorId="0" shapeId="0" xr:uid="{00000000-0006-0000-0500-000008000000}">
      <text>
        <r>
          <rPr>
            <sz val="11"/>
            <rFont val="Calibri"/>
          </rPr>
          <t>Authentication of MDM platform accounts must be configured so they are implemented via an enterprise directory service.</t>
        </r>
      </text>
    </comment>
    <comment ref="I24" authorId="0" shapeId="0" xr:uid="{00000000-0006-0000-0500-000009000000}">
      <text>
        <r>
          <rPr>
            <sz val="11"/>
            <rFont val="Calibri"/>
          </rPr>
          <t>The Workspace ONE UEM must use multifactor authentication for local access to privileged accounts.</t>
        </r>
      </text>
    </comment>
    <comment ref="H29" authorId="0" shapeId="0" xr:uid="{00000000-0006-0000-0500-00000A000000}">
      <text>
        <r>
          <rPr>
            <sz val="11"/>
            <rFont val="Calibri"/>
          </rPr>
          <t>The Workspace ONE UEM local accounts password must be configured with length of 15 characters.</t>
        </r>
      </text>
    </comment>
    <comment ref="I29" authorId="0" shapeId="0" xr:uid="{00000000-0006-0000-0500-00000C000000}">
      <text>
        <r>
          <rPr>
            <sz val="11"/>
            <rFont val="Calibri"/>
          </rPr>
          <t>The Workspace ONE UEM local accounts must be configured with at least one lowercase character, one uppercase character, one number, and one special character.</t>
        </r>
      </text>
    </comment>
    <comment ref="J29" authorId="0" shapeId="0" xr:uid="{00000000-0006-0000-0500-00000D000000}">
      <text>
        <r>
          <rPr>
            <sz val="11"/>
            <rFont val="Calibri"/>
          </rPr>
          <t>The Workspace ONE UEM local accounts must be configured with password maximum lifetime of 60 days.</t>
        </r>
      </text>
    </comment>
    <comment ref="K29" authorId="0" shapeId="0" xr:uid="{00000000-0006-0000-0500-00000B000000}">
      <text>
        <r>
          <rPr>
            <sz val="11"/>
            <rFont val="Calibri"/>
          </rPr>
          <t>The Workspace ONE UEM local accounts must prohibit password reuse for a minimum of five generations.</t>
        </r>
      </text>
    </comment>
    <comment ref="H31" authorId="0" shapeId="0" xr:uid="{00000000-0006-0000-0500-00000E000000}">
      <text>
        <r>
          <rPr>
            <sz val="11"/>
            <rFont val="Calibri"/>
          </rPr>
          <t>The Workspace ONE UEM server must be configured to have at least one user in the following Administrator roles: Server primary administrator, security configuration administrator, device user group administrator, or auditor.</t>
        </r>
      </text>
    </comment>
    <comment ref="I31" authorId="0" shapeId="0" xr:uid="{00000000-0006-0000-0500-00000F000000}">
      <text>
        <r>
          <rPr>
            <sz val="11"/>
            <rFont val="Calibri"/>
          </rPr>
          <t>All Workspace ONE UEM server local accounts created during application installation and configuration must be disabled or removed.</t>
        </r>
      </text>
    </comment>
    <comment ref="H41" authorId="0" shapeId="0" xr:uid="{00000000-0006-0000-0500-000010000000}">
      <text>
        <r>
          <rPr>
            <sz val="11"/>
            <rFont val="Calibri"/>
          </rPr>
          <t>The Workspace ONE UEM server must be configured with a periodicity for reachable events of six hours or less for the following commands to the agent: 
- query connectivity status;
- query the current version of the MD firmware/software;
- query the current version of installed mobile applications;
- read audit logs kept by the MD.</t>
        </r>
      </text>
    </comment>
    <comment ref="I41" authorId="0" shapeId="0" xr:uid="{00000000-0006-0000-0500-000011000000}">
      <text>
        <r>
          <rPr>
            <sz val="11"/>
            <rFont val="Calibri"/>
          </rPr>
          <t>The Workspace ONE UEM server must be maintained at a supported version.</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7" authorId="0" shapeId="0" xr:uid="{00000000-0006-0000-0600-000001000000}">
      <text>
        <r>
          <rPr>
            <sz val="11"/>
            <rFont val="Calibri"/>
          </rPr>
          <t>The Workspace ONE UEM server must be configured to have at least one user in the following Administrator roles: Server primary administrator, security configuration administrator, device user group administrator, or auditor.</t>
        </r>
      </text>
    </comment>
    <comment ref="J8" authorId="0" shapeId="0" xr:uid="{00000000-0006-0000-0600-000002000000}">
      <text>
        <r>
          <rPr>
            <sz val="11"/>
            <rFont val="Calibri"/>
          </rPr>
          <t>The Workspace ONE UEM server must be configured to have at least one user in the following Administrator roles: Server primary administrator, security configuration administrator, device user group administrator, or auditor.</t>
        </r>
      </text>
    </comment>
    <comment ref="J10" authorId="0" shapeId="0" xr:uid="{00000000-0006-0000-0600-000003000000}">
      <text>
        <r>
          <rPr>
            <sz val="11"/>
            <rFont val="Calibri"/>
          </rPr>
          <t>The Workspace ONE UEM must enforce the limit of three consecutive invalid logon attempts by a user.</t>
        </r>
      </text>
    </comment>
    <comment ref="J11" authorId="0" shapeId="0" xr:uid="{00000000-0006-0000-0600-000004000000}">
      <text>
        <r>
          <rPr>
            <sz val="11"/>
            <rFont val="Calibri"/>
          </rPr>
          <t>The Workspace ONE UEM server must be configured to display the required DoD warning banner upon administrator logon.
Note: This requirement is not applicable if the TOE platform is selected in FTA_TAB.1.1 in the Security Target (ST).</t>
        </r>
      </text>
    </comment>
    <comment ref="J12" authorId="0" shapeId="0" xr:uid="{00000000-0006-0000-0600-000005000000}">
      <text>
        <r>
          <rPr>
            <sz val="11"/>
            <rFont val="Calibri"/>
          </rPr>
          <t>The Workspace ONE UEM server or platform must be configured to initiate a session lock after a 15-minute period of inactivity.</t>
        </r>
      </text>
    </comment>
    <comment ref="J13" authorId="0" shapeId="0" xr:uid="{00000000-0006-0000-0600-000006000000}">
      <text>
        <r>
          <rPr>
            <sz val="11"/>
            <rFont val="Calibri"/>
          </rPr>
          <t>The Workspace ONE UEM server or platform must be configured to initiate a session lock after a 15-minute period of inactivity.</t>
        </r>
      </text>
    </comment>
    <comment ref="J23" authorId="0" shapeId="0" xr:uid="{00000000-0006-0000-0600-000007000000}">
      <text>
        <r>
          <rPr>
            <sz val="11"/>
            <rFont val="Calibri"/>
          </rPr>
          <t>The Workspace ONE UEM server must be configured to transfer Workspace ONE UEM server logs to another server for storage, analysis, and reporting.
Note: Workspace ONE UEM server logs include logs of MDM events and logs transferred to the Workspace ONE UEM server by MDM agents of managed devices.</t>
        </r>
      </text>
    </comment>
    <comment ref="J25" authorId="0" shapeId="0" xr:uid="{00000000-0006-0000-0600-000008000000}">
      <text>
        <r>
          <rPr>
            <sz val="11"/>
            <rFont val="Calibri"/>
          </rPr>
          <t>The Workspace ONE UEM server must be configured to transfer Workspace ONE UEM server logs to another server for storage, analysis, and reporting.
Note: Workspace ONE UEM server logs include logs of MDM events and logs transferred to the Workspace ONE UEM server by MDM agents of managed devices.</t>
        </r>
      </text>
    </comment>
    <comment ref="J43" authorId="0" shapeId="0" xr:uid="{00000000-0006-0000-0600-000009000000}">
      <text>
        <r>
          <rPr>
            <sz val="11"/>
            <rFont val="Calibri"/>
          </rPr>
          <t>The Workspace ONE UEM server must be configured to leverage the MDM platform user and administrator accounts and groups for Workspace ONE UEM server user identification and authentication.</t>
        </r>
      </text>
    </comment>
    <comment ref="K43" authorId="0" shapeId="0" xr:uid="{00000000-0006-0000-0600-00000A000000}">
      <text>
        <r>
          <rPr>
            <sz val="11"/>
            <rFont val="Calibri"/>
          </rPr>
          <t>All Workspace ONE UEM server local accounts created during application installation and configuration must be disabled or removed.</t>
        </r>
      </text>
    </comment>
    <comment ref="J45" authorId="0" shapeId="0" xr:uid="{00000000-0006-0000-0600-00000B000000}">
      <text>
        <r>
          <rPr>
            <sz val="11"/>
            <rFont val="Calibri"/>
          </rPr>
          <t>Authentication of MDM platform accounts must be configured so they are implemented via an enterprise directory service.</t>
        </r>
      </text>
    </comment>
    <comment ref="K45" authorId="0" shapeId="0" xr:uid="{00000000-0006-0000-0600-00000C000000}">
      <text>
        <r>
          <rPr>
            <sz val="11"/>
            <rFont val="Calibri"/>
          </rPr>
          <t>The Workspace ONE UEM must use multifactor authentication for local access to privileged accounts.</t>
        </r>
      </text>
    </comment>
    <comment ref="J48" authorId="0" shapeId="0" xr:uid="{00000000-0006-0000-0600-00000D000000}">
      <text>
        <r>
          <rPr>
            <sz val="11"/>
            <rFont val="Calibri"/>
          </rPr>
          <t>The Workspace ONE UEM local accounts password must be configured with length of 15 characters.</t>
        </r>
      </text>
    </comment>
    <comment ref="K48" authorId="0" shapeId="0" xr:uid="{00000000-0006-0000-0600-000010000000}">
      <text>
        <r>
          <rPr>
            <sz val="11"/>
            <rFont val="Calibri"/>
          </rPr>
          <t>The Workspace ONE UEM local accounts must be configured with at least one lowercase character, one uppercase character, one number, and one special character.</t>
        </r>
      </text>
    </comment>
    <comment ref="L48" authorId="0" shapeId="0" xr:uid="{00000000-0006-0000-0600-00000E000000}">
      <text>
        <r>
          <rPr>
            <sz val="11"/>
            <rFont val="Calibri"/>
          </rPr>
          <t>The Workspace ONE UEM local accounts must be configured with password maximum lifetime of 60 days.</t>
        </r>
      </text>
    </comment>
    <comment ref="M48" authorId="0" shapeId="0" xr:uid="{00000000-0006-0000-0600-00000F000000}">
      <text>
        <r>
          <rPr>
            <sz val="11"/>
            <rFont val="Calibri"/>
          </rPr>
          <t>The Workspace ONE UEM local accounts must prohibit password reuse for a minimum of five generations.</t>
        </r>
      </text>
    </comment>
    <comment ref="J90" authorId="0" shapeId="0" xr:uid="{00000000-0006-0000-0600-000011000000}">
      <text>
        <r>
          <rPr>
            <sz val="11"/>
            <rFont val="Calibri"/>
          </rPr>
          <t>The Workspace ONE UEM server must be protected by a DoD-approved firewall.</t>
        </r>
      </text>
    </comment>
    <comment ref="K90" authorId="0" shapeId="0" xr:uid="{00000000-0006-0000-0600-000012000000}">
      <text>
        <r>
          <rPr>
            <sz val="11"/>
            <rFont val="Calibri"/>
          </rPr>
          <t>The firewall protecting the Workspace ONE UEM server must be configured to restrict all network traffic to and from all addresses with the exception of ports, protocols, and IP address ranges required to support MDM server and platform functions.</t>
        </r>
      </text>
    </comment>
    <comment ref="L90" authorId="0" shapeId="0" xr:uid="{00000000-0006-0000-0600-000013000000}">
      <text>
        <r>
          <rPr>
            <sz val="11"/>
            <rFont val="Calibri"/>
          </rPr>
          <t>The firewall protecting the Workspace ONE UEM server must be configured so that only DoD-approved ports, protocols, and services are enabled. (See the DoD Ports, Protocols, Services Management [PPSM] Category Assurance Levels [CAL] list for DoD-approved ports, protocols, and services).</t>
        </r>
      </text>
    </comment>
    <comment ref="J91" authorId="0" shapeId="0" xr:uid="{00000000-0006-0000-0600-000014000000}">
      <text>
        <r>
          <rPr>
            <sz val="11"/>
            <rFont val="Calibri"/>
          </rPr>
          <t>The Workspace ONE UEM server must be configured with an enterprise certificate for signing policies (if function is not automatically implemented during Workspace ONE UEM server install).</t>
        </r>
      </text>
    </comment>
    <comment ref="J97" authorId="0" shapeId="0" xr:uid="{00000000-0006-0000-0600-000015000000}">
      <text>
        <r>
          <rPr>
            <sz val="11"/>
            <rFont val="Calibri"/>
          </rPr>
          <t>The Workspace ONE UEM server must be configured with an enterprise certificate for signing policies (if function is not automatically implemented during Workspace ONE UEM server install).</t>
        </r>
      </text>
    </comment>
    <comment ref="J99" authorId="0" shapeId="0" xr:uid="{00000000-0006-0000-0600-000016000000}">
      <text>
        <r>
          <rPr>
            <sz val="11"/>
            <rFont val="Calibri"/>
          </rPr>
          <t>The Workspace ONE UEM server must be configured with a periodicity for reachable events of six hours or less for the following commands to the agent: 
- query connectivity status;
- query the current version of the MD firmware/software;
- query the current version of installed mobile applications;
- read audit logs kept by the MD.</t>
        </r>
      </text>
    </comment>
    <comment ref="K99" authorId="0" shapeId="0" xr:uid="{00000000-0006-0000-0600-000017000000}">
      <text>
        <r>
          <rPr>
            <sz val="11"/>
            <rFont val="Calibri"/>
          </rPr>
          <t>The Workspace ONE UEM server must be maintained at a supported version.</t>
        </r>
      </text>
    </comment>
    <comment ref="L99" authorId="0" shapeId="0" xr:uid="{00000000-0006-0000-0600-000018000000}">
      <text>
        <r>
          <rPr>
            <sz val="11"/>
            <rFont val="Calibri"/>
          </rPr>
          <t>The MDM Agent must be configured to enable the following function: [selection: read audit logs of the MD].
This requirement is inherently met if the function is automatically implemented during MDM Agent install/device enrollment.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89" authorId="0" shapeId="0" xr:uid="{00000000-0006-0000-0700-000001000000}">
      <text>
        <r>
          <rPr>
            <sz val="11"/>
            <rFont val="Calibri"/>
          </rPr>
          <t>The Workspace ONE UEM server must be configured to leverage the MDM platform user and administrator accounts and groups for Workspace ONE UEM server user identification and authentication.</t>
        </r>
      </text>
    </comment>
    <comment ref="I89" authorId="0" shapeId="0" xr:uid="{00000000-0006-0000-0700-000007000000}">
      <text>
        <r>
          <rPr>
            <sz val="11"/>
            <rFont val="Calibri"/>
          </rPr>
          <t>All Workspace ONE UEM server local accounts created during application installation and configuration must be disabled or removed.</t>
        </r>
      </text>
    </comment>
    <comment ref="J89" authorId="0" shapeId="0" xr:uid="{00000000-0006-0000-0700-000002000000}">
      <text>
        <r>
          <rPr>
            <sz val="11"/>
            <rFont val="Calibri"/>
          </rPr>
          <t>The Workspace ONE UEM local accounts password must be configured with length of 15 characters.</t>
        </r>
      </text>
    </comment>
    <comment ref="K89" authorId="0" shapeId="0" xr:uid="{00000000-0006-0000-0700-000003000000}">
      <text>
        <r>
          <rPr>
            <sz val="11"/>
            <rFont val="Calibri"/>
          </rPr>
          <t>The Workspace ONE UEM local accounts must be configured with at least one lowercase character, one uppercase character, one number, and one special character.</t>
        </r>
      </text>
    </comment>
    <comment ref="L89" authorId="0" shapeId="0" xr:uid="{00000000-0006-0000-0700-000004000000}">
      <text>
        <r>
          <rPr>
            <sz val="11"/>
            <rFont val="Calibri"/>
          </rPr>
          <t>The Workspace ONE UEM local accounts must be configured with password maximum lifetime of 60 days.</t>
        </r>
      </text>
    </comment>
    <comment ref="M89" authorId="0" shapeId="0" xr:uid="{00000000-0006-0000-0700-000005000000}">
      <text>
        <r>
          <rPr>
            <sz val="11"/>
            <rFont val="Calibri"/>
          </rPr>
          <t>The Workspace ONE UEM local accounts must prohibit password reuse for a minimum of five generations.</t>
        </r>
      </text>
    </comment>
    <comment ref="N89" authorId="0" shapeId="0" xr:uid="{00000000-0006-0000-0700-000006000000}">
      <text>
        <r>
          <rPr>
            <sz val="11"/>
            <rFont val="Calibri"/>
          </rPr>
          <t>The Workspace ONE UEM must enforce the limit of three consecutive invalid logon attempts by a user.</t>
        </r>
      </text>
    </comment>
    <comment ref="H91" authorId="0" shapeId="0" xr:uid="{00000000-0006-0000-0700-000008000000}">
      <text>
        <r>
          <rPr>
            <sz val="11"/>
            <rFont val="Calibri"/>
          </rPr>
          <t>The Workspace ONE UEM server must be configured to leverage the MDM platform user and administrator accounts and groups for Workspace ONE UEM server user identification and authentication.</t>
        </r>
      </text>
    </comment>
    <comment ref="I91" authorId="0" shapeId="0" xr:uid="{00000000-0006-0000-0700-000009000000}">
      <text>
        <r>
          <rPr>
            <sz val="11"/>
            <rFont val="Calibri"/>
          </rPr>
          <t>Authentication of MDM platform accounts must be configured so they are implemented via an enterprise directory service.</t>
        </r>
      </text>
    </comment>
    <comment ref="J91" authorId="0" shapeId="0" xr:uid="{00000000-0006-0000-0700-00000A000000}">
      <text>
        <r>
          <rPr>
            <sz val="11"/>
            <rFont val="Calibri"/>
          </rPr>
          <t>The Workspace ONE UEM must use multifactor authentication for local access to privileged accounts.</t>
        </r>
      </text>
    </comment>
    <comment ref="H92" authorId="0" shapeId="0" xr:uid="{00000000-0006-0000-0700-00000B000000}">
      <text>
        <r>
          <rPr>
            <sz val="11"/>
            <rFont val="Calibri"/>
          </rPr>
          <t>The Workspace ONE UEM server must be configured with an enterprise certificate for signing policies (if function is not automatically implemented during Workspace ONE UEM server install).</t>
        </r>
      </text>
    </comment>
    <comment ref="I92" authorId="0" shapeId="0" xr:uid="{00000000-0006-0000-0700-00000C000000}">
      <text>
        <r>
          <rPr>
            <sz val="11"/>
            <rFont val="Calibri"/>
          </rPr>
          <t>Authentication of MDM platform accounts must be configured so they are implemented via an enterprise directory service.</t>
        </r>
      </text>
    </comment>
    <comment ref="J92" authorId="0" shapeId="0" xr:uid="{00000000-0006-0000-0700-00000D000000}">
      <text>
        <r>
          <rPr>
            <sz val="11"/>
            <rFont val="Calibri"/>
          </rPr>
          <t>The Workspace ONE UEM must use multifactor authentication for local access to privileged accounts.</t>
        </r>
      </text>
    </comment>
    <comment ref="H93" authorId="0" shapeId="0" xr:uid="{00000000-0006-0000-0700-00000E000000}">
      <text>
        <r>
          <rPr>
            <sz val="11"/>
            <rFont val="Calibri"/>
          </rPr>
          <t>The Workspace ONE UEM server or platform must be configured to initiate a session lock after a 15-minute period of inactivity.</t>
        </r>
      </text>
    </comment>
    <comment ref="I93" authorId="0" shapeId="0" xr:uid="{00000000-0006-0000-0700-00000F000000}">
      <text>
        <r>
          <rPr>
            <sz val="11"/>
            <rFont val="Calibri"/>
          </rPr>
          <t>The Workspace ONE UEM server must be configured to have at least one user in the following Administrator roles: Server primary administrator, security configuration administrator, device user group administrator, or auditor.</t>
        </r>
      </text>
    </comment>
    <comment ref="H134" authorId="0" shapeId="0" xr:uid="{00000000-0006-0000-0700-000010000000}">
      <text>
        <r>
          <rPr>
            <sz val="11"/>
            <rFont val="Calibri"/>
          </rPr>
          <t>The Workspace ONE UEM server must be protected by a DoD-approved firewall.</t>
        </r>
      </text>
    </comment>
    <comment ref="I134" authorId="0" shapeId="0" xr:uid="{00000000-0006-0000-0700-000011000000}">
      <text>
        <r>
          <rPr>
            <sz val="11"/>
            <rFont val="Calibri"/>
          </rPr>
          <t>The firewall protecting the Workspace ONE UEM server must be configured to restrict all network traffic to and from all addresses with the exception of ports, protocols, and IP address ranges required to support MDM server and platform functions.</t>
        </r>
      </text>
    </comment>
    <comment ref="J134" authorId="0" shapeId="0" xr:uid="{00000000-0006-0000-0700-000012000000}">
      <text>
        <r>
          <rPr>
            <sz val="11"/>
            <rFont val="Calibri"/>
          </rPr>
          <t>The firewall protecting the Workspace ONE UEM server must be configured so that only DoD-approved ports, protocols, and services are enabled. (See the DoD Ports, Protocols, Services Management [PPSM] Category Assurance Levels [CAL] list for DoD-approved ports, protocols, and services).</t>
        </r>
      </text>
    </comment>
    <comment ref="H143" authorId="0" shapeId="0" xr:uid="{00000000-0006-0000-0700-000013000000}">
      <text>
        <r>
          <rPr>
            <sz val="11"/>
            <rFont val="Calibri"/>
          </rPr>
          <t>The Workspace ONE UEM server must be configured with a periodicity for reachable events of six hours or less for the following commands to the agent: 
- query connectivity status;
- query the current version of the MD firmware/software;
- query the current version of installed mobile applications;
- read audit logs kept by the MD.</t>
        </r>
      </text>
    </comment>
    <comment ref="I143" authorId="0" shapeId="0" xr:uid="{00000000-0006-0000-0700-000014000000}">
      <text>
        <r>
          <rPr>
            <sz val="11"/>
            <rFont val="Calibri"/>
          </rPr>
          <t>The Workspace ONE UEM server must be maintained at a supported version.</t>
        </r>
      </text>
    </comment>
    <comment ref="J143" authorId="0" shapeId="0" xr:uid="{00000000-0006-0000-0700-000015000000}">
      <text>
        <r>
          <rPr>
            <sz val="11"/>
            <rFont val="Calibri"/>
          </rPr>
          <t>The MDM Agent must be configured to enable the following function: [selection: read audit logs of the MD].
This requirement is inherently met if the function is automatically implemented during MDM Agent install/device enrollment.</t>
        </r>
      </text>
    </comment>
    <comment ref="H145" authorId="0" shapeId="0" xr:uid="{00000000-0006-0000-0700-000016000000}">
      <text>
        <r>
          <rPr>
            <sz val="11"/>
            <rFont val="Calibri"/>
          </rPr>
          <t>The Workspace ONE UEM server must be configured to transfer Workspace ONE UEM server logs to another server for storage, analysis, and reporting.
Note: Workspace ONE UEM server logs include logs of MDM events and logs transferred to the Workspace ONE UEM server by MDM agents of managed devices.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The Workspace ONE UEM server must be protected by a DoD-approved firewall.</t>
        </r>
      </text>
    </comment>
    <comment ref="G46" authorId="0" shapeId="0" xr:uid="{00000000-0006-0000-0800-000002000000}">
      <text>
        <r>
          <rPr>
            <sz val="11"/>
            <rFont val="Calibri"/>
          </rPr>
          <t>The firewall protecting the Workspace ONE UEM server must be configured to restrict all network traffic to and from all addresses with the exception of ports, protocols, and IP address ranges required to support MDM server and platform functions.</t>
        </r>
      </text>
    </comment>
    <comment ref="G63" authorId="0" shapeId="0" xr:uid="{00000000-0006-0000-0800-000003000000}">
      <text>
        <r>
          <rPr>
            <sz val="11"/>
            <rFont val="Calibri"/>
          </rPr>
          <t>The Workspace ONE UEM server must be configured with a periodicity for reachable events of six hours or less for the following commands to the agent: 
- query connectivity status;
- query the current version of the MD firmware/software;
- query the current version of installed mobile applications;
- read audit logs kept by the MD.</t>
        </r>
      </text>
    </comment>
    <comment ref="G71" authorId="0" shapeId="0" xr:uid="{00000000-0006-0000-0800-000004000000}">
      <text>
        <r>
          <rPr>
            <sz val="11"/>
            <rFont val="Calibri"/>
          </rPr>
          <t>The Workspace ONE UEM server must be configured with a periodicity for reachable events of six hours or less for the following commands to the agent: 
- query connectivity status;
- query the current version of the MD firmware/software;
- query the current version of installed mobile applications;
- read audit logs kept by the MD.</t>
        </r>
      </text>
    </comment>
    <comment ref="G74" authorId="0" shapeId="0" xr:uid="{00000000-0006-0000-0800-000005000000}">
      <text>
        <r>
          <rPr>
            <sz val="11"/>
            <rFont val="Calibri"/>
          </rPr>
          <t>The Workspace ONE UEM server must be maintained at a supported version.</t>
        </r>
      </text>
    </comment>
    <comment ref="G81" authorId="0" shapeId="0" xr:uid="{00000000-0006-0000-0800-000006000000}">
      <text>
        <r>
          <rPr>
            <sz val="11"/>
            <rFont val="Calibri"/>
          </rPr>
          <t>The Workspace ONE UEM server must be configured to leverage the MDM platform user and administrator accounts and groups for Workspace ONE UEM server user identification and authentication.</t>
        </r>
      </text>
    </comment>
    <comment ref="H81" authorId="0" shapeId="0" xr:uid="{00000000-0006-0000-0800-000007000000}">
      <text>
        <r>
          <rPr>
            <sz val="11"/>
            <rFont val="Calibri"/>
          </rPr>
          <t>All Workspace ONE UEM server local accounts created during application installation and configuration must be disabled or removed.</t>
        </r>
      </text>
    </comment>
    <comment ref="G86" authorId="0" shapeId="0" xr:uid="{00000000-0006-0000-0800-000008000000}">
      <text>
        <r>
          <rPr>
            <sz val="11"/>
            <rFont val="Calibri"/>
          </rPr>
          <t>The Workspace ONE UEM server must be configured to have at least one user in the following Administrator roles: Server primary administrator, security configuration administrator, device user group administrator, or auditor.</t>
        </r>
      </text>
    </comment>
    <comment ref="G91" authorId="0" shapeId="0" xr:uid="{00000000-0006-0000-0800-000009000000}">
      <text>
        <r>
          <rPr>
            <sz val="11"/>
            <rFont val="Calibri"/>
          </rPr>
          <t>The Workspace ONE UEM local accounts must be configured with password maximum lifetime of 60 days.</t>
        </r>
      </text>
    </comment>
    <comment ref="H91" authorId="0" shapeId="0" xr:uid="{00000000-0006-0000-0800-00000A000000}">
      <text>
        <r>
          <rPr>
            <sz val="11"/>
            <rFont val="Calibri"/>
          </rPr>
          <t>The Workspace ONE UEM local accounts must prohibit password reuse for a minimum of five generations.</t>
        </r>
      </text>
    </comment>
    <comment ref="G92" authorId="0" shapeId="0" xr:uid="{00000000-0006-0000-0800-00000B000000}">
      <text>
        <r>
          <rPr>
            <sz val="11"/>
            <rFont val="Calibri"/>
          </rPr>
          <t>The Workspace ONE UEM local accounts password must be configured with length of 15 characters.</t>
        </r>
      </text>
    </comment>
    <comment ref="H92" authorId="0" shapeId="0" xr:uid="{00000000-0006-0000-0800-00000C000000}">
      <text>
        <r>
          <rPr>
            <sz val="11"/>
            <rFont val="Calibri"/>
          </rPr>
          <t>The Workspace ONE UEM local accounts must be configured with at least one lowercase character, one uppercase character, one number, and one special character.</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The Workspace ONE UEM server must be protected by a DoD-approved firewall.</t>
        </r>
      </text>
    </comment>
    <comment ref="L16" authorId="0" shapeId="0" xr:uid="{00000000-0006-0000-0A00-000002000000}">
      <text>
        <r>
          <rPr>
            <sz val="11"/>
            <rFont val="Calibri"/>
          </rPr>
          <t>The Workspace ONE UEM server must be protected by a DoD-approved firewall.</t>
        </r>
      </text>
    </comment>
    <comment ref="M16" authorId="0" shapeId="0" xr:uid="{00000000-0006-0000-0A00-000003000000}">
      <text>
        <r>
          <rPr>
            <sz val="11"/>
            <rFont val="Calibri"/>
          </rPr>
          <t>The firewall protecting the Workspace ONE UEM server must be configured to restrict all network traffic to and from all addresses with the exception of ports, protocols, and IP address ranges required to support MDM server and platform functions.</t>
        </r>
      </text>
    </comment>
    <comment ref="L17" authorId="0" shapeId="0" xr:uid="{00000000-0006-0000-0A00-000004000000}">
      <text>
        <r>
          <rPr>
            <sz val="11"/>
            <rFont val="Calibri"/>
          </rPr>
          <t>The firewall protecting the Workspace ONE UEM server must be configured to restrict all network traffic to and from all addresses with the exception of ports, protocols, and IP address ranges required to support MDM server and platform functions.</t>
        </r>
      </text>
    </comment>
    <comment ref="M17" authorId="0" shapeId="0" xr:uid="{00000000-0006-0000-0A00-000005000000}">
      <text>
        <r>
          <rPr>
            <sz val="11"/>
            <rFont val="Calibri"/>
          </rPr>
          <t>The firewall protecting the Workspace ONE UEM server must be configured so that only DoD-approved ports, protocols, and services are enabled. (See the DoD Ports, Protocols, Services Management [PPSM] Category Assurance Levels [CAL] list for DoD-approved ports, protocols, and services).</t>
        </r>
      </text>
    </comment>
    <comment ref="L119" authorId="0" shapeId="0" xr:uid="{00000000-0006-0000-0A00-000006000000}">
      <text>
        <r>
          <rPr>
            <sz val="11"/>
            <rFont val="Calibri"/>
          </rPr>
          <t>The Workspace ONE UEM server must be configured with a periodicity for reachable events of six hours or less for the following commands to the agent: 
- query connectivity status;
- query the current version of the MD firmware/software;
- query the current version of installed mobile applications;
- read audit logs kept by the MD.</t>
        </r>
      </text>
    </comment>
    <comment ref="M119" authorId="0" shapeId="0" xr:uid="{00000000-0006-0000-0A00-000007000000}">
      <text>
        <r>
          <rPr>
            <sz val="11"/>
            <rFont val="Calibri"/>
          </rPr>
          <t>The Workspace ONE UEM server must be maintained at a supported version.</t>
        </r>
      </text>
    </comment>
    <comment ref="L152" authorId="0" shapeId="0" xr:uid="{00000000-0006-0000-0A00-000008000000}">
      <text>
        <r>
          <rPr>
            <sz val="11"/>
            <rFont val="Calibri"/>
          </rPr>
          <t>The Workspace ONE UEM server must be configured to leverage the MDM platform user and administrator accounts and groups for Workspace ONE UEM server user identification and authentication.</t>
        </r>
      </text>
    </comment>
    <comment ref="L153" authorId="0" shapeId="0" xr:uid="{00000000-0006-0000-0A00-000009000000}">
      <text>
        <r>
          <rPr>
            <sz val="11"/>
            <rFont val="Calibri"/>
          </rPr>
          <t>All Workspace ONE UEM server local accounts created during application installation and configuration must be disabled or removed.</t>
        </r>
      </text>
    </comment>
    <comment ref="L159" authorId="0" shapeId="0" xr:uid="{00000000-0006-0000-0A00-00000A000000}">
      <text>
        <r>
          <rPr>
            <sz val="11"/>
            <rFont val="Calibri"/>
          </rPr>
          <t>The Workspace ONE UEM server or platform must be configured to initiate a session lock after a 15-minute period of inactivity.</t>
        </r>
      </text>
    </comment>
    <comment ref="L164" authorId="0" shapeId="0" xr:uid="{00000000-0006-0000-0A00-00000B000000}">
      <text>
        <r>
          <rPr>
            <sz val="11"/>
            <rFont val="Calibri"/>
          </rPr>
          <t>The Workspace ONE UEM must enforce the limit of three consecutive invalid logon attempts by a user.</t>
        </r>
      </text>
    </comment>
    <comment ref="L166" authorId="0" shapeId="0" xr:uid="{00000000-0006-0000-0A00-00000C000000}">
      <text>
        <r>
          <rPr>
            <sz val="11"/>
            <rFont val="Calibri"/>
          </rPr>
          <t>The Workspace ONE UEM local accounts password must be configured with length of 15 characters.</t>
        </r>
      </text>
    </comment>
    <comment ref="M166" authorId="0" shapeId="0" xr:uid="{00000000-0006-0000-0A00-00000D000000}">
      <text>
        <r>
          <rPr>
            <sz val="11"/>
            <rFont val="Calibri"/>
          </rPr>
          <t>The Workspace ONE UEM local accounts must be configured with at least one lowercase character, one uppercase character, one number, and one special character.</t>
        </r>
      </text>
    </comment>
    <comment ref="L167" authorId="0" shapeId="0" xr:uid="{00000000-0006-0000-0A00-00000E000000}">
      <text>
        <r>
          <rPr>
            <sz val="11"/>
            <rFont val="Calibri"/>
          </rPr>
          <t>The Workspace ONE UEM local accounts must prohibit password reuse for a minimum of five generations.</t>
        </r>
      </text>
    </comment>
    <comment ref="L169" authorId="0" shapeId="0" xr:uid="{00000000-0006-0000-0A00-00000F000000}">
      <text>
        <r>
          <rPr>
            <sz val="11"/>
            <rFont val="Calibri"/>
          </rPr>
          <t>The Workspace ONE UEM local accounts must be configured with password maximum lifetime of 60 days.</t>
        </r>
      </text>
    </comment>
    <comment ref="L174" authorId="0" shapeId="0" xr:uid="{00000000-0006-0000-0A00-000010000000}">
      <text>
        <r>
          <rPr>
            <sz val="11"/>
            <rFont val="Calibri"/>
          </rPr>
          <t>Authentication of MDM platform accounts must be configured so they are implemented via an enterprise directory service.</t>
        </r>
      </text>
    </comment>
    <comment ref="M174" authorId="0" shapeId="0" xr:uid="{00000000-0006-0000-0A00-000011000000}">
      <text>
        <r>
          <rPr>
            <sz val="11"/>
            <rFont val="Calibri"/>
          </rPr>
          <t>The Workspace ONE UEM must use multifactor authentication for local access to privileged accounts.</t>
        </r>
      </text>
    </comment>
    <comment ref="L180" authorId="0" shapeId="0" xr:uid="{00000000-0006-0000-0A00-000012000000}">
      <text>
        <r>
          <rPr>
            <sz val="11"/>
            <rFont val="Calibri"/>
          </rPr>
          <t>All Workspace ONE UEM server local accounts created during application installation and configuration must be disabled or removed.</t>
        </r>
      </text>
    </comment>
    <comment ref="L233" authorId="0" shapeId="0" xr:uid="{00000000-0006-0000-0A00-000013000000}">
      <text>
        <r>
          <rPr>
            <sz val="11"/>
            <rFont val="Calibri"/>
          </rPr>
          <t>The Workspace ONE UEM server must be configured to transfer Workspace ONE UEM server logs to another server for storage, analysis, and reporting.
Note: Workspace ONE UEM server logs include logs of MDM events and logs transferred to the Workspace ONE UEM server by MDM agents of managed devices.</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52" authorId="0" shapeId="0" xr:uid="{00000000-0006-0000-0B00-000001000000}">
      <text>
        <r>
          <rPr>
            <sz val="11"/>
            <rFont val="Calibri"/>
          </rPr>
          <t>The Workspace ONE UEM server must be configured with a periodicity for reachable events of six hours or less for the following commands to the agent: 
- query connectivity status;
- query the current version of the MD firmware/software;
- query the current version of installed mobile applications;
- read audit logs kept by the MD.</t>
        </r>
      </text>
    </comment>
    <comment ref="I252" authorId="0" shapeId="0" xr:uid="{00000000-0006-0000-0B00-000002000000}">
      <text>
        <r>
          <rPr>
            <sz val="11"/>
            <rFont val="Calibri"/>
          </rPr>
          <t>The Workspace ONE UEM server must be maintained at a supported version.</t>
        </r>
      </text>
    </comment>
    <comment ref="H308" authorId="0" shapeId="0" xr:uid="{00000000-0006-0000-0B00-000003000000}">
      <text>
        <r>
          <rPr>
            <sz val="11"/>
            <rFont val="Calibri"/>
          </rPr>
          <t>The Workspace ONE UEM server must be configured to have at least one user in the following Administrator roles: Server primary administrator, security configuration administrator, device user group administrator, or auditor.</t>
        </r>
      </text>
    </comment>
    <comment ref="H313" authorId="0" shapeId="0" xr:uid="{00000000-0006-0000-0B00-000004000000}">
      <text>
        <r>
          <rPr>
            <sz val="11"/>
            <rFont val="Calibri"/>
          </rPr>
          <t>All Workspace ONE UEM server local accounts created during application installation and configuration must be disabled or removed.</t>
        </r>
      </text>
    </comment>
    <comment ref="H317" authorId="0" shapeId="0" xr:uid="{00000000-0006-0000-0B00-000005000000}">
      <text>
        <r>
          <rPr>
            <sz val="11"/>
            <rFont val="Calibri"/>
          </rPr>
          <t>Authentication of MDM platform accounts must be configured so they are implemented via an enterprise directory service.</t>
        </r>
      </text>
    </comment>
    <comment ref="I317" authorId="0" shapeId="0" xr:uid="{00000000-0006-0000-0B00-000006000000}">
      <text>
        <r>
          <rPr>
            <sz val="11"/>
            <rFont val="Calibri"/>
          </rPr>
          <t>The Workspace ONE UEM must use multifactor authentication for local access to privileged accounts.</t>
        </r>
      </text>
    </comment>
    <comment ref="H360" authorId="0" shapeId="0" xr:uid="{00000000-0006-0000-0B00-000007000000}">
      <text>
        <r>
          <rPr>
            <sz val="11"/>
            <rFont val="Calibri"/>
          </rPr>
          <t>The Workspace ONE UEM server must be configured to transfer Workspace ONE UEM server logs to another server for storage, analysis, and reporting.
Note: Workspace ONE UEM server logs include logs of MDM events and logs transferred to the Workspace ONE UEM server by MDM agents of managed devices.</t>
        </r>
      </text>
    </comment>
  </commentList>
</comments>
</file>

<file path=xl/sharedStrings.xml><?xml version="1.0" encoding="utf-8"?>
<sst xmlns="http://schemas.openxmlformats.org/spreadsheetml/2006/main" count="11001" uniqueCount="5819">
  <si>
    <t>Id</t>
  </si>
  <si>
    <t>Title</t>
  </si>
  <si>
    <t>Severity</t>
  </si>
  <si>
    <t>MoSCoW</t>
  </si>
  <si>
    <t>OpsImpact</t>
  </si>
  <si>
    <t>Phase</t>
  </si>
  <si>
    <t>ImplStatus</t>
  </si>
  <si>
    <t>Notes</t>
  </si>
  <si>
    <t>Remediation</t>
  </si>
  <si>
    <t>Description</t>
  </si>
  <si>
    <t>Audit</t>
  </si>
  <si>
    <t>Status</t>
  </si>
  <si>
    <t>LogID</t>
  </si>
  <si>
    <t>V-221637</t>
  </si>
  <si>
    <r>
      <rPr>
        <sz val="11"/>
        <rFont val="Calibri"/>
      </rPr>
      <t>The Workspace ONE UEM server or platform must be configured to initiate a session lock after a 15-minute period of inactivity.</t>
    </r>
  </si>
  <si>
    <t>CAT II (Medium)</t>
  </si>
  <si>
    <t>Unassigned</t>
  </si>
  <si>
    <t>Unassessed</t>
  </si>
  <si>
    <t>Pending</t>
  </si>
  <si>
    <t/>
  </si>
  <si>
    <r>
      <rPr>
        <sz val="11"/>
        <color rgb="FF000000"/>
        <rFont val="Calibri"/>
      </rPr>
      <t>Configure the Workspace ONE UEM server or platform to lock the server after 15 minutes of inactivity.</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Authenticate to the Workspace ONE UEM console as the administrator.</t>
    </r>
    <r>
      <rPr>
        <sz val="11"/>
        <color rgb="FF000000"/>
        <rFont val="Calibri"/>
      </rPr>
      <t xml:space="preserve">
</t>
    </r>
    <r>
      <rPr>
        <sz val="11"/>
        <color rgb="FF000000"/>
        <rFont val="Calibri"/>
      </rPr>
      <t>2. Navigate to Groups &amp; Settings &gt;&gt; All Settings &gt;&gt; Admin &gt;&gt; Console Security &gt;&gt; Session Management.</t>
    </r>
    <r>
      <rPr>
        <sz val="11"/>
        <color rgb="FF000000"/>
        <rFont val="Calibri"/>
      </rPr>
      <t xml:space="preserve">
</t>
    </r>
    <r>
      <rPr>
        <sz val="11"/>
        <color rgb="FF000000"/>
        <rFont val="Calibri"/>
      </rPr>
      <t>3. Specify the value for "Idle Session Timeout" as 15 and click "Save".</t>
    </r>
  </si>
  <si>
    <r>
      <rPr>
        <sz val="11"/>
        <color rgb="FF000000"/>
        <rFont val="Calibri"/>
      </rPr>
      <t>A session time-out lock is a temporary action taken when a user (MDM system administrator) stops work and moves away from the immediate physical vicinity of the information system but does not log out because of the temporary nature of the absence. Rather than relying on the user to manually lock their application session prior to vacating the vicinity, applications need to be able to identify when a user's application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 This is typically at the operating system level and results in a system lock, but may be at the application level where the application interface window is secured instead.</t>
    </r>
    <r>
      <rPr>
        <sz val="11"/>
        <color rgb="FF000000"/>
        <rFont val="Calibri"/>
      </rPr>
      <t xml:space="preserve">
</t>
    </r>
    <r>
      <rPr>
        <sz val="11"/>
        <color rgb="FF000000"/>
        <rFont val="Calibri"/>
      </rPr>
      <t>SFR ID: FMT_SMF.1.1(2) c.8</t>
    </r>
  </si>
  <si>
    <r>
      <rPr>
        <sz val="11"/>
        <color rgb="FF000000"/>
        <rFont val="Calibri"/>
      </rPr>
      <t>Review the Workspace ONE UEM server or platform configuration and verify the server is configured to lock after 15 minutes of inactivity.</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Authenticate to the Workspace ONE UEM console as the administrator.</t>
    </r>
    <r>
      <rPr>
        <sz val="11"/>
        <color rgb="FF000000"/>
        <rFont val="Calibri"/>
      </rPr>
      <t xml:space="preserve">
</t>
    </r>
    <r>
      <rPr>
        <sz val="11"/>
        <color rgb="FF000000"/>
        <rFont val="Calibri"/>
      </rPr>
      <t>2. Navigate to Groups &amp; Settings &gt;&gt; All Settings &gt;&gt; Admin &gt;&gt; Console Security &gt;&gt; Session Management.</t>
    </r>
    <r>
      <rPr>
        <sz val="11"/>
        <color rgb="FF000000"/>
        <rFont val="Calibri"/>
      </rPr>
      <t xml:space="preserve">
</t>
    </r>
    <r>
      <rPr>
        <sz val="11"/>
        <color rgb="FF000000"/>
        <rFont val="Calibri"/>
      </rPr>
      <t>3. Examine value present in "Idle Session Timeout" (value is number of minutes).</t>
    </r>
    <r>
      <rPr>
        <sz val="11"/>
        <color rgb="FF000000"/>
        <rFont val="Calibri"/>
      </rPr>
      <t xml:space="preserve">
</t>
    </r>
    <r>
      <rPr>
        <sz val="11"/>
        <color rgb="FF000000"/>
        <rFont val="Calibri"/>
      </rPr>
      <t>If the MDM console [configuration setting] is not set to 15 minutes or less, this is a finding.</t>
    </r>
  </si>
  <si>
    <t>V-221638</t>
  </si>
  <si>
    <r>
      <rPr>
        <sz val="11"/>
        <rFont val="Calibri"/>
      </rPr>
      <t>The Workspace ONE UEM server must be configured with an enterprise certificate for signing policies (if function is not automatically implemented during Workspace ONE UEM server install).</t>
    </r>
  </si>
  <si>
    <r>
      <rPr>
        <sz val="11"/>
        <color rgb="FF000000"/>
        <rFont val="Calibri"/>
      </rPr>
      <t>Configure the Workspace ONE UEM server with an enterprise certificate for signing policies.</t>
    </r>
    <r>
      <rPr>
        <sz val="11"/>
        <color rgb="FF000000"/>
        <rFont val="Calibri"/>
      </rPr>
      <t xml:space="preserve">
</t>
    </r>
    <r>
      <rPr>
        <sz val="11"/>
        <color rgb="FF000000"/>
        <rFont val="Calibri"/>
      </rPr>
      <t>To enable the presence of the "Policy Signing Certificate" choice on the Workspace ONE UEM (MDM) console, execute the following database query on the Server after logging in with database administrative privilege:</t>
    </r>
    <r>
      <rPr>
        <sz val="11"/>
        <color rgb="FF000000"/>
        <rFont val="Calibri"/>
      </rPr>
      <t xml:space="preserve">
</t>
    </r>
    <r>
      <rPr>
        <sz val="11"/>
        <color rgb="FF000000"/>
        <rFont val="Calibri"/>
      </rPr>
      <t>UPDATE dbo.SystemCodeCategory</t>
    </r>
    <r>
      <rPr>
        <sz val="11"/>
        <color rgb="FF000000"/>
        <rFont val="Calibri"/>
      </rPr>
      <t xml:space="preserve">
</t>
    </r>
    <r>
      <rPr>
        <sz val="11"/>
        <color rgb="FF000000"/>
        <rFont val="Calibri"/>
      </rPr>
      <t>SET ResourceID = 7192</t>
    </r>
    <r>
      <rPr>
        <sz val="11"/>
        <color rgb="FF000000"/>
        <rFont val="Calibri"/>
      </rPr>
      <t xml:space="preserve">
</t>
    </r>
    <r>
      <rPr>
        <sz val="11"/>
        <color rgb="FF000000"/>
        <rFont val="Calibri"/>
      </rPr>
      <t>WHERE SystemCodeCategoryID = 370</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Authenticate to the Workspace ONE UEM console as the administrator.</t>
    </r>
    <r>
      <rPr>
        <sz val="11"/>
        <color rgb="FF000000"/>
        <rFont val="Calibri"/>
      </rPr>
      <t xml:space="preserve">
</t>
    </r>
    <r>
      <rPr>
        <sz val="11"/>
        <color rgb="FF000000"/>
        <rFont val="Calibri"/>
      </rPr>
      <t>2. Navigate to Groups &amp; Settings &gt;&gt; All Settings &gt;&gt; System &gt;&gt; Advanced &gt;&gt; Policy Signing Certificate.</t>
    </r>
    <r>
      <rPr>
        <sz val="11"/>
        <color rgb="FF000000"/>
        <rFont val="Calibri"/>
      </rPr>
      <t xml:space="preserve">
</t>
    </r>
    <r>
      <rPr>
        <sz val="11"/>
        <color rgb="FF000000"/>
        <rFont val="Calibri"/>
      </rPr>
      <t>3. Upload the valid Policy Signing Certificate to the Workspace ONE UEM server to configure the Workspace ONE UEM Agents.</t>
    </r>
    <r>
      <rPr>
        <sz val="11"/>
        <color rgb="FF000000"/>
        <rFont val="Calibri"/>
      </rPr>
      <t xml:space="preserve">
</t>
    </r>
    <r>
      <rPr>
        <sz val="11"/>
        <color rgb="FF000000"/>
        <rFont val="Calibri"/>
      </rPr>
      <t>For Android:</t>
    </r>
    <r>
      <rPr>
        <sz val="11"/>
        <color rgb="FF000000"/>
        <rFont val="Calibri"/>
      </rPr>
      <t xml:space="preserve">
</t>
    </r>
    <r>
      <rPr>
        <sz val="11"/>
        <color rgb="FF000000"/>
        <rFont val="Calibri"/>
      </rPr>
      <t>Once a Policy Signing Certificate is uploaded, no additional configuration is necessary.</t>
    </r>
    <r>
      <rPr>
        <sz val="11"/>
        <color rgb="FF000000"/>
        <rFont val="Calibri"/>
      </rPr>
      <t xml:space="preserve">
</t>
    </r>
    <r>
      <rPr>
        <sz val="11"/>
        <color rgb="FF000000"/>
        <rFont val="Calibri"/>
      </rPr>
      <t>To configure the Apple iOS MDM Agent:</t>
    </r>
    <r>
      <rPr>
        <sz val="11"/>
        <color rgb="FF000000"/>
        <rFont val="Calibri"/>
      </rPr>
      <t xml:space="preserve">
</t>
    </r>
    <r>
      <rPr>
        <sz val="11"/>
        <color rgb="FF000000"/>
        <rFont val="Calibri"/>
      </rPr>
      <t>a. Navigate to Groups &amp; Settings &gt;&gt; All Settings &gt;&gt; Devices &amp; Users &gt;&gt; Apple &gt;&gt; Profiles.</t>
    </r>
    <r>
      <rPr>
        <sz val="11"/>
        <color rgb="FF000000"/>
        <rFont val="Calibri"/>
      </rPr>
      <t xml:space="preserve">
</t>
    </r>
    <r>
      <rPr>
        <sz val="11"/>
        <color rgb="FF000000"/>
        <rFont val="Calibri"/>
      </rPr>
      <t>b. Ensure "ENABLED" is selected for "Sign Profiles (Requires Server SSL Certificate).</t>
    </r>
    <r>
      <rPr>
        <sz val="11"/>
        <color rgb="FF000000"/>
        <rFont val="Calibri"/>
      </rPr>
      <t xml:space="preserve">
</t>
    </r>
    <r>
      <rPr>
        <sz val="11"/>
        <color rgb="FF000000"/>
        <rFont val="Calibri"/>
      </rPr>
      <t>c. Click "UPLOAD" to upload a Signing Certificate and then click "SAVE".</t>
    </r>
    <r>
      <rPr>
        <sz val="11"/>
        <color rgb="FF000000"/>
        <rFont val="Calibri"/>
      </rPr>
      <t xml:space="preserve">
</t>
    </r>
    <r>
      <rPr>
        <sz val="11"/>
        <color rgb="FF000000"/>
        <rFont val="Calibri"/>
      </rPr>
      <t>To update or replace a Policy Signing Certificate:</t>
    </r>
    <r>
      <rPr>
        <sz val="11"/>
        <color rgb="FF000000"/>
        <rFont val="Calibri"/>
      </rPr>
      <t xml:space="preserve">
</t>
    </r>
    <r>
      <rPr>
        <sz val="11"/>
        <color rgb="FF000000"/>
        <rFont val="Calibri"/>
      </rPr>
      <t>a. Navigate to Groups &amp; Settings &gt;&gt; All Settings &gt;&gt; System &gt;&gt; Advanced &gt;&gt; Policy Signing Certificate.</t>
    </r>
    <r>
      <rPr>
        <sz val="11"/>
        <color rgb="FF000000"/>
        <rFont val="Calibri"/>
      </rPr>
      <t xml:space="preserve">
</t>
    </r>
    <r>
      <rPr>
        <sz val="11"/>
        <color rgb="FF000000"/>
        <rFont val="Calibri"/>
      </rPr>
      <t>b. Click "Replace", "Choose File", and "Upload" to upload the new certificate, then click "Save" to configure the enterprise certificate for signing policies.</t>
    </r>
    <r>
      <rPr>
        <sz val="11"/>
        <color rgb="FF000000"/>
        <rFont val="Calibri"/>
      </rPr>
      <t xml:space="preserve">
</t>
    </r>
    <r>
      <rPr>
        <sz val="11"/>
        <color rgb="FF000000"/>
        <rFont val="Calibri"/>
      </rPr>
      <t>c. Verify that the Policy Signing Certificate properties have been updated.</t>
    </r>
    <r>
      <rPr>
        <sz val="11"/>
        <color rgb="FF000000"/>
        <rFont val="Calibri"/>
      </rPr>
      <t xml:space="preserve">
</t>
    </r>
    <r>
      <rPr>
        <sz val="11"/>
        <color rgb="FF000000"/>
        <rFont val="Calibri"/>
      </rPr>
      <t>For Android:</t>
    </r>
    <r>
      <rPr>
        <sz val="11"/>
        <color rgb="FF000000"/>
        <rFont val="Calibri"/>
      </rPr>
      <t xml:space="preserve">
</t>
    </r>
    <r>
      <rPr>
        <sz val="11"/>
        <color rgb="FF000000"/>
        <rFont val="Calibri"/>
      </rPr>
      <t>Once a new Policy Signing Certificate is uploaded, no additional configuration is necessary.</t>
    </r>
    <r>
      <rPr>
        <sz val="11"/>
        <color rgb="FF000000"/>
        <rFont val="Calibri"/>
      </rPr>
      <t xml:space="preserve">
</t>
    </r>
    <r>
      <rPr>
        <sz val="11"/>
        <color rgb="FF000000"/>
        <rFont val="Calibri"/>
      </rPr>
      <t>To update the Apple iOS MDM Agent:</t>
    </r>
    <r>
      <rPr>
        <sz val="11"/>
        <color rgb="FF000000"/>
        <rFont val="Calibri"/>
      </rPr>
      <t xml:space="preserve">
</t>
    </r>
    <r>
      <rPr>
        <sz val="11"/>
        <color rgb="FF000000"/>
        <rFont val="Calibri"/>
      </rPr>
      <t>a. Navigate to Groups &amp; Settings &gt;&gt; All Settings &gt;&gt; Devices &amp; Users &gt;&gt; Apple &gt;&gt; Profiles.</t>
    </r>
    <r>
      <rPr>
        <sz val="11"/>
        <color rgb="FF000000"/>
        <rFont val="Calibri"/>
      </rPr>
      <t xml:space="preserve">
</t>
    </r>
    <r>
      <rPr>
        <sz val="11"/>
        <color rgb="FF000000"/>
        <rFont val="Calibri"/>
      </rPr>
      <t>b. Click "Override" for Current Setting".</t>
    </r>
    <r>
      <rPr>
        <sz val="11"/>
        <color rgb="FF000000"/>
        <rFont val="Calibri"/>
      </rPr>
      <t xml:space="preserve">
</t>
    </r>
    <r>
      <rPr>
        <sz val="11"/>
        <color rgb="FF000000"/>
        <rFont val="Calibri"/>
      </rPr>
      <t>c. Click "REPLACE" to upload a new Signing Certificate, upload the certificate, and then click "SAVE".</t>
    </r>
    <r>
      <rPr>
        <sz val="11"/>
        <color rgb="FF000000"/>
        <rFont val="Calibri"/>
      </rPr>
      <t xml:space="preserve">
</t>
    </r>
    <r>
      <rPr>
        <sz val="11"/>
        <color rgb="FF000000"/>
        <rFont val="Calibri"/>
      </rPr>
      <t>d. Verify that the Policy Signing Certificate properties have been updated.</t>
    </r>
  </si>
  <si>
    <r>
      <rPr>
        <sz val="11"/>
        <color rgb="FF000000"/>
        <rFont val="Calibri"/>
      </rPr>
      <t>It is critical that only authorized certificates are used for key activities such as code signing for system software updates, code signing for integrity verification, and policy signing. Otherwise, there is no assurance that a malicious actor has not inserted itself in the process of packaging the code or policy. For example, messages signed with an invalid certificate may contain links to malware, which could lead to the installation or distribution of that malware on DoD information systems, leading to compromise of DoD sensitive information and other attacks. Therefore, the Workspace ONE UEM server must have the capability to configure the enterprise certificate.</t>
    </r>
    <r>
      <rPr>
        <sz val="11"/>
        <color rgb="FF000000"/>
        <rFont val="Calibri"/>
      </rPr>
      <t xml:space="preserve">
</t>
    </r>
    <r>
      <rPr>
        <sz val="11"/>
        <color rgb="FF000000"/>
        <rFont val="Calibri"/>
      </rPr>
      <t>SFR ID: FMT_SMF.1.1(2) c.8,</t>
    </r>
    <r>
      <rPr>
        <sz val="11"/>
        <color rgb="FF000000"/>
        <rFont val="Calibri"/>
      </rPr>
      <t xml:space="preserve">
</t>
    </r>
    <r>
      <rPr>
        <sz val="11"/>
        <color rgb="FF000000"/>
        <rFont val="Calibri"/>
      </rPr>
      <t>FMT_POL_EXT.1.1</t>
    </r>
  </si>
  <si>
    <r>
      <rPr>
        <sz val="11"/>
        <color rgb="FF000000"/>
        <rFont val="Calibri"/>
      </rPr>
      <t>Review the Workspace ONE UEM server configuration settings and verify the server is configured with an enterprise certificate for signing policies.</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Authenticate to the Workspace ONE UEM console as the administrator.</t>
    </r>
    <r>
      <rPr>
        <sz val="11"/>
        <color rgb="FF000000"/>
        <rFont val="Calibri"/>
      </rPr>
      <t xml:space="preserve">
</t>
    </r>
    <r>
      <rPr>
        <sz val="11"/>
        <color rgb="FF000000"/>
        <rFont val="Calibri"/>
      </rPr>
      <t>2. Navigate to Groups &amp; Settings &gt;&gt; All Settings &gt;&gt; System &gt;&gt; Advanced &gt;&gt; Policy Signing Certificate.</t>
    </r>
    <r>
      <rPr>
        <sz val="11"/>
        <color rgb="FF000000"/>
        <rFont val="Calibri"/>
      </rPr>
      <t xml:space="preserve">
</t>
    </r>
    <r>
      <rPr>
        <sz val="11"/>
        <color rgb="FF000000"/>
        <rFont val="Calibri"/>
      </rPr>
      <t>If the "Policy Signing Certificate" choice is not present under "Advanced", this is a finding.</t>
    </r>
    <r>
      <rPr>
        <sz val="11"/>
        <color rgb="FF000000"/>
        <rFont val="Calibri"/>
      </rPr>
      <t xml:space="preserve">
</t>
    </r>
    <r>
      <rPr>
        <sz val="11"/>
        <color rgb="FF000000"/>
        <rFont val="Calibri"/>
      </rPr>
      <t>If the "Policy Signing Certificate" choice is present, but the Workspace ONE UEM server is not configured with an enterprise certificate for signing policies, this is a finding.</t>
    </r>
    <r>
      <rPr>
        <sz val="11"/>
        <color rgb="FF000000"/>
        <rFont val="Calibri"/>
      </rPr>
      <t xml:space="preserve">
</t>
    </r>
    <r>
      <rPr>
        <sz val="11"/>
        <color rgb="FF000000"/>
        <rFont val="Calibri"/>
      </rPr>
      <t>For Android:</t>
    </r>
    <r>
      <rPr>
        <sz val="11"/>
        <color rgb="FF000000"/>
        <rFont val="Calibri"/>
      </rPr>
      <t xml:space="preserve">
</t>
    </r>
    <r>
      <rPr>
        <sz val="11"/>
        <color rgb="FF000000"/>
        <rFont val="Calibri"/>
      </rPr>
      <t>No additional checks are required.</t>
    </r>
    <r>
      <rPr>
        <sz val="11"/>
        <color rgb="FF000000"/>
        <rFont val="Calibri"/>
      </rPr>
      <t xml:space="preserve">
</t>
    </r>
    <r>
      <rPr>
        <sz val="11"/>
        <color rgb="FF000000"/>
        <rFont val="Calibri"/>
      </rPr>
      <t>For iOS:</t>
    </r>
    <r>
      <rPr>
        <sz val="11"/>
        <color rgb="FF000000"/>
        <rFont val="Calibri"/>
      </rPr>
      <t xml:space="preserve">
</t>
    </r>
    <r>
      <rPr>
        <sz val="11"/>
        <color rgb="FF000000"/>
        <rFont val="Calibri"/>
      </rPr>
      <t>3. Navigate to Groups &amp; Settings &gt;&gt; All Settings &gt;&gt; Devices &amp; Users &gt;&gt; Apple &gt;&gt; Profiles.</t>
    </r>
    <r>
      <rPr>
        <sz val="11"/>
        <color rgb="FF000000"/>
        <rFont val="Calibri"/>
      </rPr>
      <t xml:space="preserve">
</t>
    </r>
    <r>
      <rPr>
        <sz val="11"/>
        <color rgb="FF000000"/>
        <rFont val="Calibri"/>
      </rPr>
      <t>If "Sign Profiles" (Requires Server SSL Certificate)" is set to "DISABLED" or is set to "ENABLED" and no signing certificate is listed, this is a finding.</t>
    </r>
  </si>
  <si>
    <t>V-221640</t>
  </si>
  <si>
    <r>
      <rPr>
        <sz val="11"/>
        <rFont val="Calibri"/>
      </rPr>
      <t>The Workspace ONE UEM server must be configured to transfer Workspace ONE UEM server logs to another server for storage, analysis, and reporting. Note: Workspace ONE UEM server logs include logs of MDM events and logs transferred to the Workspace ONE UEM server by MDM agents of managed devices.</t>
    </r>
  </si>
  <si>
    <r>
      <rPr>
        <sz val="11"/>
        <color rgb="FF000000"/>
        <rFont val="Calibri"/>
      </rPr>
      <t>Configure the Workspace ONE UEM server to transfer Workspace ONE UEM server logs to another server for storage, analysis, and reporting.</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Authenticate to the Workspace ONE UEM console as the administrator.</t>
    </r>
    <r>
      <rPr>
        <sz val="11"/>
        <color rgb="FF000000"/>
        <rFont val="Calibri"/>
      </rPr>
      <t xml:space="preserve">
</t>
    </r>
    <r>
      <rPr>
        <sz val="11"/>
        <color rgb="FF000000"/>
        <rFont val="Calibri"/>
      </rPr>
      <t>2. Navigate to Groups &amp; Settings &gt;&gt; All Settings &gt;&gt; System &gt;&gt; Enterprise Integration &gt;&gt; Syslog.</t>
    </r>
    <r>
      <rPr>
        <sz val="11"/>
        <color rgb="FF000000"/>
        <rFont val="Calibri"/>
      </rPr>
      <t xml:space="preserve">
</t>
    </r>
    <r>
      <rPr>
        <sz val="11"/>
        <color rgb="FF000000"/>
        <rFont val="Calibri"/>
      </rPr>
      <t>3. Set "Syslog Integration" to "ENABLED".</t>
    </r>
    <r>
      <rPr>
        <sz val="11"/>
        <color rgb="FF000000"/>
        <rFont val="Calibri"/>
      </rPr>
      <t xml:space="preserve">
</t>
    </r>
    <r>
      <rPr>
        <sz val="11"/>
        <color rgb="FF000000"/>
        <rFont val="Calibri"/>
      </rPr>
      <t>4. Configure syslog server hostname, protocol, port, syslog facility, message tag, message content according to organizational standards.</t>
    </r>
    <r>
      <rPr>
        <sz val="11"/>
        <color rgb="FF000000"/>
        <rFont val="Calibri"/>
      </rPr>
      <t xml:space="preserve">
</t>
    </r>
    <r>
      <rPr>
        <sz val="11"/>
        <color rgb="FF000000"/>
        <rFont val="Calibri"/>
      </rPr>
      <t>5. Click "SAVE".</t>
    </r>
    <r>
      <rPr>
        <sz val="11"/>
        <color rgb="FF000000"/>
        <rFont val="Calibri"/>
      </rPr>
      <t xml:space="preserve">
</t>
    </r>
    <r>
      <rPr>
        <sz val="11"/>
        <color rgb="FF000000"/>
        <rFont val="Calibri"/>
      </rPr>
      <t>6. Verify changes save successfully and Workspace ONE UEM server can transfer audit logs to the new syslog server.</t>
    </r>
  </si>
  <si>
    <r>
      <rPr>
        <sz val="11"/>
        <color rgb="FF000000"/>
        <rFont val="Calibri"/>
      </rPr>
      <t>Audit logs enable monitoring of security-relevant events and subsequent forensics when breaches occur. Since the Workspace ONE UEM server has limited capability to store mobile device log files and perform analysis and reporting of mobile device log files, the Workspace ONE UEM server must have the capability to transfer log files to an audit log management server.</t>
    </r>
    <r>
      <rPr>
        <sz val="11"/>
        <color rgb="FF000000"/>
        <rFont val="Calibri"/>
      </rPr>
      <t xml:space="preserve">
</t>
    </r>
    <r>
      <rPr>
        <sz val="11"/>
        <color rgb="FF000000"/>
        <rFont val="Calibri"/>
      </rPr>
      <t>SFR ID: FMT_SMF.1.1(2) c.8, FAU_STG_EXT.1.1(1)</t>
    </r>
  </si>
  <si>
    <r>
      <rPr>
        <sz val="11"/>
        <color rgb="FF000000"/>
        <rFont val="Calibri"/>
      </rPr>
      <t>Review the Workspace ONE UEM server configuration settings and verify the server is configured to transfer Workspace ONE UEM server logs to another server for storage, analysis, and reporting.</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Authenticate to the Workspace ONE UEM console as the administrator.</t>
    </r>
    <r>
      <rPr>
        <sz val="11"/>
        <color rgb="FF000000"/>
        <rFont val="Calibri"/>
      </rPr>
      <t xml:space="preserve">
</t>
    </r>
    <r>
      <rPr>
        <sz val="11"/>
        <color rgb="FF000000"/>
        <rFont val="Calibri"/>
      </rPr>
      <t>2. Navigate to Groups &amp; Settings &gt;&gt; All Settings &gt;&gt; System &gt;&gt; Enterprise Integration &gt;&gt; Syslog.</t>
    </r>
    <r>
      <rPr>
        <sz val="11"/>
        <color rgb="FF000000"/>
        <rFont val="Calibri"/>
      </rPr>
      <t xml:space="preserve">
</t>
    </r>
    <r>
      <rPr>
        <sz val="11"/>
        <color rgb="FF000000"/>
        <rFont val="Calibri"/>
      </rPr>
      <t>3. If "Syslog Integration" is set to "DISABLED", this is a finding.</t>
    </r>
    <r>
      <rPr>
        <sz val="11"/>
        <color rgb="FF000000"/>
        <rFont val="Calibri"/>
      </rPr>
      <t xml:space="preserve">
</t>
    </r>
    <r>
      <rPr>
        <sz val="11"/>
        <color rgb="FF000000"/>
        <rFont val="Calibri"/>
      </rPr>
      <t>4. Examine the syslog configuration (server hostname, protocol, port, syslog facility, message tag, message content) for conformance with operational standards. If any are not set according to the standards, this is a finding.</t>
    </r>
    <r>
      <rPr>
        <sz val="11"/>
        <color rgb="FF000000"/>
        <rFont val="Calibri"/>
      </rPr>
      <t xml:space="preserve">
</t>
    </r>
    <r>
      <rPr>
        <sz val="11"/>
        <color rgb="FF000000"/>
        <rFont val="Calibri"/>
      </rPr>
      <t>Note: Workspace ONE UEM server logs include logs of MDM events and logs transferred to the Workspace ONE UEM server by MDM agents of managed devices.</t>
    </r>
  </si>
  <si>
    <t>V-221641</t>
  </si>
  <si>
    <r>
      <rPr>
        <sz val="11"/>
        <rFont val="Calibri"/>
      </rPr>
      <t>The Workspace ONE UEM server must be configured to display the required DoD warning banner upon administrator logon. Note: This requirement is not applicable if the TOE platform is selected in FTA_TAB.1.1 in the Security Target (ST).</t>
    </r>
  </si>
  <si>
    <r>
      <rPr>
        <sz val="11"/>
        <color rgb="FF000000"/>
        <rFont val="Calibri"/>
      </rPr>
      <t>Configure the Workspace ONE UEM server to display the appropriate warning banner text.</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Authenticate to the Workspace ONE UEM console as the administrator.</t>
    </r>
    <r>
      <rPr>
        <sz val="11"/>
        <color rgb="FF000000"/>
        <rFont val="Calibri"/>
      </rPr>
      <t xml:space="preserve">
</t>
    </r>
    <r>
      <rPr>
        <sz val="11"/>
        <color rgb="FF000000"/>
        <rFont val="Calibri"/>
      </rPr>
      <t>2. Navigate to Groups &amp; Settings &gt;&gt; All Settings.</t>
    </r>
    <r>
      <rPr>
        <sz val="11"/>
        <color rgb="FF000000"/>
        <rFont val="Calibri"/>
      </rPr>
      <t xml:space="preserve">
</t>
    </r>
    <r>
      <rPr>
        <sz val="11"/>
        <color rgb="FF000000"/>
        <rFont val="Calibri"/>
      </rPr>
      <t>3. Under the "System" heading choose "Branding".</t>
    </r>
    <r>
      <rPr>
        <sz val="11"/>
        <color rgb="FF000000"/>
        <rFont val="Calibri"/>
      </rPr>
      <t xml:space="preserve">
</t>
    </r>
    <r>
      <rPr>
        <sz val="11"/>
        <color rgb="FF000000"/>
        <rFont val="Calibri"/>
      </rPr>
      <t>4. Select the "Override" value for the "Current Setting".</t>
    </r>
    <r>
      <rPr>
        <sz val="11"/>
        <color rgb="FF000000"/>
        <rFont val="Calibri"/>
      </rPr>
      <t xml:space="preserve">
</t>
    </r>
    <r>
      <rPr>
        <sz val="11"/>
        <color rgb="FF000000"/>
        <rFont val="Calibri"/>
      </rPr>
      <t>5. Upload the organizationally defined logo, Login Page Background, Self-Service Portal Login Page Background containing the warning message, along with the website URL, if appropriate.</t>
    </r>
    <r>
      <rPr>
        <sz val="11"/>
        <color rgb="FF000000"/>
        <rFont val="Calibri"/>
      </rPr>
      <t xml:space="preserve">
</t>
    </r>
    <r>
      <rPr>
        <sz val="11"/>
        <color rgb="FF000000"/>
        <rFont val="Calibri"/>
      </rPr>
      <t>6. Set items under Colors category according to organizational standards.</t>
    </r>
    <r>
      <rPr>
        <sz val="11"/>
        <color rgb="FF000000"/>
        <rFont val="Calibri"/>
      </rPr>
      <t xml:space="preserve">
</t>
    </r>
    <r>
      <rPr>
        <sz val="11"/>
        <color rgb="FF000000"/>
        <rFont val="Calibri"/>
      </rPr>
      <t>7. Click "Save".</t>
    </r>
  </si>
  <si>
    <r>
      <rPr>
        <sz val="11"/>
        <color rgb="FF000000"/>
        <rFont val="Calibri"/>
      </rPr>
      <t>Note: The advisory notice and consent warning message is not required if the general purpose OS or network device displays an advisory notice and consent warning message when the administrator logs on to the general purpose OS or network device prior to accessing the Workspace ONE UEM server or Workspace ONE UEM server platform.</t>
    </r>
    <r>
      <rPr>
        <sz val="11"/>
        <color rgb="FF000000"/>
        <rFont val="Calibri"/>
      </rPr>
      <t xml:space="preserve">
</t>
    </r>
    <r>
      <rPr>
        <sz val="11"/>
        <color rgb="FF000000"/>
        <rFont val="Calibri"/>
      </rPr>
      <t>Before granting access to the system, the Workspace ONE UEM server/server platform is required to display the DoD-approved system use notification message or banner that provides privacy and security notices consistent with applicable federal laws, Executive Orders, directives, policies, regulations, standards, and guidance. This ensures the legal requirements for auditing and monitoring are met.</t>
    </r>
    <r>
      <rPr>
        <sz val="11"/>
        <color rgb="FF000000"/>
        <rFont val="Calibri"/>
      </rPr>
      <t xml:space="preserve">
</t>
    </r>
    <r>
      <rPr>
        <sz val="11"/>
        <color rgb="FF000000"/>
        <rFont val="Calibri"/>
      </rPr>
      <t>The approved DoD text must be used as specified in the KS referenced in DoDI 8500.01.</t>
    </r>
    <r>
      <rPr>
        <sz val="11"/>
        <color rgb="FF000000"/>
        <rFont val="Calibri"/>
      </rPr>
      <t xml:space="preserve">
</t>
    </r>
    <r>
      <rPr>
        <sz val="11"/>
        <color rgb="FF000000"/>
        <rFont val="Calibri"/>
      </rPr>
      <t xml:space="preserve">The non-bracketed text below must be used without any changes as the warning banner. </t>
    </r>
    <r>
      <rPr>
        <sz val="11"/>
        <color rgb="FF000000"/>
        <rFont val="Calibri"/>
      </rPr>
      <t xml:space="preserve">
</t>
    </r>
    <r>
      <rPr>
        <sz val="11"/>
        <color rgb="FF000000"/>
        <rFont val="Calibri"/>
      </rPr>
      <t>[A. Use this banner for desktops, laptops, and other devices accommodating banners of 1300 characters. The banner shall be implemented as a click-through banner at logon (to the extent permitted by the operating system), meaning it prevents further activity on the information system unless and until the user executes a positive action to manifest agreement by clicking on a box indicating “OK.”]</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SFR ID: FMT_SMF.1.1(2) c.2</t>
    </r>
  </si>
  <si>
    <r>
      <rPr>
        <sz val="11"/>
        <color rgb="FF000000"/>
        <rFont val="Calibri"/>
      </rPr>
      <t xml:space="preserve">Review Workspace ONE UEM server documentation and configuration settings to determine if the Workspace ONE UEM server is using the warning banner and the wording of the banner is the required text. </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Authenticate to the Workspace ONE UEM console as the administrator.</t>
    </r>
    <r>
      <rPr>
        <sz val="11"/>
        <color rgb="FF000000"/>
        <rFont val="Calibri"/>
      </rPr>
      <t xml:space="preserve">
</t>
    </r>
    <r>
      <rPr>
        <sz val="11"/>
        <color rgb="FF000000"/>
        <rFont val="Calibri"/>
      </rPr>
      <t>2. Verify that the notice and consent warning message is displayed.</t>
    </r>
    <r>
      <rPr>
        <sz val="11"/>
        <color rgb="FF000000"/>
        <rFont val="Calibri"/>
      </rPr>
      <t xml:space="preserve">
</t>
    </r>
    <r>
      <rPr>
        <sz val="11"/>
        <color rgb="FF000000"/>
        <rFont val="Calibri"/>
      </rPr>
      <t>3. Authenticate to the Workspace ONE UEM Self-Service Portal.</t>
    </r>
    <r>
      <rPr>
        <sz val="11"/>
        <color rgb="FF000000"/>
        <rFont val="Calibri"/>
      </rPr>
      <t xml:space="preserve">
</t>
    </r>
    <r>
      <rPr>
        <sz val="11"/>
        <color rgb="FF000000"/>
        <rFont val="Calibri"/>
      </rPr>
      <t>4. Verify that the notice and consent warning message is displayed.</t>
    </r>
    <r>
      <rPr>
        <sz val="11"/>
        <color rgb="FF000000"/>
        <rFont val="Calibri"/>
      </rPr>
      <t xml:space="preserve">
</t>
    </r>
    <r>
      <rPr>
        <sz val="11"/>
        <color rgb="FF000000"/>
        <rFont val="Calibri"/>
      </rPr>
      <t>If the warning banner is not set up on the Workspace ONE UEM server or wording does not exactly match the requirement text, this is a finding.</t>
    </r>
  </si>
  <si>
    <t>V-221642</t>
  </si>
  <si>
    <r>
      <rPr>
        <sz val="11"/>
        <rFont val="Calibri"/>
      </rPr>
      <t>The Workspace ONE UEM server must be configured with a periodicity for reachable events of six hours or less for the following commands to the agent: - query connectivity status; - query the current version of the MD firmware/software; - query the current version of installed mobile applications; - read audit logs kept by the MD.</t>
    </r>
  </si>
  <si>
    <r>
      <rPr>
        <sz val="11"/>
        <color rgb="FF000000"/>
        <rFont val="Calibri"/>
      </rPr>
      <t>Configure the Workspace ONE UEM server with a periodicity for reachable events of six hours or less for the following commands to the agent:</t>
    </r>
    <r>
      <rPr>
        <sz val="11"/>
        <color rgb="FF000000"/>
        <rFont val="Calibri"/>
      </rPr>
      <t xml:space="preserve">
</t>
    </r>
    <r>
      <rPr>
        <sz val="11"/>
        <color rgb="FF000000"/>
        <rFont val="Calibri"/>
      </rPr>
      <t>- query connectivity status;</t>
    </r>
    <r>
      <rPr>
        <sz val="11"/>
        <color rgb="FF000000"/>
        <rFont val="Calibri"/>
      </rPr>
      <t xml:space="preserve">
</t>
    </r>
    <r>
      <rPr>
        <sz val="11"/>
        <color rgb="FF000000"/>
        <rFont val="Calibri"/>
      </rPr>
      <t>- query the current version of the MD firmware/software;</t>
    </r>
    <r>
      <rPr>
        <sz val="11"/>
        <color rgb="FF000000"/>
        <rFont val="Calibri"/>
      </rPr>
      <t xml:space="preserve">
</t>
    </r>
    <r>
      <rPr>
        <sz val="11"/>
        <color rgb="FF000000"/>
        <rFont val="Calibri"/>
      </rPr>
      <t>- query the current version of installed mobile applications.</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Authenticate to the Workspace ONE UEM console as the administrator.</t>
    </r>
    <r>
      <rPr>
        <sz val="11"/>
        <color rgb="FF000000"/>
        <rFont val="Calibri"/>
      </rPr>
      <t xml:space="preserve">
</t>
    </r>
    <r>
      <rPr>
        <sz val="11"/>
        <color rgb="FF000000"/>
        <rFont val="Calibri"/>
      </rPr>
      <t>2. Navigate to Groups &amp; Settings &gt;&gt; All Settings.</t>
    </r>
    <r>
      <rPr>
        <sz val="11"/>
        <color rgb="FF000000"/>
        <rFont val="Calibri"/>
      </rPr>
      <t xml:space="preserve">
</t>
    </r>
    <r>
      <rPr>
        <sz val="11"/>
        <color rgb="FF000000"/>
        <rFont val="Calibri"/>
      </rPr>
      <t>3. Under the "Devices &amp; Users" heading:</t>
    </r>
    <r>
      <rPr>
        <sz val="11"/>
        <color rgb="FF000000"/>
        <rFont val="Calibri"/>
      </rPr>
      <t xml:space="preserve">
</t>
    </r>
    <r>
      <rPr>
        <sz val="11"/>
        <color rgb="FF000000"/>
        <rFont val="Calibri"/>
      </rPr>
      <t>For Android, choose Android &gt;&gt; Intelligent Hub Settings. To modify any settings, click "Override".</t>
    </r>
    <r>
      <rPr>
        <sz val="11"/>
        <color rgb="FF000000"/>
        <rFont val="Calibri"/>
      </rPr>
      <t xml:space="preserve">
</t>
    </r>
    <r>
      <rPr>
        <sz val="11"/>
        <color rgb="FF000000"/>
        <rFont val="Calibri"/>
      </rPr>
      <t>a. Under the General heading, set "Heartbeat Interval" using the drop-down if necessary. This setting handles querying of connectivity status and current version of MD firmware/software.</t>
    </r>
    <r>
      <rPr>
        <sz val="11"/>
        <color rgb="FF000000"/>
        <rFont val="Calibri"/>
      </rPr>
      <t xml:space="preserve">
</t>
    </r>
    <r>
      <rPr>
        <sz val="11"/>
        <color rgb="FF000000"/>
        <rFont val="Calibri"/>
      </rPr>
      <t>b. Under the Application List heading, set the "Application List Interval" as necessary to the appropriate number of minutes.</t>
    </r>
    <r>
      <rPr>
        <sz val="11"/>
        <color rgb="FF000000"/>
        <rFont val="Calibri"/>
      </rPr>
      <t xml:space="preserve">
</t>
    </r>
    <r>
      <rPr>
        <sz val="11"/>
        <color rgb="FF000000"/>
        <rFont val="Calibri"/>
      </rPr>
      <t>c. There is no control for periodicity of reading audit logs. They are sent to the server automatically.</t>
    </r>
    <r>
      <rPr>
        <sz val="11"/>
        <color rgb="FF000000"/>
        <rFont val="Calibri"/>
      </rPr>
      <t xml:space="preserve">
</t>
    </r>
    <r>
      <rPr>
        <sz val="11"/>
        <color rgb="FF000000"/>
        <rFont val="Calibri"/>
      </rPr>
      <t>For iOS, choose Apple &gt;&gt; MDM Sample Schedule. To modify any settings, click "Override".</t>
    </r>
    <r>
      <rPr>
        <sz val="11"/>
        <color rgb="FF000000"/>
        <rFont val="Calibri"/>
      </rPr>
      <t xml:space="preserve">
</t>
    </r>
    <r>
      <rPr>
        <sz val="11"/>
        <color rgb="FF000000"/>
        <rFont val="Calibri"/>
      </rPr>
      <t>a. Set "Device Information Sample" as necessary to the appropriate number of hours. This will control periodicity of both querying connectivity and querying the current version of MD firmware/software.</t>
    </r>
    <r>
      <rPr>
        <sz val="11"/>
        <color rgb="FF000000"/>
        <rFont val="Calibri"/>
      </rPr>
      <t xml:space="preserve">
</t>
    </r>
    <r>
      <rPr>
        <sz val="11"/>
        <color rgb="FF000000"/>
        <rFont val="Calibri"/>
      </rPr>
      <t>b. Querying of installed mobile applications is controlled by both "Application List Sample" and "Managed App List Sample" fields. Application List Sample requests all the apps on the device (managed and unmanaged), whereas Managed App List Sample only returns MDM installed apps. Both samples return app versions.</t>
    </r>
    <r>
      <rPr>
        <sz val="11"/>
        <color rgb="FF000000"/>
        <rFont val="Calibri"/>
      </rPr>
      <t xml:space="preserve">
</t>
    </r>
    <r>
      <rPr>
        <sz val="11"/>
        <color rgb="FF000000"/>
        <rFont val="Calibri"/>
      </rPr>
      <t>c. There is no control for periodicity of reading audit logs. They are sent to the server automatically.</t>
    </r>
  </si>
  <si>
    <r>
      <rPr>
        <sz val="11"/>
        <color rgb="FF000000"/>
        <rFont val="Calibri"/>
      </rPr>
      <t>Key security-related status attributes must be queried frequently so the Workspace ONE UEM server can report status of devices under management to the administrator and management. The periodicity of these queries must be configured to an acceptable timeframe. Six hours or less is considered acceptable for normal operations.</t>
    </r>
    <r>
      <rPr>
        <sz val="11"/>
        <color rgb="FF000000"/>
        <rFont val="Calibri"/>
      </rPr>
      <t xml:space="preserve">
</t>
    </r>
    <r>
      <rPr>
        <sz val="11"/>
        <color rgb="FF000000"/>
        <rFont val="Calibri"/>
      </rPr>
      <t>SFR ID: FMT_SMF.1.1(2) c.3</t>
    </r>
  </si>
  <si>
    <r>
      <rPr>
        <sz val="11"/>
        <color rgb="FF000000"/>
        <rFont val="Calibri"/>
      </rPr>
      <t xml:space="preserve">Review the Workspace ONE UEM server for a periodicity for reachable events of six hours or less for the following commands to the agent: </t>
    </r>
    <r>
      <rPr>
        <sz val="11"/>
        <color rgb="FF000000"/>
        <rFont val="Calibri"/>
      </rPr>
      <t xml:space="preserve">
</t>
    </r>
    <r>
      <rPr>
        <sz val="11"/>
        <color rgb="FF000000"/>
        <rFont val="Calibri"/>
      </rPr>
      <t>- query connectivity status;</t>
    </r>
    <r>
      <rPr>
        <sz val="11"/>
        <color rgb="FF000000"/>
        <rFont val="Calibri"/>
      </rPr>
      <t xml:space="preserve">
</t>
    </r>
    <r>
      <rPr>
        <sz val="11"/>
        <color rgb="FF000000"/>
        <rFont val="Calibri"/>
      </rPr>
      <t>- query the current version of the MD firmware/software;</t>
    </r>
    <r>
      <rPr>
        <sz val="11"/>
        <color rgb="FF000000"/>
        <rFont val="Calibri"/>
      </rPr>
      <t xml:space="preserve">
</t>
    </r>
    <r>
      <rPr>
        <sz val="11"/>
        <color rgb="FF000000"/>
        <rFont val="Calibri"/>
      </rPr>
      <t>- query the current version of installed mobile applications.</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Authenticate to the Workspace ONE UEM console as the administrator.</t>
    </r>
    <r>
      <rPr>
        <sz val="11"/>
        <color rgb="FF000000"/>
        <rFont val="Calibri"/>
      </rPr>
      <t xml:space="preserve">
</t>
    </r>
    <r>
      <rPr>
        <sz val="11"/>
        <color rgb="FF000000"/>
        <rFont val="Calibri"/>
      </rPr>
      <t>2. Navigate to Groups &amp; Settings &gt;&gt; All Settings.</t>
    </r>
    <r>
      <rPr>
        <sz val="11"/>
        <color rgb="FF000000"/>
        <rFont val="Calibri"/>
      </rPr>
      <t xml:space="preserve">
</t>
    </r>
    <r>
      <rPr>
        <sz val="11"/>
        <color rgb="FF000000"/>
        <rFont val="Calibri"/>
      </rPr>
      <t>3. Under the "Devices &amp; Users" heading:</t>
    </r>
    <r>
      <rPr>
        <sz val="11"/>
        <color rgb="FF000000"/>
        <rFont val="Calibri"/>
      </rPr>
      <t xml:space="preserve">
</t>
    </r>
    <r>
      <rPr>
        <sz val="11"/>
        <color rgb="FF000000"/>
        <rFont val="Calibri"/>
      </rPr>
      <t>For Android, choose Android &gt;&gt; Intelligent Hub Settings.</t>
    </r>
    <r>
      <rPr>
        <sz val="11"/>
        <color rgb="FF000000"/>
        <rFont val="Calibri"/>
      </rPr>
      <t xml:space="preserve">
</t>
    </r>
    <r>
      <rPr>
        <sz val="11"/>
        <color rgb="FF000000"/>
        <rFont val="Calibri"/>
      </rPr>
      <t>a. Under the General heading, if "Heartbeat Interval" is set to more than six hours, this is a finding. This setting handles querying of connectivity status and current version of MD firmware/software.</t>
    </r>
    <r>
      <rPr>
        <sz val="11"/>
        <color rgb="FF000000"/>
        <rFont val="Calibri"/>
      </rPr>
      <t xml:space="preserve">
</t>
    </r>
    <r>
      <rPr>
        <sz val="11"/>
        <color rgb="FF000000"/>
        <rFont val="Calibri"/>
      </rPr>
      <t>b. Under the Application List heading, if the "Application List Interval" is set to more than 360 minutes, this is a finding. This setting handles querying for current version of installed mobile applications.</t>
    </r>
    <r>
      <rPr>
        <sz val="11"/>
        <color rgb="FF000000"/>
        <rFont val="Calibri"/>
      </rPr>
      <t xml:space="preserve">
</t>
    </r>
    <r>
      <rPr>
        <sz val="11"/>
        <color rgb="FF000000"/>
        <rFont val="Calibri"/>
      </rPr>
      <t>For iOS, Apple &gt;&gt; MDM Sample Schedule.</t>
    </r>
    <r>
      <rPr>
        <sz val="11"/>
        <color rgb="FF000000"/>
        <rFont val="Calibri"/>
      </rPr>
      <t xml:space="preserve">
</t>
    </r>
    <r>
      <rPr>
        <sz val="11"/>
        <color rgb="FF000000"/>
        <rFont val="Calibri"/>
      </rPr>
      <t>a. If "Device Information Sample" is set to more than six hours, this is a finding. This setting handles querying of connectivity status and current version of MD firmware/software.</t>
    </r>
    <r>
      <rPr>
        <sz val="11"/>
        <color rgb="FF000000"/>
        <rFont val="Calibri"/>
      </rPr>
      <t xml:space="preserve">
</t>
    </r>
    <r>
      <rPr>
        <sz val="11"/>
        <color rgb="FF000000"/>
        <rFont val="Calibri"/>
      </rPr>
      <t>b. If "Application List Sample" and "Managed App List Sample" are set to more than 6 hours, this is a finding. This setting handles querying for current version of installed mobile applications.</t>
    </r>
  </si>
  <si>
    <t>V-221643</t>
  </si>
  <si>
    <r>
      <rPr>
        <sz val="11"/>
        <rFont val="Calibri"/>
      </rPr>
      <t>The Workspace ONE UEM server must be configured to have at least one user in the following Administrator roles: Server primary administrator, security configuration administrator, device user group administrator, or auditor.</t>
    </r>
  </si>
  <si>
    <r>
      <rPr>
        <sz val="11"/>
        <color rgb="FF000000"/>
        <rFont val="Calibri"/>
      </rPr>
      <t>Configure the Workspace ONE UEM server with the Administrator roles:</t>
    </r>
    <r>
      <rPr>
        <sz val="11"/>
        <color rgb="FF000000"/>
        <rFont val="Calibri"/>
      </rPr>
      <t xml:space="preserve">
</t>
    </r>
    <r>
      <rPr>
        <sz val="11"/>
        <color rgb="FF000000"/>
        <rFont val="Calibri"/>
      </rPr>
      <t>- Server primary administrator</t>
    </r>
    <r>
      <rPr>
        <sz val="11"/>
        <color rgb="FF000000"/>
        <rFont val="Calibri"/>
      </rPr>
      <t xml:space="preserve">
</t>
    </r>
    <r>
      <rPr>
        <sz val="11"/>
        <color rgb="FF000000"/>
        <rFont val="Calibri"/>
      </rPr>
      <t>- Security configuration administrator</t>
    </r>
    <r>
      <rPr>
        <sz val="11"/>
        <color rgb="FF000000"/>
        <rFont val="Calibri"/>
      </rPr>
      <t xml:space="preserve">
</t>
    </r>
    <r>
      <rPr>
        <sz val="11"/>
        <color rgb="FF000000"/>
        <rFont val="Calibri"/>
      </rPr>
      <t>- Device user group administrator</t>
    </r>
    <r>
      <rPr>
        <sz val="11"/>
        <color rgb="FF000000"/>
        <rFont val="Calibri"/>
      </rPr>
      <t xml:space="preserve">
</t>
    </r>
    <r>
      <rPr>
        <sz val="11"/>
        <color rgb="FF000000"/>
        <rFont val="Calibri"/>
      </rPr>
      <t>- Auditor</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Authenticate to the Workspace ONE UEM console.</t>
    </r>
    <r>
      <rPr>
        <sz val="11"/>
        <color rgb="FF000000"/>
        <rFont val="Calibri"/>
      </rPr>
      <t xml:space="preserve">
</t>
    </r>
    <r>
      <rPr>
        <sz val="11"/>
        <color rgb="FF000000"/>
        <rFont val="Calibri"/>
      </rPr>
      <t>2. Navigate to Accounts &gt;&gt; Administrators &gt;&gt; Roles.</t>
    </r>
    <r>
      <rPr>
        <sz val="11"/>
        <color rgb="FF000000"/>
        <rFont val="Calibri"/>
      </rPr>
      <t xml:space="preserve">
</t>
    </r>
    <r>
      <rPr>
        <sz val="11"/>
        <color rgb="FF000000"/>
        <rFont val="Calibri"/>
      </rPr>
      <t>3. From the Roles page, click "Add Role".</t>
    </r>
    <r>
      <rPr>
        <sz val="11"/>
        <color rgb="FF000000"/>
        <rFont val="Calibri"/>
      </rPr>
      <t xml:space="preserve">
</t>
    </r>
    <r>
      <rPr>
        <sz val="11"/>
        <color rgb="FF000000"/>
        <rFont val="Calibri"/>
      </rPr>
      <t>4. Name the role according to the organization standard for the function and provide a role description.</t>
    </r>
    <r>
      <rPr>
        <sz val="11"/>
        <color rgb="FF000000"/>
        <rFont val="Calibri"/>
      </rPr>
      <t xml:space="preserve">
</t>
    </r>
    <r>
      <rPr>
        <sz val="11"/>
        <color rgb="FF000000"/>
        <rFont val="Calibri"/>
      </rPr>
      <t>5. Add role attributes by selecting each of the role categories ensuring "Read" and/or "Edit" are selected appropriately for each function for the role. A default set will be checked but should be reviewed and overridden as appropriate to the role.</t>
    </r>
    <r>
      <rPr>
        <sz val="11"/>
        <color rgb="FF000000"/>
        <rFont val="Calibri"/>
      </rPr>
      <t xml:space="preserve">
</t>
    </r>
    <r>
      <rPr>
        <sz val="11"/>
        <color rgb="FF000000"/>
        <rFont val="Calibri"/>
      </rPr>
      <t>6. After reviewing the choices in each category and verifying correctness, click "Save" to save the new role.</t>
    </r>
  </si>
  <si>
    <r>
      <rPr>
        <sz val="11"/>
        <color rgb="FF000000"/>
        <rFont val="Calibri"/>
      </rPr>
      <t>Having several administrative roles for the Workspace ONE UEM server supports separation of duties. This allows administrator-level privileges to be granted granularly, such as giving application management privileges to one group and security policy privileges to another group. This helps prevent administrators from intentionally or inadvertently altering other settings and configuration, which they may not understand or approve of, that can weaken overall security and increase the risk of compromise.</t>
    </r>
    <r>
      <rPr>
        <sz val="11"/>
        <color rgb="FF000000"/>
        <rFont val="Calibri"/>
      </rPr>
      <t xml:space="preserve">
</t>
    </r>
    <r>
      <rPr>
        <sz val="11"/>
        <color rgb="FF000000"/>
        <rFont val="Calibri"/>
      </rPr>
      <t>- Server primary administrator: Responsible for server installation, initial configuration, and maintenance functions. Responsible for the setup and maintenance of security configuration administrator and auditor accounts. Responsible for the maintenance of applications in the MAS.</t>
    </r>
    <r>
      <rPr>
        <sz val="11"/>
        <color rgb="FF000000"/>
        <rFont val="Calibri"/>
      </rPr>
      <t xml:space="preserve">
</t>
    </r>
    <r>
      <rPr>
        <sz val="11"/>
        <color rgb="FF000000"/>
        <rFont val="Calibri"/>
      </rPr>
      <t>- Security configuration administrator: Responsible for security configuration of the server, defining device user groups, setup and maintenance of device user group administrator accounts, and defining privileges of device user group administrators.</t>
    </r>
    <r>
      <rPr>
        <sz val="11"/>
        <color rgb="FF000000"/>
        <rFont val="Calibri"/>
      </rPr>
      <t xml:space="preserve">
</t>
    </r>
    <r>
      <rPr>
        <sz val="11"/>
        <color rgb="FF000000"/>
        <rFont val="Calibri"/>
      </rPr>
      <t>- Device user group administrator: Responsible for maintenance of mobile device accounts, including setup, change of account configurations, and account deletion. Responsible for defining to which apps user groups or individual users have access in the MAS. Can only perform administrative functions assigned by the security configuration administrator.</t>
    </r>
    <r>
      <rPr>
        <sz val="11"/>
        <color rgb="FF000000"/>
        <rFont val="Calibri"/>
      </rPr>
      <t xml:space="preserve">
</t>
    </r>
    <r>
      <rPr>
        <sz val="11"/>
        <color rgb="FF000000"/>
        <rFont val="Calibri"/>
      </rPr>
      <t>- Auditor: Responsible for reviewing and maintaining server and mobile device audit logs.</t>
    </r>
    <r>
      <rPr>
        <sz val="11"/>
        <color rgb="FF000000"/>
        <rFont val="Calibri"/>
      </rPr>
      <t xml:space="preserve">
</t>
    </r>
    <r>
      <rPr>
        <sz val="11"/>
        <color rgb="FF000000"/>
        <rFont val="Calibri"/>
      </rPr>
      <t>SFR ID: FMT_SMR.1.1(1)</t>
    </r>
  </si>
  <si>
    <r>
      <rPr>
        <sz val="11"/>
        <color rgb="FF000000"/>
        <rFont val="Calibri"/>
      </rPr>
      <t xml:space="preserve">Review the Workspace ONE UEM server configuration settings and verify the server is configured with the Administrator roles: </t>
    </r>
    <r>
      <rPr>
        <sz val="11"/>
        <color rgb="FF000000"/>
        <rFont val="Calibri"/>
      </rPr>
      <t xml:space="preserve">
</t>
    </r>
    <r>
      <rPr>
        <sz val="11"/>
        <color rgb="FF000000"/>
        <rFont val="Calibri"/>
      </rPr>
      <t>- Server primary administrator</t>
    </r>
    <r>
      <rPr>
        <sz val="11"/>
        <color rgb="FF000000"/>
        <rFont val="Calibri"/>
      </rPr>
      <t xml:space="preserve">
</t>
    </r>
    <r>
      <rPr>
        <sz val="11"/>
        <color rgb="FF000000"/>
        <rFont val="Calibri"/>
      </rPr>
      <t>- Security configuration administrator</t>
    </r>
    <r>
      <rPr>
        <sz val="11"/>
        <color rgb="FF000000"/>
        <rFont val="Calibri"/>
      </rPr>
      <t xml:space="preserve">
</t>
    </r>
    <r>
      <rPr>
        <sz val="11"/>
        <color rgb="FF000000"/>
        <rFont val="Calibri"/>
      </rPr>
      <t>- Device user group administrator</t>
    </r>
    <r>
      <rPr>
        <sz val="11"/>
        <color rgb="FF000000"/>
        <rFont val="Calibri"/>
      </rPr>
      <t xml:space="preserve">
</t>
    </r>
    <r>
      <rPr>
        <sz val="11"/>
        <color rgb="FF000000"/>
        <rFont val="Calibri"/>
      </rPr>
      <t>- Auditor</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Authenticate to the Workspace ONE UEM console.</t>
    </r>
    <r>
      <rPr>
        <sz val="11"/>
        <color rgb="FF000000"/>
        <rFont val="Calibri"/>
      </rPr>
      <t xml:space="preserve">
</t>
    </r>
    <r>
      <rPr>
        <sz val="11"/>
        <color rgb="FF000000"/>
        <rFont val="Calibri"/>
      </rPr>
      <t>2. Navigate to Accounts &gt;&gt; Administrators &gt;&gt; Roles.</t>
    </r>
    <r>
      <rPr>
        <sz val="11"/>
        <color rgb="FF000000"/>
        <rFont val="Calibri"/>
      </rPr>
      <t xml:space="preserve">
</t>
    </r>
    <r>
      <rPr>
        <sz val="11"/>
        <color rgb="FF000000"/>
        <rFont val="Calibri"/>
      </rPr>
      <t xml:space="preserve">3. From the Roles page, examine the currently defined roles under the "General Info" heading. Each role can be selected for examination by clicking on the name link. Each role will have a set of attributes for which that role has been granted: "Read", "Edit", or no access. </t>
    </r>
    <r>
      <rPr>
        <sz val="11"/>
        <color rgb="FF000000"/>
        <rFont val="Calibri"/>
      </rPr>
      <t xml:space="preserve">
</t>
    </r>
    <r>
      <rPr>
        <sz val="11"/>
        <color rgb="FF000000"/>
        <rFont val="Calibri"/>
      </rPr>
      <t>If the MDM console administrative role is not present or the role attributes are not set to organizational standards, this is a finding.</t>
    </r>
  </si>
  <si>
    <t>V-221644</t>
  </si>
  <si>
    <r>
      <rPr>
        <sz val="11"/>
        <rFont val="Calibri"/>
      </rPr>
      <t>The Workspace ONE UEM server must be configured to leverage the MDM platform user and administrator accounts and groups for Workspace ONE UEM server user identification and authentication.</t>
    </r>
  </si>
  <si>
    <r>
      <rPr>
        <sz val="11"/>
        <color rgb="FF000000"/>
        <rFont val="Calibri"/>
      </rPr>
      <t>Configure the Workspace ONE UEM server to leverage the MDM platform user and administrator accounts and groups for Workspace ONE UEM server user identification and authentication.</t>
    </r>
    <r>
      <rPr>
        <sz val="11"/>
        <color rgb="FF000000"/>
        <rFont val="Calibri"/>
      </rPr>
      <t xml:space="preserve">
</t>
    </r>
    <r>
      <rPr>
        <sz val="11"/>
        <color rgb="FF000000"/>
        <rFont val="Calibri"/>
      </rPr>
      <t>On the Workspace ONE UEM console, complete the following procedure to ensure that the Workspace ONE UEM (MDM) Server is configured to leverage an enterprise authentication mechanism, and that Workspace ONE UEM users can only use directory accounts to enroll into the Workspace ONE UEM (MDM) Server:</t>
    </r>
    <r>
      <rPr>
        <sz val="11"/>
        <color rgb="FF000000"/>
        <rFont val="Calibri"/>
      </rPr>
      <t xml:space="preserve">
</t>
    </r>
    <r>
      <rPr>
        <sz val="11"/>
        <color rgb="FF000000"/>
        <rFont val="Calibri"/>
      </rPr>
      <t>1. For Workspace ONE UEM server Platform configuration, refer to "https://docs.vmware.com/en/VMware-Workspace-ONE-UEM/1907/Directory_Service_Integration/GUID-AWT-DIRECTORYSERVICESOVERVIEW.html".</t>
    </r>
    <r>
      <rPr>
        <sz val="11"/>
        <color rgb="FF000000"/>
        <rFont val="Calibri"/>
      </rPr>
      <t xml:space="preserve">
</t>
    </r>
    <r>
      <rPr>
        <sz val="11"/>
        <color rgb="FF000000"/>
        <rFont val="Calibri"/>
      </rPr>
      <t>2. Log in to the Workspace ONE UEM Administration console.</t>
    </r>
    <r>
      <rPr>
        <sz val="11"/>
        <color rgb="FF000000"/>
        <rFont val="Calibri"/>
      </rPr>
      <t xml:space="preserve">
</t>
    </r>
    <r>
      <rPr>
        <sz val="11"/>
        <color rgb="FF000000"/>
        <rFont val="Calibri"/>
      </rPr>
      <t>3. Choose "Groups and Settings".</t>
    </r>
    <r>
      <rPr>
        <sz val="11"/>
        <color rgb="FF000000"/>
        <rFont val="Calibri"/>
      </rPr>
      <t xml:space="preserve">
</t>
    </r>
    <r>
      <rPr>
        <sz val="11"/>
        <color rgb="FF000000"/>
        <rFont val="Calibri"/>
      </rPr>
      <t>4. Choose "All Settings".</t>
    </r>
    <r>
      <rPr>
        <sz val="11"/>
        <color rgb="FF000000"/>
        <rFont val="Calibri"/>
      </rPr>
      <t xml:space="preserve">
</t>
    </r>
    <r>
      <rPr>
        <sz val="11"/>
        <color rgb="FF000000"/>
        <rFont val="Calibri"/>
      </rPr>
      <t>5. Under the "System" heading, choose "Enterprise Integration".</t>
    </r>
    <r>
      <rPr>
        <sz val="11"/>
        <color rgb="FF000000"/>
        <rFont val="Calibri"/>
      </rPr>
      <t xml:space="preserve">
</t>
    </r>
    <r>
      <rPr>
        <sz val="11"/>
        <color rgb="FF000000"/>
        <rFont val="Calibri"/>
      </rPr>
      <t>6. Choose "Directory Services".</t>
    </r>
    <r>
      <rPr>
        <sz val="11"/>
        <color rgb="FF000000"/>
        <rFont val="Calibri"/>
      </rPr>
      <t xml:space="preserve">
</t>
    </r>
    <r>
      <rPr>
        <sz val="11"/>
        <color rgb="FF000000"/>
        <rFont val="Calibri"/>
      </rPr>
      <t>7. Under the "Server" tab, verify directory service connection information. If not set according to organizational rules, modify the directory service connection to the correct setting.</t>
    </r>
    <r>
      <rPr>
        <sz val="11"/>
        <color rgb="FF000000"/>
        <rFont val="Calibri"/>
      </rPr>
      <t xml:space="preserve">
</t>
    </r>
    <r>
      <rPr>
        <sz val="11"/>
        <color rgb="FF000000"/>
        <rFont val="Calibri"/>
      </rPr>
      <t>8. Under "User" tab, verify User Group connection information. If not set according to organizational rules, modify the User Group connection to the correct setting.</t>
    </r>
    <r>
      <rPr>
        <sz val="11"/>
        <color rgb="FF000000"/>
        <rFont val="Calibri"/>
      </rPr>
      <t xml:space="preserve">
</t>
    </r>
    <r>
      <rPr>
        <sz val="11"/>
        <color rgb="FF000000"/>
        <rFont val="Calibri"/>
      </rPr>
      <t>9. Under the "Group" tab, verify Group connection information. If not set according to organizational rules, modify the Group connection to the correct setting.</t>
    </r>
    <r>
      <rPr>
        <sz val="11"/>
        <color rgb="FF000000"/>
        <rFont val="Calibri"/>
      </rPr>
      <t xml:space="preserve">
</t>
    </r>
    <r>
      <rPr>
        <sz val="11"/>
        <color rgb="FF000000"/>
        <rFont val="Calibri"/>
      </rPr>
      <t>10. If any changes were made to Server, User, or Group settings, click "Save".</t>
    </r>
    <r>
      <rPr>
        <sz val="11"/>
        <color rgb="FF000000"/>
        <rFont val="Calibri"/>
      </rPr>
      <t xml:space="preserve">
</t>
    </r>
    <r>
      <rPr>
        <sz val="11"/>
        <color rgb="FF000000"/>
        <rFont val="Calibri"/>
      </rPr>
      <t>11. Choose "X" to close screen.</t>
    </r>
    <r>
      <rPr>
        <sz val="11"/>
        <color rgb="FF000000"/>
        <rFont val="Calibri"/>
      </rPr>
      <t xml:space="preserve">
</t>
    </r>
    <r>
      <rPr>
        <sz val="11"/>
        <color rgb="FF000000"/>
        <rFont val="Calibri"/>
      </rPr>
      <t>12. Choose "Groups and Settings".</t>
    </r>
    <r>
      <rPr>
        <sz val="11"/>
        <color rgb="FF000000"/>
        <rFont val="Calibri"/>
      </rPr>
      <t xml:space="preserve">
</t>
    </r>
    <r>
      <rPr>
        <sz val="11"/>
        <color rgb="FF000000"/>
        <rFont val="Calibri"/>
      </rPr>
      <t>13. Choose "All Settings".</t>
    </r>
    <r>
      <rPr>
        <sz val="11"/>
        <color rgb="FF000000"/>
        <rFont val="Calibri"/>
      </rPr>
      <t xml:space="preserve">
</t>
    </r>
    <r>
      <rPr>
        <sz val="11"/>
        <color rgb="FF000000"/>
        <rFont val="Calibri"/>
      </rPr>
      <t>14. Under "Devices and Users", choose "General".</t>
    </r>
    <r>
      <rPr>
        <sz val="11"/>
        <color rgb="FF000000"/>
        <rFont val="Calibri"/>
      </rPr>
      <t xml:space="preserve">
</t>
    </r>
    <r>
      <rPr>
        <sz val="11"/>
        <color rgb="FF000000"/>
        <rFont val="Calibri"/>
      </rPr>
      <t>15. Choose "Enrollment".</t>
    </r>
    <r>
      <rPr>
        <sz val="11"/>
        <color rgb="FF000000"/>
        <rFont val="Calibri"/>
      </rPr>
      <t xml:space="preserve">
</t>
    </r>
    <r>
      <rPr>
        <sz val="11"/>
        <color rgb="FF000000"/>
        <rFont val="Calibri"/>
      </rPr>
      <t>16. On the "Authentication Modes" setting, verify only the box titled "Directory" is selected. If "Directory" is unchecked, select it. If any other boxes are checked, uncheck them.</t>
    </r>
    <r>
      <rPr>
        <sz val="11"/>
        <color rgb="FF000000"/>
        <rFont val="Calibri"/>
      </rPr>
      <t xml:space="preserve">
</t>
    </r>
    <r>
      <rPr>
        <sz val="11"/>
        <color rgb="FF000000"/>
        <rFont val="Calibri"/>
      </rPr>
      <t>17. If any changes were made to "Authentication Modes" settings, click "Save".</t>
    </r>
    <r>
      <rPr>
        <sz val="11"/>
        <color rgb="FF000000"/>
        <rFont val="Calibri"/>
      </rPr>
      <t xml:space="preserve">
</t>
    </r>
    <r>
      <rPr>
        <sz val="11"/>
        <color rgb="FF000000"/>
        <rFont val="Calibri"/>
      </rPr>
      <t>18. Choose "X" to close the window.</t>
    </r>
    <r>
      <rPr>
        <sz val="11"/>
        <color rgb="FF000000"/>
        <rFont val="Calibri"/>
      </rPr>
      <t xml:space="preserve">
</t>
    </r>
    <r>
      <rPr>
        <sz val="11"/>
        <color rgb="FF000000"/>
        <rFont val="Calibri"/>
      </rPr>
      <t>To verify and remove any administrator accounts that are not Directory Service accounts:</t>
    </r>
    <r>
      <rPr>
        <sz val="11"/>
        <color rgb="FF000000"/>
        <rFont val="Calibri"/>
      </rPr>
      <t xml:space="preserve">
</t>
    </r>
    <r>
      <rPr>
        <sz val="11"/>
        <color rgb="FF000000"/>
        <rFont val="Calibri"/>
      </rPr>
      <t>19. Choose Account &gt;&gt; Administrators &gt;&gt; List View.</t>
    </r>
    <r>
      <rPr>
        <sz val="11"/>
        <color rgb="FF000000"/>
        <rFont val="Calibri"/>
      </rPr>
      <t xml:space="preserve">
</t>
    </r>
    <r>
      <rPr>
        <sz val="11"/>
        <color rgb="FF000000"/>
        <rFont val="Calibri"/>
      </rPr>
      <t>20. Review user types under the "Admin Type" heading, and select all users, and only users with an Admin Type of "Basic". Do NOT select users with an Admin Type of "Directory". Selecting one or more users with the Basic Admin Type will cause the "More Actions" drop-down to appear.</t>
    </r>
    <r>
      <rPr>
        <sz val="11"/>
        <color rgb="FF000000"/>
        <rFont val="Calibri"/>
      </rPr>
      <t xml:space="preserve">
</t>
    </r>
    <r>
      <rPr>
        <sz val="11"/>
        <color rgb="FF000000"/>
        <rFont val="Calibri"/>
      </rPr>
      <t>21. From the More Actions drop-down select "Delete". This will result in an "Are you sure you want to delete this record?" pop-up box asking to confirm deletion of the selected account(s).</t>
    </r>
    <r>
      <rPr>
        <sz val="11"/>
        <color rgb="FF000000"/>
        <rFont val="Calibri"/>
      </rPr>
      <t xml:space="preserve">
</t>
    </r>
    <r>
      <rPr>
        <sz val="11"/>
        <color rgb="FF000000"/>
        <rFont val="Calibri"/>
      </rPr>
      <t>22. Click "OK" to delete the selected accounts.</t>
    </r>
    <r>
      <rPr>
        <sz val="11"/>
        <color rgb="FF000000"/>
        <rFont val="Calibri"/>
      </rPr>
      <t xml:space="preserve">
</t>
    </r>
    <r>
      <rPr>
        <sz val="11"/>
        <color rgb="FF000000"/>
        <rFont val="Calibri"/>
      </rPr>
      <t>To verify and remove user accounts that are not Directory Service accounts:</t>
    </r>
    <r>
      <rPr>
        <sz val="11"/>
        <color rgb="FF000000"/>
        <rFont val="Calibri"/>
      </rPr>
      <t xml:space="preserve">
</t>
    </r>
    <r>
      <rPr>
        <sz val="11"/>
        <color rgb="FF000000"/>
        <rFont val="Calibri"/>
      </rPr>
      <t>23. Choose Accounts &gt;&gt; Users &gt;&gt; List View.</t>
    </r>
    <r>
      <rPr>
        <sz val="11"/>
        <color rgb="FF000000"/>
        <rFont val="Calibri"/>
      </rPr>
      <t xml:space="preserve">
</t>
    </r>
    <r>
      <rPr>
        <sz val="11"/>
        <color rgb="FF000000"/>
        <rFont val="Calibri"/>
      </rPr>
      <t>If only a small number of user accounts are listed, it is recommended to use the following steps:</t>
    </r>
    <r>
      <rPr>
        <sz val="11"/>
        <color rgb="FF000000"/>
        <rFont val="Calibri"/>
      </rPr>
      <t xml:space="preserve">
</t>
    </r>
    <r>
      <rPr>
        <sz val="11"/>
        <color rgb="FF000000"/>
        <rFont val="Calibri"/>
      </rPr>
      <t>a. Under the "General Info" tab, click each username link to view the user's summary data.</t>
    </r>
    <r>
      <rPr>
        <sz val="11"/>
        <color rgb="FF000000"/>
        <rFont val="Calibri"/>
      </rPr>
      <t xml:space="preserve">
</t>
    </r>
    <r>
      <rPr>
        <sz val="11"/>
        <color rgb="FF000000"/>
        <rFont val="Calibri"/>
      </rPr>
      <t>b. Under "Type" in the "User Info" column, if "Basic" is listed, the user account must be removed. Choose the "More" drop-down and select "Delete". A pop-up window will appear stating whether the user was successfully deleted. Click "OK" to close the window.</t>
    </r>
    <r>
      <rPr>
        <sz val="11"/>
        <color rgb="FF000000"/>
        <rFont val="Calibri"/>
      </rPr>
      <t xml:space="preserve">
</t>
    </r>
    <r>
      <rPr>
        <sz val="11"/>
        <color rgb="FF000000"/>
        <rFont val="Calibri"/>
      </rPr>
      <t>c. Choose "List View" again to be presented with the list of user accounts and repeat steps a and b until the full set of user accounts has been examined.</t>
    </r>
    <r>
      <rPr>
        <sz val="11"/>
        <color rgb="FF000000"/>
        <rFont val="Calibri"/>
      </rPr>
      <t xml:space="preserve">
</t>
    </r>
    <r>
      <rPr>
        <sz val="11"/>
        <color rgb="FF000000"/>
        <rFont val="Calibri"/>
      </rPr>
      <t>If a large number of user accounts are listed, it is recommended to use the following steps instead:</t>
    </r>
    <r>
      <rPr>
        <sz val="11"/>
        <color rgb="FF000000"/>
        <rFont val="Calibri"/>
      </rPr>
      <t xml:space="preserve">
</t>
    </r>
    <r>
      <rPr>
        <sz val="11"/>
        <color rgb="FF000000"/>
        <rFont val="Calibri"/>
      </rPr>
      <t>a. Choose the "Export" drop-down and select the format to be used for the export list.</t>
    </r>
    <r>
      <rPr>
        <sz val="11"/>
        <color rgb="FF000000"/>
        <rFont val="Calibri"/>
      </rPr>
      <t xml:space="preserve">
</t>
    </r>
    <r>
      <rPr>
        <sz val="11"/>
        <color rgb="FF000000"/>
        <rFont val="Calibri"/>
      </rPr>
      <t>b. An "Export List" pop-up window will appear with instructions on where the exported list of user accounts is located.</t>
    </r>
    <r>
      <rPr>
        <sz val="11"/>
        <color rgb="FF000000"/>
        <rFont val="Calibri"/>
      </rPr>
      <t xml:space="preserve">
</t>
    </r>
    <r>
      <rPr>
        <sz val="11"/>
        <color rgb="FF000000"/>
        <rFont val="Calibri"/>
      </rPr>
      <t>c. Examine the exported list. If any user accounts are denoted as Basic in the "Security Type" column, the account must be deleted.</t>
    </r>
    <r>
      <rPr>
        <sz val="11"/>
        <color rgb="FF000000"/>
        <rFont val="Calibri"/>
      </rPr>
      <t xml:space="preserve">
</t>
    </r>
    <r>
      <rPr>
        <sz val="11"/>
        <color rgb="FF000000"/>
        <rFont val="Calibri"/>
      </rPr>
      <t>d: To delete a user account, click on the username link of the user account under "List View". Choose the "More" drop-down and select "Delete". A pop-up window will appear stating whether the user was successfully deleted. Click "OK" to close the window.</t>
    </r>
    <r>
      <rPr>
        <sz val="11"/>
        <color rgb="FF000000"/>
        <rFont val="Calibri"/>
      </rPr>
      <t xml:space="preserve">
</t>
    </r>
    <r>
      <rPr>
        <sz val="11"/>
        <color rgb="FF000000"/>
        <rFont val="Calibri"/>
      </rPr>
      <t>e. Choose "List View" again to be presented with the list of remaining user accounts and repeat step d until all user accounts with a Security Type of "Basic" have been deleted.</t>
    </r>
    <r>
      <rPr>
        <sz val="11"/>
        <color rgb="FF000000"/>
        <rFont val="Calibri"/>
      </rPr>
      <t xml:space="preserve">
</t>
    </r>
    <r>
      <rPr>
        <sz val="11"/>
        <color rgb="FF000000"/>
        <rFont val="Calibri"/>
      </rPr>
      <t>Exception: One local "Emergency" account may remain.</t>
    </r>
  </si>
  <si>
    <r>
      <rPr>
        <sz val="11"/>
        <color rgb="FF000000"/>
        <rFont val="Calibri"/>
      </rPr>
      <t>A comprehensive account management process that includes automation helps to ensure the accounts designated as requiring attention are consistently and promptly addressed. If an attacker compromises an account, the entire Workspace ONE UEM server infrastructure is at risk. Providing automated support functions for the management of accounts will ensure only active accounts will be granted access with the proper authorization levels. These objectives are best achieved by configuring the Workspace ONE UEM server to leverage an enterprise authentication mechanism (e.g., Microsoft Active Directory Kerberos).</t>
    </r>
    <r>
      <rPr>
        <sz val="11"/>
        <color rgb="FF000000"/>
        <rFont val="Calibri"/>
      </rPr>
      <t xml:space="preserve">
</t>
    </r>
    <r>
      <rPr>
        <sz val="11"/>
        <color rgb="FF000000"/>
        <rFont val="Calibri"/>
      </rPr>
      <t>SFR ID: FIA</t>
    </r>
  </si>
  <si>
    <r>
      <rPr>
        <sz val="11"/>
        <color rgb="FF000000"/>
        <rFont val="Calibri"/>
      </rPr>
      <t>Review the configuration steps necessary to leverage MDM platform user and administrator accounts and groups for Workspace ONE UEM server user identification and authentication:</t>
    </r>
    <r>
      <rPr>
        <sz val="11"/>
        <color rgb="FF000000"/>
        <rFont val="Calibri"/>
      </rPr>
      <t xml:space="preserve">
</t>
    </r>
    <r>
      <rPr>
        <sz val="11"/>
        <color rgb="FF000000"/>
        <rFont val="Calibri"/>
      </rPr>
      <t>On the Workspace ONE UEM console, complete the following procedure to ensure the Workspace ONE UEM (MDM) Server is configured to leverage an enterprise authentication mechanism, and that Workspace ONE UEM users and administrators can only use directory accounts to enroll into the Workspace ONE UEM (MDM) Server:</t>
    </r>
    <r>
      <rPr>
        <sz val="11"/>
        <color rgb="FF000000"/>
        <rFont val="Calibri"/>
      </rPr>
      <t xml:space="preserve">
</t>
    </r>
    <r>
      <rPr>
        <sz val="11"/>
        <color rgb="FF000000"/>
        <rFont val="Calibri"/>
      </rPr>
      <t>1. For Workspace ONE UEM server Platform configuration, refer to "https://docs.vmware.com/en/VMware-Workspace-ONE-UEM/1907/Directory_Service_Integration/GUID-AWT-DIRECTORYSERVICESOVERVIEW.html".</t>
    </r>
    <r>
      <rPr>
        <sz val="11"/>
        <color rgb="FF000000"/>
        <rFont val="Calibri"/>
      </rPr>
      <t xml:space="preserve">
</t>
    </r>
    <r>
      <rPr>
        <sz val="11"/>
        <color rgb="FF000000"/>
        <rFont val="Calibri"/>
      </rPr>
      <t>2. Log in to the Workspace ONE UEM Administration console.</t>
    </r>
    <r>
      <rPr>
        <sz val="11"/>
        <color rgb="FF000000"/>
        <rFont val="Calibri"/>
      </rPr>
      <t xml:space="preserve">
</t>
    </r>
    <r>
      <rPr>
        <sz val="11"/>
        <color rgb="FF000000"/>
        <rFont val="Calibri"/>
      </rPr>
      <t>3. Choose "Groups and Settings".</t>
    </r>
    <r>
      <rPr>
        <sz val="11"/>
        <color rgb="FF000000"/>
        <rFont val="Calibri"/>
      </rPr>
      <t xml:space="preserve">
</t>
    </r>
    <r>
      <rPr>
        <sz val="11"/>
        <color rgb="FF000000"/>
        <rFont val="Calibri"/>
      </rPr>
      <t>4. Choose "All Settings".</t>
    </r>
    <r>
      <rPr>
        <sz val="11"/>
        <color rgb="FF000000"/>
        <rFont val="Calibri"/>
      </rPr>
      <t xml:space="preserve">
</t>
    </r>
    <r>
      <rPr>
        <sz val="11"/>
        <color rgb="FF000000"/>
        <rFont val="Calibri"/>
      </rPr>
      <t>5. Under the "System" heading, choose "Enterprise Integration".</t>
    </r>
    <r>
      <rPr>
        <sz val="11"/>
        <color rgb="FF000000"/>
        <rFont val="Calibri"/>
      </rPr>
      <t xml:space="preserve">
</t>
    </r>
    <r>
      <rPr>
        <sz val="11"/>
        <color rgb="FF000000"/>
        <rFont val="Calibri"/>
      </rPr>
      <t>6. Choose "Directory Services".</t>
    </r>
    <r>
      <rPr>
        <sz val="11"/>
        <color rgb="FF000000"/>
        <rFont val="Calibri"/>
      </rPr>
      <t xml:space="preserve">
</t>
    </r>
    <r>
      <rPr>
        <sz val="11"/>
        <color rgb="FF000000"/>
        <rFont val="Calibri"/>
      </rPr>
      <t>7. Under the "Server" tab, verify directory service connection information.</t>
    </r>
    <r>
      <rPr>
        <sz val="11"/>
        <color rgb="FF000000"/>
        <rFont val="Calibri"/>
      </rPr>
      <t xml:space="preserve">
</t>
    </r>
    <r>
      <rPr>
        <sz val="11"/>
        <color rgb="FF000000"/>
        <rFont val="Calibri"/>
      </rPr>
      <t>8. Under the "User" tab, verify User Group connection information.</t>
    </r>
    <r>
      <rPr>
        <sz val="11"/>
        <color rgb="FF000000"/>
        <rFont val="Calibri"/>
      </rPr>
      <t xml:space="preserve">
</t>
    </r>
    <r>
      <rPr>
        <sz val="11"/>
        <color rgb="FF000000"/>
        <rFont val="Calibri"/>
      </rPr>
      <t>9. Under the "Group" tab, verify Group connection information.</t>
    </r>
    <r>
      <rPr>
        <sz val="11"/>
        <color rgb="FF000000"/>
        <rFont val="Calibri"/>
      </rPr>
      <t xml:space="preserve">
</t>
    </r>
    <r>
      <rPr>
        <sz val="11"/>
        <color rgb="FF000000"/>
        <rFont val="Calibri"/>
      </rPr>
      <t>10. Choose "X" to close screen.</t>
    </r>
    <r>
      <rPr>
        <sz val="11"/>
        <color rgb="FF000000"/>
        <rFont val="Calibri"/>
      </rPr>
      <t xml:space="preserve">
</t>
    </r>
    <r>
      <rPr>
        <sz val="11"/>
        <color rgb="FF000000"/>
        <rFont val="Calibri"/>
      </rPr>
      <t>11. Choose "Groups and Settings".</t>
    </r>
    <r>
      <rPr>
        <sz val="11"/>
        <color rgb="FF000000"/>
        <rFont val="Calibri"/>
      </rPr>
      <t xml:space="preserve">
</t>
    </r>
    <r>
      <rPr>
        <sz val="11"/>
        <color rgb="FF000000"/>
        <rFont val="Calibri"/>
      </rPr>
      <t>12. Choose "All Settings".</t>
    </r>
    <r>
      <rPr>
        <sz val="11"/>
        <color rgb="FF000000"/>
        <rFont val="Calibri"/>
      </rPr>
      <t xml:space="preserve">
</t>
    </r>
    <r>
      <rPr>
        <sz val="11"/>
        <color rgb="FF000000"/>
        <rFont val="Calibri"/>
      </rPr>
      <t>13. Under "Devices and Users", choose "General".</t>
    </r>
    <r>
      <rPr>
        <sz val="11"/>
        <color rgb="FF000000"/>
        <rFont val="Calibri"/>
      </rPr>
      <t xml:space="preserve">
</t>
    </r>
    <r>
      <rPr>
        <sz val="11"/>
        <color rgb="FF000000"/>
        <rFont val="Calibri"/>
      </rPr>
      <t>14. Choose "Enrollment".</t>
    </r>
    <r>
      <rPr>
        <sz val="11"/>
        <color rgb="FF000000"/>
        <rFont val="Calibri"/>
      </rPr>
      <t xml:space="preserve">
</t>
    </r>
    <r>
      <rPr>
        <sz val="11"/>
        <color rgb="FF000000"/>
        <rFont val="Calibri"/>
      </rPr>
      <t>15. On the "Authentication Modes" setting, verify only the box titled "Directory" is selected.</t>
    </r>
    <r>
      <rPr>
        <sz val="11"/>
        <color rgb="FF000000"/>
        <rFont val="Calibri"/>
      </rPr>
      <t xml:space="preserve">
</t>
    </r>
    <r>
      <rPr>
        <sz val="11"/>
        <color rgb="FF000000"/>
        <rFont val="Calibri"/>
      </rPr>
      <t>If on the Workspace ONE UEM server console "Directory" is not selected as the authentication mode, this is a finding.</t>
    </r>
    <r>
      <rPr>
        <sz val="11"/>
        <color rgb="FF000000"/>
        <rFont val="Calibri"/>
      </rPr>
      <t xml:space="preserve">
</t>
    </r>
    <r>
      <rPr>
        <sz val="11"/>
        <color rgb="FF000000"/>
        <rFont val="Calibri"/>
      </rPr>
      <t>If the MDM platform user authentication is not implemented via an enterprise directory service, this is a finding.</t>
    </r>
    <r>
      <rPr>
        <sz val="11"/>
        <color rgb="FF000000"/>
        <rFont val="Calibri"/>
      </rPr>
      <t xml:space="preserve">
</t>
    </r>
    <r>
      <rPr>
        <sz val="11"/>
        <color rgb="FF000000"/>
        <rFont val="Calibri"/>
      </rPr>
      <t>To verify administrators can only use directory services accounts:</t>
    </r>
    <r>
      <rPr>
        <sz val="11"/>
        <color rgb="FF000000"/>
        <rFont val="Calibri"/>
      </rPr>
      <t xml:space="preserve">
</t>
    </r>
    <r>
      <rPr>
        <sz val="11"/>
        <color rgb="FF000000"/>
        <rFont val="Calibri"/>
      </rPr>
      <t>16. Choose Accounts &gt;&gt; Administrators &gt;&gt; List View.</t>
    </r>
    <r>
      <rPr>
        <sz val="11"/>
        <color rgb="FF000000"/>
        <rFont val="Calibri"/>
      </rPr>
      <t xml:space="preserve">
</t>
    </r>
    <r>
      <rPr>
        <sz val="11"/>
        <color rgb="FF000000"/>
        <rFont val="Calibri"/>
      </rPr>
      <t>17. Review user types under the Admin Type heading. If any users have an Admin Type of "Basic", this is a finding.</t>
    </r>
    <r>
      <rPr>
        <sz val="11"/>
        <color rgb="FF000000"/>
        <rFont val="Calibri"/>
      </rPr>
      <t xml:space="preserve">
</t>
    </r>
    <r>
      <rPr>
        <sz val="11"/>
        <color rgb="FF000000"/>
        <rFont val="Calibri"/>
      </rPr>
      <t>To verify users can only use directory services accounts:</t>
    </r>
    <r>
      <rPr>
        <sz val="11"/>
        <color rgb="FF000000"/>
        <rFont val="Calibri"/>
      </rPr>
      <t xml:space="preserve">
</t>
    </r>
    <r>
      <rPr>
        <sz val="11"/>
        <color rgb="FF000000"/>
        <rFont val="Calibri"/>
      </rPr>
      <t>18. Choose Accounts &gt;&gt; Users &gt;&gt; List View.</t>
    </r>
    <r>
      <rPr>
        <sz val="11"/>
        <color rgb="FF000000"/>
        <rFont val="Calibri"/>
      </rPr>
      <t xml:space="preserve">
</t>
    </r>
    <r>
      <rPr>
        <sz val="11"/>
        <color rgb="FF000000"/>
        <rFont val="Calibri"/>
      </rPr>
      <t>If only a small number of user accounts are listed, it is recommended to use the following steps:</t>
    </r>
    <r>
      <rPr>
        <sz val="11"/>
        <color rgb="FF000000"/>
        <rFont val="Calibri"/>
      </rPr>
      <t xml:space="preserve">
</t>
    </r>
    <r>
      <rPr>
        <sz val="11"/>
        <color rgb="FF000000"/>
        <rFont val="Calibri"/>
      </rPr>
      <t>a. Under the "General Info" tab, click each username link to view the user's summary data.</t>
    </r>
    <r>
      <rPr>
        <sz val="11"/>
        <color rgb="FF000000"/>
        <rFont val="Calibri"/>
      </rPr>
      <t xml:space="preserve">
</t>
    </r>
    <r>
      <rPr>
        <sz val="11"/>
        <color rgb="FF000000"/>
        <rFont val="Calibri"/>
      </rPr>
      <t>b. Under "Type" in the "User Info" column, if "Basic" is listed, this is a finding.</t>
    </r>
    <r>
      <rPr>
        <sz val="11"/>
        <color rgb="FF000000"/>
        <rFont val="Calibri"/>
      </rPr>
      <t xml:space="preserve">
</t>
    </r>
    <r>
      <rPr>
        <sz val="11"/>
        <color rgb="FF000000"/>
        <rFont val="Calibri"/>
      </rPr>
      <t>c. Choose "List View" again to be presented with the list of user accounts and repeat steps a and b until the full set of user accounts has been examined.</t>
    </r>
    <r>
      <rPr>
        <sz val="11"/>
        <color rgb="FF000000"/>
        <rFont val="Calibri"/>
      </rPr>
      <t xml:space="preserve">
</t>
    </r>
    <r>
      <rPr>
        <sz val="11"/>
        <color rgb="FF000000"/>
        <rFont val="Calibri"/>
      </rPr>
      <t>If a large number of user accounts are listed, it is recommended to use the following steps instead:</t>
    </r>
    <r>
      <rPr>
        <sz val="11"/>
        <color rgb="FF000000"/>
        <rFont val="Calibri"/>
      </rPr>
      <t xml:space="preserve">
</t>
    </r>
    <r>
      <rPr>
        <sz val="11"/>
        <color rgb="FF000000"/>
        <rFont val="Calibri"/>
      </rPr>
      <t>a. Choose the "Export" drop-down and select the format to be used for the export list.</t>
    </r>
    <r>
      <rPr>
        <sz val="11"/>
        <color rgb="FF000000"/>
        <rFont val="Calibri"/>
      </rPr>
      <t xml:space="preserve">
</t>
    </r>
    <r>
      <rPr>
        <sz val="11"/>
        <color rgb="FF000000"/>
        <rFont val="Calibri"/>
      </rPr>
      <t>b. An "Export List" pop-up window will appear with instructions on where to locate and examine the exported list of user accounts.</t>
    </r>
    <r>
      <rPr>
        <sz val="11"/>
        <color rgb="FF000000"/>
        <rFont val="Calibri"/>
      </rPr>
      <t xml:space="preserve">
</t>
    </r>
    <r>
      <rPr>
        <sz val="11"/>
        <color rgb="FF000000"/>
        <rFont val="Calibri"/>
      </rPr>
      <t>c. Examine the exported list. If any user accounts are denoted as "Basic" in the "Security Type" column, this is a finding.</t>
    </r>
    <r>
      <rPr>
        <sz val="11"/>
        <color rgb="FF000000"/>
        <rFont val="Calibri"/>
      </rPr>
      <t xml:space="preserve">
</t>
    </r>
    <r>
      <rPr>
        <sz val="11"/>
        <color rgb="FF000000"/>
        <rFont val="Calibri"/>
      </rPr>
      <t>Exception: One local "Emergency" account may remain.</t>
    </r>
  </si>
  <si>
    <t>V-221645</t>
  </si>
  <si>
    <r>
      <rPr>
        <sz val="11"/>
        <rFont val="Calibri"/>
      </rPr>
      <t>Authentication of MDM platform accounts must be configured so they are implemented via an enterprise directory service.</t>
    </r>
  </si>
  <si>
    <r>
      <rPr>
        <sz val="11"/>
        <color rgb="FF000000"/>
        <rFont val="Calibri"/>
      </rPr>
      <t>Configure the MDM platform so that user and administrator authentication is implemented via an enterprise directory service.</t>
    </r>
    <r>
      <rPr>
        <sz val="11"/>
        <color rgb="FF000000"/>
        <rFont val="Calibri"/>
      </rPr>
      <t xml:space="preserve">
</t>
    </r>
    <r>
      <rPr>
        <sz val="11"/>
        <color rgb="FF000000"/>
        <rFont val="Calibri"/>
      </rPr>
      <t>On the Workspace ONE UEM console complete the following procedure to ensure that the Workspace ONE UEM (MDM) Server is configured to leverage an enterprise authentication mechanism, and that Workspace ONE UEM users can only use directory accounts to enroll into the Workspace ONE UEM (MDM) Server:</t>
    </r>
    <r>
      <rPr>
        <sz val="11"/>
        <color rgb="FF000000"/>
        <rFont val="Calibri"/>
      </rPr>
      <t xml:space="preserve">
</t>
    </r>
    <r>
      <rPr>
        <sz val="11"/>
        <color rgb="FF000000"/>
        <rFont val="Calibri"/>
      </rPr>
      <t>Exception: One local "Emergency" account may remain that uses WS1 authentication services.</t>
    </r>
    <r>
      <rPr>
        <sz val="11"/>
        <color rgb="FF000000"/>
        <rFont val="Calibri"/>
      </rPr>
      <t xml:space="preserve">
</t>
    </r>
    <r>
      <rPr>
        <sz val="11"/>
        <color rgb="FF000000"/>
        <rFont val="Calibri"/>
      </rPr>
      <t>1. For Workspace ONE UEM server Platform configuration, refer to "https://docs.vmware.com/en/VMware-Workspace-ONE-UEM/1907/Directory_Service_Integration/GUID-AWT-DIRECTORYSERVICESOVERVIEW.html".</t>
    </r>
    <r>
      <rPr>
        <sz val="11"/>
        <color rgb="FF000000"/>
        <rFont val="Calibri"/>
      </rPr>
      <t xml:space="preserve">
</t>
    </r>
    <r>
      <rPr>
        <sz val="11"/>
        <color rgb="FF000000"/>
        <rFont val="Calibri"/>
      </rPr>
      <t>2. Log in to the Workspace ONE UEM Administration console.</t>
    </r>
    <r>
      <rPr>
        <sz val="11"/>
        <color rgb="FF000000"/>
        <rFont val="Calibri"/>
      </rPr>
      <t xml:space="preserve">
</t>
    </r>
    <r>
      <rPr>
        <sz val="11"/>
        <color rgb="FF000000"/>
        <rFont val="Calibri"/>
      </rPr>
      <t>3. Choose "Groups and Settings".</t>
    </r>
    <r>
      <rPr>
        <sz val="11"/>
        <color rgb="FF000000"/>
        <rFont val="Calibri"/>
      </rPr>
      <t xml:space="preserve">
</t>
    </r>
    <r>
      <rPr>
        <sz val="11"/>
        <color rgb="FF000000"/>
        <rFont val="Calibri"/>
      </rPr>
      <t>4. Choose "All Settings".</t>
    </r>
    <r>
      <rPr>
        <sz val="11"/>
        <color rgb="FF000000"/>
        <rFont val="Calibri"/>
      </rPr>
      <t xml:space="preserve">
</t>
    </r>
    <r>
      <rPr>
        <sz val="11"/>
        <color rgb="FF000000"/>
        <rFont val="Calibri"/>
      </rPr>
      <t>5. Under "System" heading, choose "Enterprise Integration".</t>
    </r>
    <r>
      <rPr>
        <sz val="11"/>
        <color rgb="FF000000"/>
        <rFont val="Calibri"/>
      </rPr>
      <t xml:space="preserve">
</t>
    </r>
    <r>
      <rPr>
        <sz val="11"/>
        <color rgb="FF000000"/>
        <rFont val="Calibri"/>
      </rPr>
      <t>6. Choose "Directory Services".</t>
    </r>
    <r>
      <rPr>
        <sz val="11"/>
        <color rgb="FF000000"/>
        <rFont val="Calibri"/>
      </rPr>
      <t xml:space="preserve">
</t>
    </r>
    <r>
      <rPr>
        <sz val="11"/>
        <color rgb="FF000000"/>
        <rFont val="Calibri"/>
      </rPr>
      <t>7. Under "Server" tab, verify directory service connection information. If not set according to organizational rules, modify the directory service connection to the correct setting.</t>
    </r>
    <r>
      <rPr>
        <sz val="11"/>
        <color rgb="FF000000"/>
        <rFont val="Calibri"/>
      </rPr>
      <t xml:space="preserve">
</t>
    </r>
    <r>
      <rPr>
        <sz val="11"/>
        <color rgb="FF000000"/>
        <rFont val="Calibri"/>
      </rPr>
      <t>8. Under "User" tab, verify User Group connection information. If not set according to organizational rules, modify the User Group connection to the correct setting.</t>
    </r>
    <r>
      <rPr>
        <sz val="11"/>
        <color rgb="FF000000"/>
        <rFont val="Calibri"/>
      </rPr>
      <t xml:space="preserve">
</t>
    </r>
    <r>
      <rPr>
        <sz val="11"/>
        <color rgb="FF000000"/>
        <rFont val="Calibri"/>
      </rPr>
      <t>9. Under "Group" tab, verify Group connection information. If not set according to organizational rules, modify the Group connection to the correct setting.</t>
    </r>
    <r>
      <rPr>
        <sz val="11"/>
        <color rgb="FF000000"/>
        <rFont val="Calibri"/>
      </rPr>
      <t xml:space="preserve">
</t>
    </r>
    <r>
      <rPr>
        <sz val="11"/>
        <color rgb="FF000000"/>
        <rFont val="Calibri"/>
      </rPr>
      <t>10. If any changes made to Server, User, or Group settings, click "Save".</t>
    </r>
    <r>
      <rPr>
        <sz val="11"/>
        <color rgb="FF000000"/>
        <rFont val="Calibri"/>
      </rPr>
      <t xml:space="preserve">
</t>
    </r>
    <r>
      <rPr>
        <sz val="11"/>
        <color rgb="FF000000"/>
        <rFont val="Calibri"/>
      </rPr>
      <t>11. Choose "X" to close screen.</t>
    </r>
    <r>
      <rPr>
        <sz val="11"/>
        <color rgb="FF000000"/>
        <rFont val="Calibri"/>
      </rPr>
      <t xml:space="preserve">
</t>
    </r>
    <r>
      <rPr>
        <sz val="11"/>
        <color rgb="FF000000"/>
        <rFont val="Calibri"/>
      </rPr>
      <t>12. Choose "Groups and Settings".</t>
    </r>
    <r>
      <rPr>
        <sz val="11"/>
        <color rgb="FF000000"/>
        <rFont val="Calibri"/>
      </rPr>
      <t xml:space="preserve">
</t>
    </r>
    <r>
      <rPr>
        <sz val="11"/>
        <color rgb="FF000000"/>
        <rFont val="Calibri"/>
      </rPr>
      <t>13. Choose "All Settings".</t>
    </r>
    <r>
      <rPr>
        <sz val="11"/>
        <color rgb="FF000000"/>
        <rFont val="Calibri"/>
      </rPr>
      <t xml:space="preserve">
</t>
    </r>
    <r>
      <rPr>
        <sz val="11"/>
        <color rgb="FF000000"/>
        <rFont val="Calibri"/>
      </rPr>
      <t>14. Under "Devices and Users", choose "General".</t>
    </r>
    <r>
      <rPr>
        <sz val="11"/>
        <color rgb="FF000000"/>
        <rFont val="Calibri"/>
      </rPr>
      <t xml:space="preserve">
</t>
    </r>
    <r>
      <rPr>
        <sz val="11"/>
        <color rgb="FF000000"/>
        <rFont val="Calibri"/>
      </rPr>
      <t>15. Choose "Enrollment".</t>
    </r>
    <r>
      <rPr>
        <sz val="11"/>
        <color rgb="FF000000"/>
        <rFont val="Calibri"/>
      </rPr>
      <t xml:space="preserve">
</t>
    </r>
    <r>
      <rPr>
        <sz val="11"/>
        <color rgb="FF000000"/>
        <rFont val="Calibri"/>
      </rPr>
      <t>16. On the "Authentication Modes" setting, verify only the box titled "Directory" is selected. If "Directory" is unchecked, select it. If any other boxes are checked, uncheck them.</t>
    </r>
    <r>
      <rPr>
        <sz val="11"/>
        <color rgb="FF000000"/>
        <rFont val="Calibri"/>
      </rPr>
      <t xml:space="preserve">
</t>
    </r>
    <r>
      <rPr>
        <sz val="11"/>
        <color rgb="FF000000"/>
        <rFont val="Calibri"/>
      </rPr>
      <t>17. If any changes were made to "Authentication Modes" settings, click "Save".</t>
    </r>
    <r>
      <rPr>
        <sz val="11"/>
        <color rgb="FF000000"/>
        <rFont val="Calibri"/>
      </rPr>
      <t xml:space="preserve">
</t>
    </r>
    <r>
      <rPr>
        <sz val="11"/>
        <color rgb="FF000000"/>
        <rFont val="Calibri"/>
      </rPr>
      <t>18. Choose "X" to close the window.</t>
    </r>
    <r>
      <rPr>
        <sz val="11"/>
        <color rgb="FF000000"/>
        <rFont val="Calibri"/>
      </rPr>
      <t xml:space="preserve">
</t>
    </r>
    <r>
      <rPr>
        <sz val="11"/>
        <color rgb="FF000000"/>
        <rFont val="Calibri"/>
      </rPr>
      <t>To verify and remove any administrator accounts that are not Directory Service accounts:</t>
    </r>
    <r>
      <rPr>
        <sz val="11"/>
        <color rgb="FF000000"/>
        <rFont val="Calibri"/>
      </rPr>
      <t xml:space="preserve">
</t>
    </r>
    <r>
      <rPr>
        <sz val="11"/>
        <color rgb="FF000000"/>
        <rFont val="Calibri"/>
      </rPr>
      <t>19. Choose Accounts &gt;&gt; Administrators &gt;&gt; List View.</t>
    </r>
    <r>
      <rPr>
        <sz val="11"/>
        <color rgb="FF000000"/>
        <rFont val="Calibri"/>
      </rPr>
      <t xml:space="preserve">
</t>
    </r>
    <r>
      <rPr>
        <sz val="11"/>
        <color rgb="FF000000"/>
        <rFont val="Calibri"/>
      </rPr>
      <t>20. Review user types under the "Admin Type" heading, and select all users, and only users, with an Admin Type of "Basic". Do NOT select users with an Admin Type of "Directory". Selecting one or more users with the Basic Admin Type will cause the "More Actions" drop-down to appear.</t>
    </r>
    <r>
      <rPr>
        <sz val="11"/>
        <color rgb="FF000000"/>
        <rFont val="Calibri"/>
      </rPr>
      <t xml:space="preserve">
</t>
    </r>
    <r>
      <rPr>
        <sz val="11"/>
        <color rgb="FF000000"/>
        <rFont val="Calibri"/>
      </rPr>
      <t>21. From the More Actions drop down, select "Delete". This will result in an "Are you sure you want to delete this record?" pop-up box asking to confirm deletion of the selected account(s).</t>
    </r>
    <r>
      <rPr>
        <sz val="11"/>
        <color rgb="FF000000"/>
        <rFont val="Calibri"/>
      </rPr>
      <t xml:space="preserve">
</t>
    </r>
    <r>
      <rPr>
        <sz val="11"/>
        <color rgb="FF000000"/>
        <rFont val="Calibri"/>
      </rPr>
      <t>22. Click "OK" to delete the selected accounts.</t>
    </r>
    <r>
      <rPr>
        <sz val="11"/>
        <color rgb="FF000000"/>
        <rFont val="Calibri"/>
      </rPr>
      <t xml:space="preserve">
</t>
    </r>
    <r>
      <rPr>
        <sz val="11"/>
        <color rgb="FF000000"/>
        <rFont val="Calibri"/>
      </rPr>
      <t>To verify and remove any user accounts that are not Directory Service accounts:</t>
    </r>
    <r>
      <rPr>
        <sz val="11"/>
        <color rgb="FF000000"/>
        <rFont val="Calibri"/>
      </rPr>
      <t xml:space="preserve">
</t>
    </r>
    <r>
      <rPr>
        <sz val="11"/>
        <color rgb="FF000000"/>
        <rFont val="Calibri"/>
      </rPr>
      <t>23. Choose Accounts &gt;&gt; Users &gt;&gt; List View.</t>
    </r>
    <r>
      <rPr>
        <sz val="11"/>
        <color rgb="FF000000"/>
        <rFont val="Calibri"/>
      </rPr>
      <t xml:space="preserve">
</t>
    </r>
    <r>
      <rPr>
        <sz val="11"/>
        <color rgb="FF000000"/>
        <rFont val="Calibri"/>
      </rPr>
      <t>If only a small number of user accounts are listed, it is recommended to use the following steps:</t>
    </r>
    <r>
      <rPr>
        <sz val="11"/>
        <color rgb="FF000000"/>
        <rFont val="Calibri"/>
      </rPr>
      <t xml:space="preserve">
</t>
    </r>
    <r>
      <rPr>
        <sz val="11"/>
        <color rgb="FF000000"/>
        <rFont val="Calibri"/>
      </rPr>
      <t>a. Under the "General Info" tab, click each username link to view the user's summary data.</t>
    </r>
    <r>
      <rPr>
        <sz val="11"/>
        <color rgb="FF000000"/>
        <rFont val="Calibri"/>
      </rPr>
      <t xml:space="preserve">
</t>
    </r>
    <r>
      <rPr>
        <sz val="11"/>
        <color rgb="FF000000"/>
        <rFont val="Calibri"/>
      </rPr>
      <t>b. Under "Type" in the "User Info" column, if "Basic" is listed, the user account must be removed. Choose the "More" drop-down and select "Delete". A pop-up window will appear stating whether the user was successfully deleted. Click "OK" to close the window.</t>
    </r>
    <r>
      <rPr>
        <sz val="11"/>
        <color rgb="FF000000"/>
        <rFont val="Calibri"/>
      </rPr>
      <t xml:space="preserve">
</t>
    </r>
    <r>
      <rPr>
        <sz val="11"/>
        <color rgb="FF000000"/>
        <rFont val="Calibri"/>
      </rPr>
      <t>c. Choose "List View" again to be presented with the list of user accounts and repeat steps a and b until the full set of user accounts has been examined.</t>
    </r>
    <r>
      <rPr>
        <sz val="11"/>
        <color rgb="FF000000"/>
        <rFont val="Calibri"/>
      </rPr>
      <t xml:space="preserve">
</t>
    </r>
    <r>
      <rPr>
        <sz val="11"/>
        <color rgb="FF000000"/>
        <rFont val="Calibri"/>
      </rPr>
      <t>If a large number of user accounts are listed, it is recommended to use the following steps instead:</t>
    </r>
    <r>
      <rPr>
        <sz val="11"/>
        <color rgb="FF000000"/>
        <rFont val="Calibri"/>
      </rPr>
      <t xml:space="preserve">
</t>
    </r>
    <r>
      <rPr>
        <sz val="11"/>
        <color rgb="FF000000"/>
        <rFont val="Calibri"/>
      </rPr>
      <t>a. Choose the "Export" drop-down and select the format to be used for the export list.</t>
    </r>
    <r>
      <rPr>
        <sz val="11"/>
        <color rgb="FF000000"/>
        <rFont val="Calibri"/>
      </rPr>
      <t xml:space="preserve">
</t>
    </r>
    <r>
      <rPr>
        <sz val="11"/>
        <color rgb="FF000000"/>
        <rFont val="Calibri"/>
      </rPr>
      <t>b. An "Export List" pop-up window will appear with instructions on where the exported list of user accounts is located.</t>
    </r>
    <r>
      <rPr>
        <sz val="11"/>
        <color rgb="FF000000"/>
        <rFont val="Calibri"/>
      </rPr>
      <t xml:space="preserve">
</t>
    </r>
    <r>
      <rPr>
        <sz val="11"/>
        <color rgb="FF000000"/>
        <rFont val="Calibri"/>
      </rPr>
      <t>c. Examine the exported list. If any user accounts are denoted as "Basic" in the "Security Type" column, the account must be deleted.</t>
    </r>
    <r>
      <rPr>
        <sz val="11"/>
        <color rgb="FF000000"/>
        <rFont val="Calibri"/>
      </rPr>
      <t xml:space="preserve">
</t>
    </r>
    <r>
      <rPr>
        <sz val="11"/>
        <color rgb="FF000000"/>
        <rFont val="Calibri"/>
      </rPr>
      <t>d. To delete a user account, click the username link of the user account under "List View". Choose the "More" drop-down and select "Delete". A pop-up window will appear stating whether the user was successfully deleted. Click "OK" to close the window.</t>
    </r>
    <r>
      <rPr>
        <sz val="11"/>
        <color rgb="FF000000"/>
        <rFont val="Calibri"/>
      </rPr>
      <t xml:space="preserve">
</t>
    </r>
    <r>
      <rPr>
        <sz val="11"/>
        <color rgb="FF000000"/>
        <rFont val="Calibri"/>
      </rPr>
      <t>e. Choose "List View" again to be presented with the list of remaining user accounts and repeat step d until all user accounts with a Security Type of "Basic" have been deleted.</t>
    </r>
  </si>
  <si>
    <r>
      <rPr>
        <sz val="11"/>
        <color rgb="FF000000"/>
        <rFont val="Calibri"/>
      </rPr>
      <t>Review the MDM platform to verify user and administrator authentication is implemented via an enterprise directory service.</t>
    </r>
    <r>
      <rPr>
        <sz val="11"/>
        <color rgb="FF000000"/>
        <rFont val="Calibri"/>
      </rPr>
      <t xml:space="preserve">
</t>
    </r>
    <r>
      <rPr>
        <sz val="11"/>
        <color rgb="FF000000"/>
        <rFont val="Calibri"/>
      </rPr>
      <t>On the Workspace ONE UEM console complete the following procedure to ensure that the Workspace ONE UEM (MDM) Server is configured to leverage an enterprise authentication mechanism, and that Workspace ONE UEM users and administrators can only use directory accounts to enroll into the Workspace ONE UEM (MDM) Server:</t>
    </r>
    <r>
      <rPr>
        <sz val="11"/>
        <color rgb="FF000000"/>
        <rFont val="Calibri"/>
      </rPr>
      <t xml:space="preserve">
</t>
    </r>
    <r>
      <rPr>
        <sz val="11"/>
        <color rgb="FF000000"/>
        <rFont val="Calibri"/>
      </rPr>
      <t>1. For Workspace ONE UEM server Platform configuration, refer to "https://docs.vmware.com/en/VMware-Workspace-ONE-UEM/1907/Directory_Service_Integration/GUID-AWT-DIRECTORYSERVICESOVERVIEW.html".</t>
    </r>
    <r>
      <rPr>
        <sz val="11"/>
        <color rgb="FF000000"/>
        <rFont val="Calibri"/>
      </rPr>
      <t xml:space="preserve">
</t>
    </r>
    <r>
      <rPr>
        <sz val="11"/>
        <color rgb="FF000000"/>
        <rFont val="Calibri"/>
      </rPr>
      <t>2. Log in to the Workspace ONE UEM Administration console.</t>
    </r>
    <r>
      <rPr>
        <sz val="11"/>
        <color rgb="FF000000"/>
        <rFont val="Calibri"/>
      </rPr>
      <t xml:space="preserve">
</t>
    </r>
    <r>
      <rPr>
        <sz val="11"/>
        <color rgb="FF000000"/>
        <rFont val="Calibri"/>
      </rPr>
      <t>3. Choose "Groups and Settings".</t>
    </r>
    <r>
      <rPr>
        <sz val="11"/>
        <color rgb="FF000000"/>
        <rFont val="Calibri"/>
      </rPr>
      <t xml:space="preserve">
</t>
    </r>
    <r>
      <rPr>
        <sz val="11"/>
        <color rgb="FF000000"/>
        <rFont val="Calibri"/>
      </rPr>
      <t>4. Choose "All Settings".</t>
    </r>
    <r>
      <rPr>
        <sz val="11"/>
        <color rgb="FF000000"/>
        <rFont val="Calibri"/>
      </rPr>
      <t xml:space="preserve">
</t>
    </r>
    <r>
      <rPr>
        <sz val="11"/>
        <color rgb="FF000000"/>
        <rFont val="Calibri"/>
      </rPr>
      <t>5. Under "System" heading, choose "Enterprise Integration".</t>
    </r>
    <r>
      <rPr>
        <sz val="11"/>
        <color rgb="FF000000"/>
        <rFont val="Calibri"/>
      </rPr>
      <t xml:space="preserve">
</t>
    </r>
    <r>
      <rPr>
        <sz val="11"/>
        <color rgb="FF000000"/>
        <rFont val="Calibri"/>
      </rPr>
      <t>6. Choose "Directory Services".</t>
    </r>
    <r>
      <rPr>
        <sz val="11"/>
        <color rgb="FF000000"/>
        <rFont val="Calibri"/>
      </rPr>
      <t xml:space="preserve">
</t>
    </r>
    <r>
      <rPr>
        <sz val="11"/>
        <color rgb="FF000000"/>
        <rFont val="Calibri"/>
      </rPr>
      <t>7. Under "Server" tab, verify directory service connection information.</t>
    </r>
    <r>
      <rPr>
        <sz val="11"/>
        <color rgb="FF000000"/>
        <rFont val="Calibri"/>
      </rPr>
      <t xml:space="preserve">
</t>
    </r>
    <r>
      <rPr>
        <sz val="11"/>
        <color rgb="FF000000"/>
        <rFont val="Calibri"/>
      </rPr>
      <t>8. Under "User" tab, verify User Group connection information.</t>
    </r>
    <r>
      <rPr>
        <sz val="11"/>
        <color rgb="FF000000"/>
        <rFont val="Calibri"/>
      </rPr>
      <t xml:space="preserve">
</t>
    </r>
    <r>
      <rPr>
        <sz val="11"/>
        <color rgb="FF000000"/>
        <rFont val="Calibri"/>
      </rPr>
      <t>9. Under "Group" tab, verify Group connection information.</t>
    </r>
    <r>
      <rPr>
        <sz val="11"/>
        <color rgb="FF000000"/>
        <rFont val="Calibri"/>
      </rPr>
      <t xml:space="preserve">
</t>
    </r>
    <r>
      <rPr>
        <sz val="11"/>
        <color rgb="FF000000"/>
        <rFont val="Calibri"/>
      </rPr>
      <t>10. Choose "X" to close screen.</t>
    </r>
    <r>
      <rPr>
        <sz val="11"/>
        <color rgb="FF000000"/>
        <rFont val="Calibri"/>
      </rPr>
      <t xml:space="preserve">
</t>
    </r>
    <r>
      <rPr>
        <sz val="11"/>
        <color rgb="FF000000"/>
        <rFont val="Calibri"/>
      </rPr>
      <t>11. Choose "Groups and Settings".</t>
    </r>
    <r>
      <rPr>
        <sz val="11"/>
        <color rgb="FF000000"/>
        <rFont val="Calibri"/>
      </rPr>
      <t xml:space="preserve">
</t>
    </r>
    <r>
      <rPr>
        <sz val="11"/>
        <color rgb="FF000000"/>
        <rFont val="Calibri"/>
      </rPr>
      <t>12. Choose "All Settings".</t>
    </r>
    <r>
      <rPr>
        <sz val="11"/>
        <color rgb="FF000000"/>
        <rFont val="Calibri"/>
      </rPr>
      <t xml:space="preserve">
</t>
    </r>
    <r>
      <rPr>
        <sz val="11"/>
        <color rgb="FF000000"/>
        <rFont val="Calibri"/>
      </rPr>
      <t>13. Under "Devices and Users", choose "General".</t>
    </r>
    <r>
      <rPr>
        <sz val="11"/>
        <color rgb="FF000000"/>
        <rFont val="Calibri"/>
      </rPr>
      <t xml:space="preserve">
</t>
    </r>
    <r>
      <rPr>
        <sz val="11"/>
        <color rgb="FF000000"/>
        <rFont val="Calibri"/>
      </rPr>
      <t>14. Choose "Enrollment".</t>
    </r>
    <r>
      <rPr>
        <sz val="11"/>
        <color rgb="FF000000"/>
        <rFont val="Calibri"/>
      </rPr>
      <t xml:space="preserve">
</t>
    </r>
    <r>
      <rPr>
        <sz val="11"/>
        <color rgb="FF000000"/>
        <rFont val="Calibri"/>
      </rPr>
      <t>15. On "Authentication Modes" setting, verify only the box titled "Directory" is selected.</t>
    </r>
    <r>
      <rPr>
        <sz val="11"/>
        <color rgb="FF000000"/>
        <rFont val="Calibri"/>
      </rPr>
      <t xml:space="preserve">
</t>
    </r>
    <r>
      <rPr>
        <sz val="11"/>
        <color rgb="FF000000"/>
        <rFont val="Calibri"/>
      </rPr>
      <t>If on the Workspace ONE UEM server console "Directory" is not selected as the authentication mode, this is a finding.</t>
    </r>
    <r>
      <rPr>
        <sz val="11"/>
        <color rgb="FF000000"/>
        <rFont val="Calibri"/>
      </rPr>
      <t xml:space="preserve">
</t>
    </r>
    <r>
      <rPr>
        <sz val="11"/>
        <color rgb="FF000000"/>
        <rFont val="Calibri"/>
      </rPr>
      <t>If the MDM platform user authentication is not implemented via an enterprise directory service, this is a finding.</t>
    </r>
    <r>
      <rPr>
        <sz val="11"/>
        <color rgb="FF000000"/>
        <rFont val="Calibri"/>
      </rPr>
      <t xml:space="preserve">
</t>
    </r>
    <r>
      <rPr>
        <sz val="11"/>
        <color rgb="FF000000"/>
        <rFont val="Calibri"/>
      </rPr>
      <t>To verify administrators can only use directory services accounts:</t>
    </r>
    <r>
      <rPr>
        <sz val="11"/>
        <color rgb="FF000000"/>
        <rFont val="Calibri"/>
      </rPr>
      <t xml:space="preserve">
</t>
    </r>
    <r>
      <rPr>
        <sz val="11"/>
        <color rgb="FF000000"/>
        <rFont val="Calibri"/>
      </rPr>
      <t>16. Choose Accounts &gt;&gt; Administrators &gt;&gt; List View.</t>
    </r>
    <r>
      <rPr>
        <sz val="11"/>
        <color rgb="FF000000"/>
        <rFont val="Calibri"/>
      </rPr>
      <t xml:space="preserve">
</t>
    </r>
    <r>
      <rPr>
        <sz val="11"/>
        <color rgb="FF000000"/>
        <rFont val="Calibri"/>
      </rPr>
      <t>17. Review user types under the Admin Type heading. If any users have an Admin Type of "Basic", this is a finding.</t>
    </r>
    <r>
      <rPr>
        <sz val="11"/>
        <color rgb="FF000000"/>
        <rFont val="Calibri"/>
      </rPr>
      <t xml:space="preserve">
</t>
    </r>
    <r>
      <rPr>
        <sz val="11"/>
        <color rgb="FF000000"/>
        <rFont val="Calibri"/>
      </rPr>
      <t>Exception: One local "Emergency" account may remain that uses WS1 authentication services.</t>
    </r>
    <r>
      <rPr>
        <sz val="11"/>
        <color rgb="FF000000"/>
        <rFont val="Calibri"/>
      </rPr>
      <t xml:space="preserve">
</t>
    </r>
    <r>
      <rPr>
        <sz val="11"/>
        <color rgb="FF000000"/>
        <rFont val="Calibri"/>
      </rPr>
      <t>To verify users can only use directory services accounts:</t>
    </r>
    <r>
      <rPr>
        <sz val="11"/>
        <color rgb="FF000000"/>
        <rFont val="Calibri"/>
      </rPr>
      <t xml:space="preserve">
</t>
    </r>
    <r>
      <rPr>
        <sz val="11"/>
        <color rgb="FF000000"/>
        <rFont val="Calibri"/>
      </rPr>
      <t>18. Choose Accounts &gt;&gt; Users &gt;&gt; List View.</t>
    </r>
    <r>
      <rPr>
        <sz val="11"/>
        <color rgb="FF000000"/>
        <rFont val="Calibri"/>
      </rPr>
      <t xml:space="preserve">
</t>
    </r>
    <r>
      <rPr>
        <sz val="11"/>
        <color rgb="FF000000"/>
        <rFont val="Calibri"/>
      </rPr>
      <t>If only a small number of user accounts are listed, it is recommended to use the following steps:</t>
    </r>
    <r>
      <rPr>
        <sz val="11"/>
        <color rgb="FF000000"/>
        <rFont val="Calibri"/>
      </rPr>
      <t xml:space="preserve">
</t>
    </r>
    <r>
      <rPr>
        <sz val="11"/>
        <color rgb="FF000000"/>
        <rFont val="Calibri"/>
      </rPr>
      <t>a. Under the "General Info" tab, click on each username link to view the user's summary data.</t>
    </r>
    <r>
      <rPr>
        <sz val="11"/>
        <color rgb="FF000000"/>
        <rFont val="Calibri"/>
      </rPr>
      <t xml:space="preserve">
</t>
    </r>
    <r>
      <rPr>
        <sz val="11"/>
        <color rgb="FF000000"/>
        <rFont val="Calibri"/>
      </rPr>
      <t>b. Under "Type" in the "User Info" column, if "Basic" is listed, this is a finding.</t>
    </r>
    <r>
      <rPr>
        <sz val="11"/>
        <color rgb="FF000000"/>
        <rFont val="Calibri"/>
      </rPr>
      <t xml:space="preserve">
</t>
    </r>
    <r>
      <rPr>
        <sz val="11"/>
        <color rgb="FF000000"/>
        <rFont val="Calibri"/>
      </rPr>
      <t>c. Choose "List View" again to be presented with the list of user accounts and repeat steps a and b until the full set of user accounts has been examined.</t>
    </r>
    <r>
      <rPr>
        <sz val="11"/>
        <color rgb="FF000000"/>
        <rFont val="Calibri"/>
      </rPr>
      <t xml:space="preserve">
</t>
    </r>
    <r>
      <rPr>
        <sz val="11"/>
        <color rgb="FF000000"/>
        <rFont val="Calibri"/>
      </rPr>
      <t>If a large number of user accounts are listed, it is recommended to use the following steps instead:</t>
    </r>
    <r>
      <rPr>
        <sz val="11"/>
        <color rgb="FF000000"/>
        <rFont val="Calibri"/>
      </rPr>
      <t xml:space="preserve">
</t>
    </r>
    <r>
      <rPr>
        <sz val="11"/>
        <color rgb="FF000000"/>
        <rFont val="Calibri"/>
      </rPr>
      <t>a. Choose the "Export" drop-down and select the format to be used for the export list.</t>
    </r>
    <r>
      <rPr>
        <sz val="11"/>
        <color rgb="FF000000"/>
        <rFont val="Calibri"/>
      </rPr>
      <t xml:space="preserve">
</t>
    </r>
    <r>
      <rPr>
        <sz val="11"/>
        <color rgb="FF000000"/>
        <rFont val="Calibri"/>
      </rPr>
      <t>b. An "Export List" pop-up window will appear with instructions on where to locate and examine the exported list of user accounts.</t>
    </r>
    <r>
      <rPr>
        <sz val="11"/>
        <color rgb="FF000000"/>
        <rFont val="Calibri"/>
      </rPr>
      <t xml:space="preserve">
</t>
    </r>
    <r>
      <rPr>
        <sz val="11"/>
        <color rgb="FF000000"/>
        <rFont val="Calibri"/>
      </rPr>
      <t>c. Examine the exported list. If any user accounts are denoted as Basic in the Security Type column, this is a finding.</t>
    </r>
  </si>
  <si>
    <t>V-221646</t>
  </si>
  <si>
    <r>
      <rPr>
        <sz val="11"/>
        <rFont val="Calibri"/>
      </rPr>
      <t>The Workspace ONE UEM server must be maintained at a supported version.</t>
    </r>
  </si>
  <si>
    <t>CAT I (High)</t>
  </si>
  <si>
    <r>
      <rPr>
        <sz val="11"/>
        <color rgb="FF000000"/>
        <rFont val="Calibri"/>
      </rPr>
      <t>Update the Workspace ONE UEM server to a supported version. See (https://www.vmware.com/content/dam/digitalmarketing/vmware/en/pdf/support/product-lifecycle-matrix.pdf) for the list of current Workspace ONE UEM supported versions.</t>
    </r>
    <r>
      <rPr>
        <sz val="11"/>
        <color rgb="FF000000"/>
        <rFont val="Calibri"/>
      </rPr>
      <t xml:space="preserve">
</t>
    </r>
    <r>
      <rPr>
        <sz val="11"/>
        <color rgb="FF000000"/>
        <rFont val="Calibri"/>
      </rPr>
      <t>Alternatively, the Knowledge Base article can be used: https://kb.vmware.com/s/article/2960922?lang=en_US&amp;queryTerm=workspace+one+uem+console+release+and+end+of+general+support+matrix&amp;queryTerm=workspace+one+uem+console+release+and+end+of+general+support+matrix</t>
    </r>
  </si>
  <si>
    <r>
      <rPr>
        <sz val="11"/>
        <color rgb="FF000000"/>
        <rFont val="Calibri"/>
      </rPr>
      <t>The MDM/EMM vendor maintains specific product versions for a specific period of time. MDM/EMM server versions no longer supported by the vendor will not receive security updates for new vulnerabilities which leaves them subject to exploitation.</t>
    </r>
    <r>
      <rPr>
        <sz val="11"/>
        <color rgb="FF000000"/>
        <rFont val="Calibri"/>
      </rPr>
      <t xml:space="preserve">
</t>
    </r>
    <r>
      <rPr>
        <sz val="11"/>
        <color rgb="FF000000"/>
        <rFont val="Calibri"/>
      </rPr>
      <t>SFR ID: FPT_TUD_EXT.1.1, FPT_TUD_EXT.1.2</t>
    </r>
  </si>
  <si>
    <r>
      <rPr>
        <sz val="11"/>
        <color rgb="FF000000"/>
        <rFont val="Calibri"/>
      </rPr>
      <t>Verify the installed version of Workspace ONE UEM server is currently supported.</t>
    </r>
    <r>
      <rPr>
        <sz val="11"/>
        <color rgb="FF000000"/>
        <rFont val="Calibri"/>
      </rPr>
      <t xml:space="preserve">
</t>
    </r>
    <r>
      <rPr>
        <sz val="11"/>
        <color rgb="FF000000"/>
        <rFont val="Calibri"/>
      </rPr>
      <t>On the Workspace ONE UEM server console, do the following to determine the version number of the server:</t>
    </r>
    <r>
      <rPr>
        <sz val="11"/>
        <color rgb="FF000000"/>
        <rFont val="Calibri"/>
      </rPr>
      <t xml:space="preserve">
</t>
    </r>
    <r>
      <rPr>
        <sz val="11"/>
        <color rgb="FF000000"/>
        <rFont val="Calibri"/>
      </rPr>
      <t>1. Authenticate to the Workspace ONE UEM console as the administrator.</t>
    </r>
    <r>
      <rPr>
        <sz val="11"/>
        <color rgb="FF000000"/>
        <rFont val="Calibri"/>
      </rPr>
      <t xml:space="preserve">
</t>
    </r>
    <r>
      <rPr>
        <sz val="11"/>
        <color rgb="FF000000"/>
        <rFont val="Calibri"/>
      </rPr>
      <t>2. Click "About" on the bottom of the left hand menu. The version and build of the installed software will be displayed.</t>
    </r>
    <r>
      <rPr>
        <sz val="11"/>
        <color rgb="FF000000"/>
        <rFont val="Calibri"/>
      </rPr>
      <t xml:space="preserve">
</t>
    </r>
    <r>
      <rPr>
        <sz val="11"/>
        <color rgb="FF000000"/>
        <rFont val="Calibri"/>
      </rPr>
      <t>List of current supported versions: https://www.vmware.com/content/dam/digitalmarketing/vmware/en/pdf/support/product-lifecycle-matrix.pdf, scroll to Workspace ONE UEM Console.</t>
    </r>
    <r>
      <rPr>
        <sz val="11"/>
        <color rgb="FF000000"/>
        <rFont val="Calibri"/>
      </rPr>
      <t xml:space="preserve">
</t>
    </r>
    <r>
      <rPr>
        <sz val="11"/>
        <color rgb="FF000000"/>
        <rFont val="Calibri"/>
      </rPr>
      <t>If the displayed Workspace ONE server version is not currently supported or is not a newer version than on the list above, this is a finding.</t>
    </r>
  </si>
  <si>
    <t>V-221647</t>
  </si>
  <si>
    <r>
      <rPr>
        <sz val="11"/>
        <rFont val="Calibri"/>
      </rPr>
      <t>The Workspace ONE UEM server must be protected by a DoD-approved firewall.</t>
    </r>
  </si>
  <si>
    <r>
      <rPr>
        <sz val="11"/>
        <color rgb="FF000000"/>
        <rFont val="Calibri"/>
      </rPr>
      <t>Install and configure a DoD-approved firewall to protect the network segment on which the Workspace ONE UEM server is installed.</t>
    </r>
  </si>
  <si>
    <r>
      <rPr>
        <sz val="11"/>
        <color rgb="FF000000"/>
        <rFont val="Calibri"/>
      </rPr>
      <t>Most information systems are capable of providing a wide variety of functions and services. Some of the functions and services provided by default may not be necessary to support essential organizational operations. Unneeded services and processes provide additional threat vectors and avenues of attack to the information system. The MDM server is a critical component of the mobility architecture and must be configured to enable only those ports, protocols, and services (PPS) necessary to support functionality. All others must be expressly disabled or removed. A DoD-approved firewall implements the required network restrictions. A host-based firewall is appropriate where the MDM server runs on a standalone platform. Network firewalls or other architectures may be preferred where the MDM server runs in a cloud or virtualized solution.</t>
    </r>
    <r>
      <rPr>
        <sz val="11"/>
        <color rgb="FF000000"/>
        <rFont val="Calibri"/>
      </rPr>
      <t xml:space="preserve">
</t>
    </r>
    <r>
      <rPr>
        <sz val="11"/>
        <color rgb="FF000000"/>
        <rFont val="Calibri"/>
      </rPr>
      <t>Satisfies:  SRG-APP-000142</t>
    </r>
    <r>
      <rPr>
        <sz val="11"/>
        <color rgb="FF000000"/>
        <rFont val="Calibri"/>
      </rPr>
      <t xml:space="preserve">
</t>
    </r>
    <r>
      <rPr>
        <sz val="11"/>
        <color rgb="FF000000"/>
        <rFont val="Calibri"/>
      </rPr>
      <t>SFR ID: FMT_SMF.1.1(2) b</t>
    </r>
  </si>
  <si>
    <r>
      <rPr>
        <sz val="11"/>
        <color rgb="FF000000"/>
        <rFont val="Calibri"/>
      </rPr>
      <t>Review the MDM server platform configuration to determine whether a DoD-approved firewall is installed or if the platform operating system provides a firewall service that can restrict both inbound and outbound traffic by TCP/UDP port and IP address.</t>
    </r>
    <r>
      <rPr>
        <sz val="11"/>
        <color rgb="FF000000"/>
        <rFont val="Calibri"/>
      </rPr>
      <t xml:space="preserve">
</t>
    </r>
    <r>
      <rPr>
        <sz val="11"/>
        <color rgb="FF000000"/>
        <rFont val="Calibri"/>
      </rPr>
      <t>If there is not a host-based firewall present on the MDM server platform, or if it is not configured to prohibit or restrict the use of organization-defined functions, ports, protocols, and/or services, this is a finding.</t>
    </r>
  </si>
  <si>
    <t>V-221648</t>
  </si>
  <si>
    <r>
      <rPr>
        <sz val="11"/>
        <rFont val="Calibri"/>
      </rPr>
      <t>The firewall protecting the Workspace ONE UEM server must be configured to restrict all network traffic to and from all addresses with the exception of ports, protocols, and IP address ranges required to support MDM server and platform functions.</t>
    </r>
  </si>
  <si>
    <r>
      <rPr>
        <sz val="11"/>
        <color rgb="FF000000"/>
        <rFont val="Calibri"/>
      </rPr>
      <t>Configure the firewall on the MDM server to only permit ports, protocols, and IP address ranges necessary for operation.</t>
    </r>
  </si>
  <si>
    <r>
      <rPr>
        <sz val="11"/>
        <color rgb="FF000000"/>
        <rFont val="Calibri"/>
      </rPr>
      <t>Most information systems are capable of providing a wide variety of functions and services. Some of the functions and services, provided by default, may not be necessary to support essential organizational operations. Since MDM server is a critical component of the mobility architecture and must be configured to enable only those ports, protocols, and services (PPS) necessary to support functionality, all others must be expressly disabled or removed. A firewall installed on the MDM server provides a protection mechanism to ensure unwanted service requests do not reach the MDM server and outbound traffic is limited to only MDM server functionality.</t>
    </r>
    <r>
      <rPr>
        <sz val="11"/>
        <color rgb="FF000000"/>
        <rFont val="Calibri"/>
      </rPr>
      <t xml:space="preserve">
</t>
    </r>
    <r>
      <rPr>
        <sz val="11"/>
        <color rgb="FF000000"/>
        <rFont val="Calibri"/>
      </rPr>
      <t>Satisfies: SRG-APP-000142</t>
    </r>
    <r>
      <rPr>
        <sz val="11"/>
        <color rgb="FF000000"/>
        <rFont val="Calibri"/>
      </rPr>
      <t xml:space="preserve">
</t>
    </r>
    <r>
      <rPr>
        <sz val="11"/>
        <color rgb="FF000000"/>
        <rFont val="Calibri"/>
      </rPr>
      <t>SFR ID: FMT_SMF.1.1(2) b</t>
    </r>
  </si>
  <si>
    <r>
      <rPr>
        <sz val="11"/>
        <color rgb="FF000000"/>
        <rFont val="Calibri"/>
      </rPr>
      <t>Ask the MDM administrator for a list of ports, protocols, and IP address ranges necessary to support MDM server and platform functionality. A list can usually be found in the STIG Supplemental document or MDM product documentation.</t>
    </r>
    <r>
      <rPr>
        <sz val="11"/>
        <color rgb="FF000000"/>
        <rFont val="Calibri"/>
      </rPr>
      <t xml:space="preserve">
</t>
    </r>
    <r>
      <rPr>
        <sz val="11"/>
        <color rgb="FF000000"/>
        <rFont val="Calibri"/>
      </rPr>
      <t>Compare the list against the configuration of the firewall and identify discrepancies.</t>
    </r>
    <r>
      <rPr>
        <sz val="11"/>
        <color rgb="FF000000"/>
        <rFont val="Calibri"/>
      </rPr>
      <t xml:space="preserve">
</t>
    </r>
    <r>
      <rPr>
        <sz val="11"/>
        <color rgb="FF000000"/>
        <rFont val="Calibri"/>
      </rPr>
      <t>If the host-based firewall is not configured to support only those ports, protocols, and IP address ranges necessary for operation, this is a finding.</t>
    </r>
  </si>
  <si>
    <t>V-221649</t>
  </si>
  <si>
    <r>
      <rPr>
        <sz val="11"/>
        <rFont val="Calibri"/>
      </rPr>
      <t>The firewall protecting the Workspace ONE UEM server must be configured so that only DoD-approved ports, protocols, and services are enabled. (See the DoD Ports, Protocols, Services Management [PPSM] Category Assurance Levels [CAL] list for DoD-approved ports, protocols, and services).</t>
    </r>
  </si>
  <si>
    <r>
      <rPr>
        <sz val="11"/>
        <color rgb="FF000000"/>
        <rFont val="Calibri"/>
      </rPr>
      <t>Turn off any ports, protocols, and services on the MDM host-based firewall that are not on the DoD PPSM CAL list.</t>
    </r>
  </si>
  <si>
    <r>
      <rPr>
        <sz val="11"/>
        <color rgb="FF000000"/>
        <rFont val="Calibri"/>
      </rPr>
      <t>All ports, protocols, and services used on DoD networks must be approved and registered via the DoD PPSM process. This is to ensure that a risk assessment has been completed before a new port, protocol, or service is configured on a DoD network and has been approved by proper DoD authorities. Otherwise, the new port, protocol, or service could cause a vulnerability to the DoD network, which could be exploited by an adversary.</t>
    </r>
    <r>
      <rPr>
        <sz val="11"/>
        <color rgb="FF000000"/>
        <rFont val="Calibri"/>
      </rPr>
      <t xml:space="preserve">
</t>
    </r>
    <r>
      <rPr>
        <sz val="11"/>
        <color rgb="FF000000"/>
        <rFont val="Calibri"/>
      </rPr>
      <t>Satisfies: SRG-APP-000142</t>
    </r>
    <r>
      <rPr>
        <sz val="11"/>
        <color rgb="FF000000"/>
        <rFont val="Calibri"/>
      </rPr>
      <t xml:space="preserve">
</t>
    </r>
    <r>
      <rPr>
        <sz val="11"/>
        <color rgb="FF000000"/>
        <rFont val="Calibri"/>
      </rPr>
      <t>SFR ID: FMT_SMF.1.1(2) b</t>
    </r>
  </si>
  <si>
    <r>
      <rPr>
        <sz val="11"/>
        <color rgb="FF000000"/>
        <rFont val="Calibri"/>
      </rPr>
      <t>Ask the MDM administrator for a list of ports, protocols, and services that have been configured on the host-based firewall of the MDM server or generate the list by inspecting the firewall. Verify all allowed ports, protocols, and services are included on the DoD PPSM CAL list.</t>
    </r>
    <r>
      <rPr>
        <sz val="11"/>
        <color rgb="FF000000"/>
        <rFont val="Calibri"/>
      </rPr>
      <t xml:space="preserve">
</t>
    </r>
    <r>
      <rPr>
        <sz val="11"/>
        <color rgb="FF000000"/>
        <rFont val="Calibri"/>
      </rPr>
      <t>If any allowed ports, protocols, and services on the MDM host-based firewall are not included on the DoD PPSM CAL list, this is a finding.</t>
    </r>
  </si>
  <si>
    <t>V-221650</t>
  </si>
  <si>
    <r>
      <rPr>
        <sz val="11"/>
        <rFont val="Calibri"/>
      </rPr>
      <t>All Workspace ONE UEM server local accounts created during application installation and configuration must be disabled or removed.</t>
    </r>
  </si>
  <si>
    <r>
      <rPr>
        <sz val="11"/>
        <color rgb="FF000000"/>
        <rFont val="Calibri"/>
      </rPr>
      <t>Configure the Workspace ONE UEM server to remove any local accounts created during installation and configuration.</t>
    </r>
    <r>
      <rPr>
        <sz val="11"/>
        <color rgb="FF000000"/>
        <rFont val="Calibri"/>
      </rPr>
      <t xml:space="preserve">
</t>
    </r>
    <r>
      <rPr>
        <sz val="11"/>
        <color rgb="FF000000"/>
        <rFont val="Calibri"/>
      </rPr>
      <t>Exception: One local "Emergency" account may remain.</t>
    </r>
    <r>
      <rPr>
        <sz val="11"/>
        <color rgb="FF000000"/>
        <rFont val="Calibri"/>
      </rPr>
      <t xml:space="preserve">
</t>
    </r>
    <r>
      <rPr>
        <sz val="11"/>
        <color rgb="FF000000"/>
        <rFont val="Calibri"/>
      </rPr>
      <t>1. Log in to the Workspace ONE UEM Administration console.</t>
    </r>
    <r>
      <rPr>
        <sz val="11"/>
        <color rgb="FF000000"/>
        <rFont val="Calibri"/>
      </rPr>
      <t xml:space="preserve">
</t>
    </r>
    <r>
      <rPr>
        <sz val="11"/>
        <color rgb="FF000000"/>
        <rFont val="Calibri"/>
      </rPr>
      <t>2. Choose Accounts &gt;&gt; Administrators &gt;&gt; List View.</t>
    </r>
    <r>
      <rPr>
        <sz val="11"/>
        <color rgb="FF000000"/>
        <rFont val="Calibri"/>
      </rPr>
      <t xml:space="preserve">
</t>
    </r>
    <r>
      <rPr>
        <sz val="11"/>
        <color rgb="FF000000"/>
        <rFont val="Calibri"/>
      </rPr>
      <t>3. Review user types under the Admin Type heading, and select all users, and only users with an Admin Type of "Basic". Do NOT select users with an Admin Type of "Directory". Selecting one or more users with the "Basic" Admin Type will cause the "More Actions" drop-down to appear.</t>
    </r>
    <r>
      <rPr>
        <sz val="11"/>
        <color rgb="FF000000"/>
        <rFont val="Calibri"/>
      </rPr>
      <t xml:space="preserve">
</t>
    </r>
    <r>
      <rPr>
        <sz val="11"/>
        <color rgb="FF000000"/>
        <rFont val="Calibri"/>
      </rPr>
      <t>4. From the More Actions drop down select "Delete". This will result in an "Are you sure you want to delete this record?" pop-up box asking to confirm deletion of the selected account(s).</t>
    </r>
    <r>
      <rPr>
        <sz val="11"/>
        <color rgb="FF000000"/>
        <rFont val="Calibri"/>
      </rPr>
      <t xml:space="preserve">
</t>
    </r>
    <r>
      <rPr>
        <sz val="11"/>
        <color rgb="FF000000"/>
        <rFont val="Calibri"/>
      </rPr>
      <t>5. Click "OK" to delete the selected accounts.</t>
    </r>
  </si>
  <si>
    <r>
      <rPr>
        <sz val="11"/>
        <color rgb="FF000000"/>
        <rFont val="Calibri"/>
      </rPr>
      <t>A comprehensive account management process that includes automation helps to ensure the accounts designated as requiring attention are consistently and promptly addressed. If an attacker compromises an account, the entire MDM server infrastructure is at risk. Providing automated support functions for the management of accounts will ensure only active accounts will be granted access with the proper authorization levels. These objectives are best achieved by configuring the MDM server to leverage an enterprise authentication mechanism (e.g., Microsoft Active Directory Kerberos).</t>
    </r>
    <r>
      <rPr>
        <sz val="11"/>
        <color rgb="FF000000"/>
        <rFont val="Calibri"/>
      </rPr>
      <t xml:space="preserve">
</t>
    </r>
    <r>
      <rPr>
        <sz val="11"/>
        <color rgb="FF000000"/>
        <rFont val="Calibri"/>
      </rPr>
      <t>Satisfies: SRG-APP-000148</t>
    </r>
    <r>
      <rPr>
        <sz val="11"/>
        <color rgb="FF000000"/>
        <rFont val="Calibri"/>
      </rPr>
      <t xml:space="preserve">
</t>
    </r>
    <r>
      <rPr>
        <sz val="11"/>
        <color rgb="FF000000"/>
        <rFont val="Calibri"/>
      </rPr>
      <t>SFR ID: FMT_SMF.1.1(2) b / IA-5(1)(a)</t>
    </r>
  </si>
  <si>
    <r>
      <rPr>
        <sz val="11"/>
        <color rgb="FF000000"/>
        <rFont val="Calibri"/>
      </rPr>
      <t>Review the configuration for Workspace ONE UEM server administrative accounts for any local accounts:</t>
    </r>
    <r>
      <rPr>
        <sz val="11"/>
        <color rgb="FF000000"/>
        <rFont val="Calibri"/>
      </rPr>
      <t xml:space="preserve">
</t>
    </r>
    <r>
      <rPr>
        <sz val="11"/>
        <color rgb="FF000000"/>
        <rFont val="Calibri"/>
      </rPr>
      <t>1. Log in to the Workspace ONE UEM Administration console.</t>
    </r>
    <r>
      <rPr>
        <sz val="11"/>
        <color rgb="FF000000"/>
        <rFont val="Calibri"/>
      </rPr>
      <t xml:space="preserve">
</t>
    </r>
    <r>
      <rPr>
        <sz val="11"/>
        <color rgb="FF000000"/>
        <rFont val="Calibri"/>
      </rPr>
      <t>2. Choose Accounts &gt;&gt; Administrators &gt;&gt; List View.</t>
    </r>
    <r>
      <rPr>
        <sz val="11"/>
        <color rgb="FF000000"/>
        <rFont val="Calibri"/>
      </rPr>
      <t xml:space="preserve">
</t>
    </r>
    <r>
      <rPr>
        <sz val="11"/>
        <color rgb="FF000000"/>
        <rFont val="Calibri"/>
      </rPr>
      <t>3. Review user types under the Admin Type heading. If any users have an Admin Type of "Basic", this is a finding.</t>
    </r>
    <r>
      <rPr>
        <sz val="11"/>
        <color rgb="FF000000"/>
        <rFont val="Calibri"/>
      </rPr>
      <t xml:space="preserve">
</t>
    </r>
    <r>
      <rPr>
        <sz val="11"/>
        <color rgb="FF000000"/>
        <rFont val="Calibri"/>
      </rPr>
      <t>Exception: One local "Emergency" account may remain.</t>
    </r>
  </si>
  <si>
    <t>V-221651</t>
  </si>
  <si>
    <r>
      <rPr>
        <sz val="11"/>
        <rFont val="Calibri"/>
      </rPr>
      <t>The MDM Agent must be configured to enable the following function: [selection: read audit logs of the MD]. This requirement is inherently met if the function is automatically implemented during MDM Agent install/device enrollment.</t>
    </r>
  </si>
  <si>
    <r>
      <rPr>
        <sz val="11"/>
        <color rgb="FF000000"/>
        <rFont val="Calibri"/>
      </rPr>
      <t>Configure the MDM Agent to enable the following function: read audit logs of the MD.</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Authenticate to the Workspace ONE UEM console as the administrator.</t>
    </r>
    <r>
      <rPr>
        <sz val="11"/>
        <color rgb="FF000000"/>
        <rFont val="Calibri"/>
      </rPr>
      <t xml:space="preserve">
</t>
    </r>
    <r>
      <rPr>
        <sz val="11"/>
        <color rgb="FF000000"/>
        <rFont val="Calibri"/>
      </rPr>
      <t>2. Navigate to Groups &amp; Settings &gt;&gt; All Settings &gt;&gt; Devices &amp; Users &gt;&gt; General &gt;&gt; Privacy and enable Request Device Log in the privacy settings.</t>
    </r>
    <r>
      <rPr>
        <sz val="11"/>
        <color rgb="FF000000"/>
        <rFont val="Calibri"/>
      </rPr>
      <t xml:space="preserve">
</t>
    </r>
    <r>
      <rPr>
        <sz val="11"/>
        <color rgb="FF000000"/>
        <rFont val="Calibri"/>
      </rPr>
      <t>3. Select "SAVE".</t>
    </r>
  </si>
  <si>
    <r>
      <rPr>
        <sz val="11"/>
        <color rgb="FF000000"/>
        <rFont val="Calibri"/>
      </rPr>
      <t>Audit logs and alerts enable monitoring of security-relevant events and subsequent forensics when breaches occur. They help identify when the security posture of the device is not as expected. This enables the MDM administrator to take an appropriate remedial action.</t>
    </r>
    <r>
      <rPr>
        <sz val="11"/>
        <color rgb="FF000000"/>
        <rFont val="Calibri"/>
      </rPr>
      <t xml:space="preserve">
</t>
    </r>
    <r>
      <rPr>
        <sz val="11"/>
        <color rgb="FF000000"/>
        <rFont val="Calibri"/>
      </rPr>
      <t>SFR ID: FMT_SMF_EXT.4.1</t>
    </r>
  </si>
  <si>
    <r>
      <rPr>
        <sz val="11"/>
        <color rgb="FF000000"/>
        <rFont val="Calibri"/>
      </rPr>
      <t>Review the MDM Agent documentation and configuration settings to determine if the following function is enabled: read audit logs of the MD.</t>
    </r>
    <r>
      <rPr>
        <sz val="11"/>
        <color rgb="FF000000"/>
        <rFont val="Calibri"/>
      </rPr>
      <t xml:space="preserve">
</t>
    </r>
    <r>
      <rPr>
        <sz val="11"/>
        <color rgb="FF000000"/>
        <rFont val="Calibri"/>
      </rPr>
      <t>This validation procedure is performed on the MDM Administration Console.</t>
    </r>
    <r>
      <rPr>
        <sz val="11"/>
        <color rgb="FF000000"/>
        <rFont val="Calibri"/>
      </rPr>
      <t xml:space="preserve">
</t>
    </r>
    <r>
      <rPr>
        <sz val="11"/>
        <color rgb="FF000000"/>
        <rFont val="Calibri"/>
      </rPr>
      <t>On the MDM console, do the following:</t>
    </r>
    <r>
      <rPr>
        <sz val="11"/>
        <color rgb="FF000000"/>
        <rFont val="Calibri"/>
      </rPr>
      <t xml:space="preserve">
</t>
    </r>
    <r>
      <rPr>
        <sz val="11"/>
        <color rgb="FF000000"/>
        <rFont val="Calibri"/>
      </rPr>
      <t>1. Authenticate to the Workspace ONE UEM console as the administrator.</t>
    </r>
    <r>
      <rPr>
        <sz val="11"/>
        <color rgb="FF000000"/>
        <rFont val="Calibri"/>
      </rPr>
      <t xml:space="preserve">
</t>
    </r>
    <r>
      <rPr>
        <sz val="11"/>
        <color rgb="FF000000"/>
        <rFont val="Calibri"/>
      </rPr>
      <t>2. Navigate to Groups &amp; Settings &gt;&gt; All Settings &gt;&gt; Devices &amp; Users &gt;&gt; General &gt;&gt; Privacy and enable Request Device Log in the privacy settings.</t>
    </r>
    <r>
      <rPr>
        <sz val="11"/>
        <color rgb="FF000000"/>
        <rFont val="Calibri"/>
      </rPr>
      <t xml:space="preserve">
</t>
    </r>
    <r>
      <rPr>
        <sz val="11"/>
        <color rgb="FF000000"/>
        <rFont val="Calibri"/>
      </rPr>
      <t>If "Request Device Log" is present, then no device log is being requested from the MD and this is a finding.</t>
    </r>
  </si>
  <si>
    <t>V-251259</t>
  </si>
  <si>
    <r>
      <rPr>
        <sz val="11"/>
        <rFont val="Calibri"/>
      </rPr>
      <t>The Workspace ONE UEM local accounts password must be configured with length of 15 characters.</t>
    </r>
  </si>
  <si>
    <r>
      <rPr>
        <sz val="11"/>
        <color rgb="FF000000"/>
        <rFont val="Calibri"/>
      </rPr>
      <t>Configure WS1 UEM to enforce a local account password length of at least 15 characters for the emergency local account.</t>
    </r>
    <r>
      <rPr>
        <sz val="11"/>
        <color rgb="FF000000"/>
        <rFont val="Calibri"/>
      </rPr>
      <t xml:space="preserve">
</t>
    </r>
    <r>
      <rPr>
        <sz val="11"/>
        <color rgb="FF000000"/>
        <rFont val="Calibri"/>
      </rPr>
      <t>1. Log in to the WS1UEM console.</t>
    </r>
    <r>
      <rPr>
        <sz val="11"/>
        <color rgb="FF000000"/>
        <rFont val="Calibri"/>
      </rPr>
      <t xml:space="preserve">
</t>
    </r>
    <r>
      <rPr>
        <sz val="11"/>
        <color rgb="FF000000"/>
        <rFont val="Calibri"/>
      </rPr>
      <t>2. Go to Settings &gt;&gt; Admin &gt;&gt; Console Security &gt;&gt; Passwords.</t>
    </r>
    <r>
      <rPr>
        <sz val="11"/>
        <color rgb="FF000000"/>
        <rFont val="Calibri"/>
      </rPr>
      <t xml:space="preserve">
</t>
    </r>
    <r>
      <rPr>
        <sz val="11"/>
        <color rgb="FF000000"/>
        <rFont val="Calibri"/>
      </rPr>
      <t>3. Configure "Minimum Password Length" to 15.</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</si>
  <si>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The shorter the password, the lower the number of possible combinations that need to be tested before the password is compromised.</t>
    </r>
    <r>
      <rPr>
        <sz val="11"/>
        <color rgb="FF000000"/>
        <rFont val="Calibri"/>
      </rPr>
      <t xml:space="preserve">
</t>
    </r>
    <r>
      <rPr>
        <sz val="11"/>
        <color rgb="FF000000"/>
        <rFont val="Calibri"/>
      </rPr>
      <t>Use of more characters in a password helps to exponentially increase the time and/or resources required to compromise the password.</t>
    </r>
    <r>
      <rPr>
        <sz val="11"/>
        <color rgb="FF000000"/>
        <rFont val="Calibri"/>
      </rPr>
      <t xml:space="preserve">
</t>
    </r>
    <r>
      <rPr>
        <sz val="11"/>
        <color rgb="FF000000"/>
        <rFont val="Calibri"/>
      </rPr>
      <t>SFRID: FMT_SMF.1(2)b. / IA-5 (1) (a)</t>
    </r>
  </si>
  <si>
    <r>
      <rPr>
        <sz val="11"/>
        <color rgb="FF000000"/>
        <rFont val="Calibri"/>
      </rPr>
      <t>Verify WS1 UEM is configured to enforce a local account password length of at least 15 characters for the emergency local account.</t>
    </r>
    <r>
      <rPr>
        <sz val="11"/>
        <color rgb="FF000000"/>
        <rFont val="Calibri"/>
      </rPr>
      <t xml:space="preserve">
</t>
    </r>
    <r>
      <rPr>
        <sz val="11"/>
        <color rgb="FF000000"/>
        <rFont val="Calibri"/>
      </rPr>
      <t>1. Log in to the WS1UEM console.</t>
    </r>
    <r>
      <rPr>
        <sz val="11"/>
        <color rgb="FF000000"/>
        <rFont val="Calibri"/>
      </rPr>
      <t xml:space="preserve">
</t>
    </r>
    <r>
      <rPr>
        <sz val="11"/>
        <color rgb="FF000000"/>
        <rFont val="Calibri"/>
      </rPr>
      <t>2. Go to Settings &gt;&gt; Admin &gt;&gt; Console Security &gt;&gt; Passwords.</t>
    </r>
    <r>
      <rPr>
        <sz val="11"/>
        <color rgb="FF000000"/>
        <rFont val="Calibri"/>
      </rPr>
      <t xml:space="preserve">
</t>
    </r>
    <r>
      <rPr>
        <sz val="11"/>
        <color rgb="FF000000"/>
        <rFont val="Calibri"/>
      </rPr>
      <t>3. Verify "Minimum Password Length" is set to 15.</t>
    </r>
    <r>
      <rPr>
        <sz val="11"/>
        <color rgb="FF000000"/>
        <rFont val="Calibri"/>
      </rPr>
      <t xml:space="preserve">
</t>
    </r>
    <r>
      <rPr>
        <sz val="11"/>
        <color rgb="FF000000"/>
        <rFont val="Calibri"/>
      </rPr>
      <t>If the minimum password length is not set to 15, this is a finding.</t>
    </r>
  </si>
  <si>
    <t>V-251260</t>
  </si>
  <si>
    <r>
      <rPr>
        <sz val="11"/>
        <rFont val="Calibri"/>
      </rPr>
      <t>The Workspace ONE UEM local accounts must be configured with at least one lowercase character, one uppercase character, one number, and one special character.</t>
    </r>
  </si>
  <si>
    <r>
      <rPr>
        <sz val="11"/>
        <color rgb="FF000000"/>
        <rFont val="Calibri"/>
      </rPr>
      <t>Configure WS1 UEM to enforce a local account password with at least one lower case letter, one uppercase character, one number, and one special character for the emergency local account.</t>
    </r>
    <r>
      <rPr>
        <sz val="11"/>
        <color rgb="FF000000"/>
        <rFont val="Calibri"/>
      </rPr>
      <t xml:space="preserve">
</t>
    </r>
    <r>
      <rPr>
        <sz val="11"/>
        <color rgb="FF000000"/>
        <rFont val="Calibri"/>
      </rPr>
      <t>1. Log in to the WS1UEM console.</t>
    </r>
    <r>
      <rPr>
        <sz val="11"/>
        <color rgb="FF000000"/>
        <rFont val="Calibri"/>
      </rPr>
      <t xml:space="preserve">
</t>
    </r>
    <r>
      <rPr>
        <sz val="11"/>
        <color rgb="FF000000"/>
        <rFont val="Calibri"/>
      </rPr>
      <t>2. Go to Settings &gt;&gt; Admin &gt;&gt; Console Security &gt;&gt; Passwords.</t>
    </r>
    <r>
      <rPr>
        <sz val="11"/>
        <color rgb="FF000000"/>
        <rFont val="Calibri"/>
      </rPr>
      <t xml:space="preserve">
</t>
    </r>
    <r>
      <rPr>
        <sz val="11"/>
        <color rgb="FF000000"/>
        <rFont val="Calibri"/>
      </rPr>
      <t>3. Configure "Password complexity level" to "Mixed case, alphabetic, numeric and special characters".</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</si>
  <si>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SFR ID: FMT_SMF.1(2)b. / IA-5 (1) (a)</t>
    </r>
  </si>
  <si>
    <r>
      <rPr>
        <sz val="11"/>
        <color rgb="FF000000"/>
        <rFont val="Calibri"/>
      </rPr>
      <t>Verify WS1 UEM is configured to enforce a local account password with at least one lower case letter, one uppercase character, one number, and one special character for the emergency local account.</t>
    </r>
    <r>
      <rPr>
        <sz val="11"/>
        <color rgb="FF000000"/>
        <rFont val="Calibri"/>
      </rPr>
      <t xml:space="preserve">
</t>
    </r>
    <r>
      <rPr>
        <sz val="11"/>
        <color rgb="FF000000"/>
        <rFont val="Calibri"/>
      </rPr>
      <t>1. Log in to the WS1UEM console.</t>
    </r>
    <r>
      <rPr>
        <sz val="11"/>
        <color rgb="FF000000"/>
        <rFont val="Calibri"/>
      </rPr>
      <t xml:space="preserve">
</t>
    </r>
    <r>
      <rPr>
        <sz val="11"/>
        <color rgb="FF000000"/>
        <rFont val="Calibri"/>
      </rPr>
      <t>2. Go to Settings &gt;&gt; Admin &gt;&gt; Console Security &gt;&gt; Passwords.</t>
    </r>
    <r>
      <rPr>
        <sz val="11"/>
        <color rgb="FF000000"/>
        <rFont val="Calibri"/>
      </rPr>
      <t xml:space="preserve">
</t>
    </r>
    <r>
      <rPr>
        <sz val="11"/>
        <color rgb="FF000000"/>
        <rFont val="Calibri"/>
      </rPr>
      <t>3. Verify "Password complexity level" to "Mixed case, alphabetic, numeric and special characters".</t>
    </r>
    <r>
      <rPr>
        <sz val="11"/>
        <color rgb="FF000000"/>
        <rFont val="Calibri"/>
      </rPr>
      <t xml:space="preserve">
</t>
    </r>
    <r>
      <rPr>
        <sz val="11"/>
        <color rgb="FF000000"/>
        <rFont val="Calibri"/>
      </rPr>
      <t>If password complexity is not set as listed above, this is a finding.</t>
    </r>
  </si>
  <si>
    <t>V-251261</t>
  </si>
  <si>
    <r>
      <rPr>
        <sz val="11"/>
        <rFont val="Calibri"/>
      </rPr>
      <t>The Workspace ONE UEM local accounts must be configured with password maximum lifetime of 60 days.</t>
    </r>
  </si>
  <si>
    <r>
      <rPr>
        <sz val="11"/>
        <color rgb="FF000000"/>
        <rFont val="Calibri"/>
      </rPr>
      <t>Configure WS1 UEM to have a local account password lifetime of 60 days for the emergency local account.</t>
    </r>
    <r>
      <rPr>
        <sz val="11"/>
        <color rgb="FF000000"/>
        <rFont val="Calibri"/>
      </rPr>
      <t xml:space="preserve">
</t>
    </r>
    <r>
      <rPr>
        <sz val="11"/>
        <color rgb="FF000000"/>
        <rFont val="Calibri"/>
      </rPr>
      <t>1. Log in to the WS1UEM console.</t>
    </r>
    <r>
      <rPr>
        <sz val="11"/>
        <color rgb="FF000000"/>
        <rFont val="Calibri"/>
      </rPr>
      <t xml:space="preserve">
</t>
    </r>
    <r>
      <rPr>
        <sz val="11"/>
        <color rgb="FF000000"/>
        <rFont val="Calibri"/>
      </rPr>
      <t>2. Go to Settings &gt;&gt; Admin &gt;&gt; Console Security &gt;&gt; Passwords.</t>
    </r>
    <r>
      <rPr>
        <sz val="11"/>
        <color rgb="FF000000"/>
        <rFont val="Calibri"/>
      </rPr>
      <t xml:space="preserve">
</t>
    </r>
    <r>
      <rPr>
        <sz val="11"/>
        <color rgb="FF000000"/>
        <rFont val="Calibri"/>
      </rPr>
      <t>3. Configure "Password Expiration Period (days)" to 60.</t>
    </r>
  </si>
  <si>
    <r>
      <rPr>
        <sz val="11"/>
        <color rgb="FF000000"/>
        <rFont val="Calibri"/>
      </rPr>
      <t>Any password, no matter how complex, can eventually be cracked. Therefore, passwords need to be changed at specific intervals.</t>
    </r>
    <r>
      <rPr>
        <sz val="11"/>
        <color rgb="FF000000"/>
        <rFont val="Calibri"/>
      </rPr>
      <t xml:space="preserve">
</t>
    </r>
    <r>
      <rPr>
        <sz val="11"/>
        <color rgb="FF000000"/>
        <rFont val="Calibri"/>
      </rPr>
      <t>One method of minimizing this risk is to use complex passwords and periodically change them. If the application does not limit the lifetime of passwords and force users to change their passwords, there is the risk that the system and/or application passwords could be compromised.</t>
    </r>
    <r>
      <rPr>
        <sz val="11"/>
        <color rgb="FF000000"/>
        <rFont val="Calibri"/>
      </rPr>
      <t xml:space="preserve">
</t>
    </r>
    <r>
      <rPr>
        <sz val="11"/>
        <color rgb="FF000000"/>
        <rFont val="Calibri"/>
      </rPr>
      <t>This requirement does not include emergency administration accounts which are meant for access to the application in case of failure. These accounts are not required to have maximum password lifetime restrictions.</t>
    </r>
    <r>
      <rPr>
        <sz val="11"/>
        <color rgb="FF000000"/>
        <rFont val="Calibri"/>
      </rPr>
      <t xml:space="preserve">
</t>
    </r>
    <r>
      <rPr>
        <sz val="11"/>
        <color rgb="FF000000"/>
        <rFont val="Calibri"/>
      </rPr>
      <t>SFR ID: FMT_SMF.1(2)b. / IA-5 (1) (d)</t>
    </r>
  </si>
  <si>
    <r>
      <rPr>
        <sz val="11"/>
        <color rgb="FF000000"/>
        <rFont val="Calibri"/>
      </rPr>
      <t>Verify WS1 UEM is configured to have a local account password lifetime of 60 days for the emergency local account.</t>
    </r>
    <r>
      <rPr>
        <sz val="11"/>
        <color rgb="FF000000"/>
        <rFont val="Calibri"/>
      </rPr>
      <t xml:space="preserve">
</t>
    </r>
    <r>
      <rPr>
        <sz val="11"/>
        <color rgb="FF000000"/>
        <rFont val="Calibri"/>
      </rPr>
      <t>1. Log in to the WS1UEM console.</t>
    </r>
    <r>
      <rPr>
        <sz val="11"/>
        <color rgb="FF000000"/>
        <rFont val="Calibri"/>
      </rPr>
      <t xml:space="preserve">
</t>
    </r>
    <r>
      <rPr>
        <sz val="11"/>
        <color rgb="FF000000"/>
        <rFont val="Calibri"/>
      </rPr>
      <t>2. Go to Settings &gt;&gt; Admin &gt;&gt; Console Security &gt;&gt; Passwords.</t>
    </r>
    <r>
      <rPr>
        <sz val="11"/>
        <color rgb="FF000000"/>
        <rFont val="Calibri"/>
      </rPr>
      <t xml:space="preserve">
</t>
    </r>
    <r>
      <rPr>
        <sz val="11"/>
        <color rgb="FF000000"/>
        <rFont val="Calibri"/>
      </rPr>
      <t>3. Verify "Password Expiration Period (days)" is set to 60.</t>
    </r>
    <r>
      <rPr>
        <sz val="11"/>
        <color rgb="FF000000"/>
        <rFont val="Calibri"/>
      </rPr>
      <t xml:space="preserve">
</t>
    </r>
    <r>
      <rPr>
        <sz val="11"/>
        <color rgb="FF000000"/>
        <rFont val="Calibri"/>
      </rPr>
      <t>If WS1 UEM is not configured to have a local account password lifetime of 60 days, this is a finding.</t>
    </r>
  </si>
  <si>
    <t>V-251262</t>
  </si>
  <si>
    <r>
      <rPr>
        <sz val="11"/>
        <rFont val="Calibri"/>
      </rPr>
      <t>The Workspace ONE UEM local accounts must prohibit password reuse for a minimum of five generations.</t>
    </r>
  </si>
  <si>
    <r>
      <rPr>
        <sz val="11"/>
        <color rgb="FF000000"/>
        <rFont val="Calibri"/>
      </rPr>
      <t>Configure WS1 UEM to prohibit password reuse for a minimum of five generations for local account passwords for the emergency local account.</t>
    </r>
    <r>
      <rPr>
        <sz val="11"/>
        <color rgb="FF000000"/>
        <rFont val="Calibri"/>
      </rPr>
      <t xml:space="preserve">
</t>
    </r>
    <r>
      <rPr>
        <sz val="11"/>
        <color rgb="FF000000"/>
        <rFont val="Calibri"/>
      </rPr>
      <t>1. Log in to the WS1UEM console.</t>
    </r>
    <r>
      <rPr>
        <sz val="11"/>
        <color rgb="FF000000"/>
        <rFont val="Calibri"/>
      </rPr>
      <t xml:space="preserve">
</t>
    </r>
    <r>
      <rPr>
        <sz val="11"/>
        <color rgb="FF000000"/>
        <rFont val="Calibri"/>
      </rPr>
      <t>2. Go to Settings &gt;&gt; Admin &gt;&gt; Console Security &gt;&gt; Passwords.</t>
    </r>
    <r>
      <rPr>
        <sz val="11"/>
        <color rgb="FF000000"/>
        <rFont val="Calibri"/>
      </rPr>
      <t xml:space="preserve">
</t>
    </r>
    <r>
      <rPr>
        <sz val="11"/>
        <color rgb="FF000000"/>
        <rFont val="Calibri"/>
      </rPr>
      <t>3. Configure "Enforced password history" to "5 passwords remembered".</t>
    </r>
  </si>
  <si>
    <r>
      <rPr>
        <sz val="11"/>
        <color rgb="FF000000"/>
        <rFont val="Calibri"/>
      </rPr>
      <t>Password complexity, or strength, is a measure of the effectiveness of a password in resisting attempts at guessing and brute-force attacks.</t>
    </r>
    <r>
      <rPr>
        <sz val="11"/>
        <color rgb="FF000000"/>
        <rFont val="Calibri"/>
      </rPr>
      <t xml:space="preserve">
</t>
    </r>
    <r>
      <rPr>
        <sz val="11"/>
        <color rgb="FF000000"/>
        <rFont val="Calibri"/>
      </rPr>
      <t xml:space="preserve">To meet password policy requirements, passwords need to be changed at specific policy-based intervals. </t>
    </r>
    <r>
      <rPr>
        <sz val="11"/>
        <color rgb="FF000000"/>
        <rFont val="Calibri"/>
      </rPr>
      <t xml:space="preserve">
</t>
    </r>
    <r>
      <rPr>
        <sz val="11"/>
        <color rgb="FF000000"/>
        <rFont val="Calibri"/>
      </rPr>
      <t>If the information system or application allows the user to consecutively reuse their password when that password has exceeded its defined lifetime, the end result is a password that is not changed as per policy requirements.</t>
    </r>
    <r>
      <rPr>
        <sz val="11"/>
        <color rgb="FF000000"/>
        <rFont val="Calibri"/>
      </rPr>
      <t xml:space="preserve">
</t>
    </r>
    <r>
      <rPr>
        <sz val="11"/>
        <color rgb="FF000000"/>
        <rFont val="Calibri"/>
      </rPr>
      <t>SFR ID: FMT_SMF.1(2)b. / IA-5 (1) (e)</t>
    </r>
  </si>
  <si>
    <r>
      <rPr>
        <sz val="11"/>
        <color rgb="FF000000"/>
        <rFont val="Calibri"/>
      </rPr>
      <t>Verify WS1 UEM is configured to prohibit password reuse for a minimum of five generations for local account passwords for the emergency local account.</t>
    </r>
    <r>
      <rPr>
        <sz val="11"/>
        <color rgb="FF000000"/>
        <rFont val="Calibri"/>
      </rPr>
      <t xml:space="preserve">
</t>
    </r>
    <r>
      <rPr>
        <sz val="11"/>
        <color rgb="FF000000"/>
        <rFont val="Calibri"/>
      </rPr>
      <t>1. Log in to the WS1UEM console.</t>
    </r>
    <r>
      <rPr>
        <sz val="11"/>
        <color rgb="FF000000"/>
        <rFont val="Calibri"/>
      </rPr>
      <t xml:space="preserve">
</t>
    </r>
    <r>
      <rPr>
        <sz val="11"/>
        <color rgb="FF000000"/>
        <rFont val="Calibri"/>
      </rPr>
      <t>2. Go to Settings &gt;&gt; Admin &gt;&gt; Console Security &gt;&gt; Passwords.</t>
    </r>
    <r>
      <rPr>
        <sz val="11"/>
        <color rgb="FF000000"/>
        <rFont val="Calibri"/>
      </rPr>
      <t xml:space="preserve">
</t>
    </r>
    <r>
      <rPr>
        <sz val="11"/>
        <color rgb="FF000000"/>
        <rFont val="Calibri"/>
      </rPr>
      <t>3. Verify "Enforced password history" to "5 passwords remembered".</t>
    </r>
    <r>
      <rPr>
        <sz val="11"/>
        <color rgb="FF000000"/>
        <rFont val="Calibri"/>
      </rPr>
      <t xml:space="preserve">
</t>
    </r>
    <r>
      <rPr>
        <sz val="11"/>
        <color rgb="FF000000"/>
        <rFont val="Calibri"/>
      </rPr>
      <t>If WS1 UEM is not configured to prohibit password reuse for a minimum of five generations for local account passwords, this is a finding.</t>
    </r>
  </si>
  <si>
    <t>V-251263</t>
  </si>
  <si>
    <r>
      <rPr>
        <sz val="11"/>
        <rFont val="Calibri"/>
      </rPr>
      <t>The Workspace ONE UEM must enforce the limit of three consecutive invalid logon attempts by a user.</t>
    </r>
  </si>
  <si>
    <r>
      <rPr>
        <sz val="11"/>
        <color rgb="FF000000"/>
        <rFont val="Calibri"/>
      </rPr>
      <t>Configure WS1 UEM to enforce a limit of three invalid logon attempts for a local account.</t>
    </r>
    <r>
      <rPr>
        <sz val="11"/>
        <color rgb="FF000000"/>
        <rFont val="Calibri"/>
      </rPr>
      <t xml:space="preserve">
</t>
    </r>
    <r>
      <rPr>
        <sz val="11"/>
        <color rgb="FF000000"/>
        <rFont val="Calibri"/>
      </rPr>
      <t>1. Log in to the WS1UEM console.</t>
    </r>
    <r>
      <rPr>
        <sz val="11"/>
        <color rgb="FF000000"/>
        <rFont val="Calibri"/>
      </rPr>
      <t xml:space="preserve">
</t>
    </r>
    <r>
      <rPr>
        <sz val="11"/>
        <color rgb="FF000000"/>
        <rFont val="Calibri"/>
      </rPr>
      <t>2. Go to Settings &gt;&gt; Admin &gt;&gt; Console Security &gt;&gt; Passwords.</t>
    </r>
    <r>
      <rPr>
        <sz val="11"/>
        <color rgb="FF000000"/>
        <rFont val="Calibri"/>
      </rPr>
      <t xml:space="preserve">
</t>
    </r>
    <r>
      <rPr>
        <sz val="11"/>
        <color rgb="FF000000"/>
        <rFont val="Calibri"/>
      </rPr>
      <t>3. Configure "Maximum invalid login attempts" to 3.</t>
    </r>
  </si>
  <si>
    <r>
      <rPr>
        <sz val="11"/>
        <color rgb="FF000000"/>
        <rFont val="Calibri"/>
      </rPr>
      <t>By limiting the number of failed login attempts, the risk of unauthorized system access via user password guessing, otherwise known as brute forcing, is reduced. Limits are imposed by locking the account.</t>
    </r>
    <r>
      <rPr>
        <sz val="11"/>
        <color rgb="FF000000"/>
        <rFont val="Calibri"/>
      </rPr>
      <t xml:space="preserve">
</t>
    </r>
    <r>
      <rPr>
        <sz val="11"/>
        <color rgb="FF000000"/>
        <rFont val="Calibri"/>
      </rPr>
      <t>SFR ID: FMT_SMF.1(2)b. / IA-7-a</t>
    </r>
  </si>
  <si>
    <r>
      <rPr>
        <sz val="11"/>
        <color rgb="FF000000"/>
        <rFont val="Calibri"/>
      </rPr>
      <t>Verify WS1 UEM is configured to enforce a limit of three invalid logon attempts for a local account.</t>
    </r>
    <r>
      <rPr>
        <sz val="11"/>
        <color rgb="FF000000"/>
        <rFont val="Calibri"/>
      </rPr>
      <t xml:space="preserve">
</t>
    </r>
    <r>
      <rPr>
        <sz val="11"/>
        <color rgb="FF000000"/>
        <rFont val="Calibri"/>
      </rPr>
      <t>1. Log in to the WS1UEM console.</t>
    </r>
    <r>
      <rPr>
        <sz val="11"/>
        <color rgb="FF000000"/>
        <rFont val="Calibri"/>
      </rPr>
      <t xml:space="preserve">
</t>
    </r>
    <r>
      <rPr>
        <sz val="11"/>
        <color rgb="FF000000"/>
        <rFont val="Calibri"/>
      </rPr>
      <t>2. Go to Settings &gt;&gt; Admin &gt;&gt; Console Security &gt;&gt; Passwords.</t>
    </r>
    <r>
      <rPr>
        <sz val="11"/>
        <color rgb="FF000000"/>
        <rFont val="Calibri"/>
      </rPr>
      <t xml:space="preserve">
</t>
    </r>
    <r>
      <rPr>
        <sz val="11"/>
        <color rgb="FF000000"/>
        <rFont val="Calibri"/>
      </rPr>
      <t>3. Verify "Maximum invalid login attempts" is set to 3.</t>
    </r>
    <r>
      <rPr>
        <sz val="11"/>
        <color rgb="FF000000"/>
        <rFont val="Calibri"/>
      </rPr>
      <t xml:space="preserve">
</t>
    </r>
    <r>
      <rPr>
        <sz val="11"/>
        <color rgb="FF000000"/>
        <rFont val="Calibri"/>
      </rPr>
      <t>If WS1 UEM is not configured to enforce a limit of three invalid logon attempts for a local account, this is a finding.</t>
    </r>
  </si>
  <si>
    <t>V-251264</t>
  </si>
  <si>
    <r>
      <rPr>
        <sz val="11"/>
        <rFont val="Calibri"/>
      </rPr>
      <t>The Workspace ONE UEM must use multifactor authentication for local access to privileged accounts.</t>
    </r>
  </si>
  <si>
    <r>
      <rPr>
        <sz val="11"/>
        <color rgb="FF000000"/>
        <rFont val="Calibri"/>
      </rPr>
      <t>Configure WS1 UEM to use multifactor authentication for the local emergency account.</t>
    </r>
    <r>
      <rPr>
        <sz val="11"/>
        <color rgb="FF000000"/>
        <rFont val="Calibri"/>
      </rPr>
      <t xml:space="preserve">
</t>
    </r>
    <r>
      <rPr>
        <sz val="11"/>
        <color rgb="FF000000"/>
        <rFont val="Calibri"/>
      </rPr>
      <t>1. Log in to the WS1UEM console.</t>
    </r>
    <r>
      <rPr>
        <sz val="11"/>
        <color rgb="FF000000"/>
        <rFont val="Calibri"/>
      </rPr>
      <t xml:space="preserve">
</t>
    </r>
    <r>
      <rPr>
        <sz val="11"/>
        <color rgb="FF000000"/>
        <rFont val="Calibri"/>
      </rPr>
      <t>2. Go to Accounts &gt;&gt; Administrators &gt;&gt; List View.</t>
    </r>
    <r>
      <rPr>
        <sz val="11"/>
        <color rgb="FF000000"/>
        <rFont val="Calibri"/>
      </rPr>
      <t xml:space="preserve">
</t>
    </r>
    <r>
      <rPr>
        <sz val="11"/>
        <color rgb="FF000000"/>
        <rFont val="Calibri"/>
      </rPr>
      <t>3. Select Add, then Add Admin.</t>
    </r>
    <r>
      <rPr>
        <sz val="11"/>
        <color rgb="FF000000"/>
        <rFont val="Calibri"/>
      </rPr>
      <t xml:space="preserve">
</t>
    </r>
    <r>
      <rPr>
        <sz val="11"/>
        <color rgb="FF000000"/>
        <rFont val="Calibri"/>
      </rPr>
      <t>4. Select "Basic" for the User Type and fill in user name, password, etc.</t>
    </r>
    <r>
      <rPr>
        <sz val="11"/>
        <color rgb="FF000000"/>
        <rFont val="Calibri"/>
      </rPr>
      <t xml:space="preserve">
</t>
    </r>
    <r>
      <rPr>
        <sz val="11"/>
        <color rgb="FF000000"/>
        <rFont val="Calibri"/>
      </rPr>
      <t>5. Select "Two-Factor Authentication and then select email or SMS as the delivery method and 10 minutes or less token expiration time.</t>
    </r>
    <r>
      <rPr>
        <sz val="11"/>
        <color rgb="FF000000"/>
        <rFont val="Calibri"/>
      </rPr>
      <t xml:space="preserve">
</t>
    </r>
    <r>
      <rPr>
        <sz val="11"/>
        <color rgb="FF000000"/>
        <rFont val="Calibri"/>
      </rPr>
      <t>6. Select either email or SMS Notification.</t>
    </r>
    <r>
      <rPr>
        <sz val="11"/>
        <color rgb="FF000000"/>
        <rFont val="Calibri"/>
      </rPr>
      <t xml:space="preserve">
</t>
    </r>
    <r>
      <rPr>
        <sz val="11"/>
        <color rgb="FF000000"/>
        <rFont val="Calibri"/>
      </rPr>
      <t>7. Complete all other required fields in the enrollment form, including either the telephone number or email address of the emergency account user.</t>
    </r>
    <r>
      <rPr>
        <sz val="11"/>
        <color rgb="FF000000"/>
        <rFont val="Calibri"/>
      </rPr>
      <t xml:space="preserve">
</t>
    </r>
    <r>
      <rPr>
        <sz val="11"/>
        <color rgb="FF000000"/>
        <rFont val="Calibri"/>
      </rPr>
      <t>8. Select Save.</t>
    </r>
  </si>
  <si>
    <r>
      <rPr>
        <sz val="11"/>
        <color rgb="FF000000"/>
        <rFont val="Calibri"/>
      </rPr>
      <t>To ensure accountability and prevent unauthenticated access, privileged users must utilize multifactor authentication to prevent potential misuse and compromise of the system.</t>
    </r>
    <r>
      <rPr>
        <sz val="11"/>
        <color rgb="FF000000"/>
        <rFont val="Calibri"/>
      </rPr>
      <t xml:space="preserve">
</t>
    </r>
    <r>
      <rPr>
        <sz val="11"/>
        <color rgb="FF000000"/>
        <rFont val="Calibri"/>
      </rPr>
      <t xml:space="preserve">Multifactor authentication is defined as using two or more factors to achieve authentication. </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(i) Something a user knows (e.g., password/PIN);</t>
    </r>
    <r>
      <rPr>
        <sz val="11"/>
        <color rgb="FF000000"/>
        <rFont val="Calibri"/>
      </rPr>
      <t xml:space="preserve">
</t>
    </r>
    <r>
      <rPr>
        <sz val="11"/>
        <color rgb="FF000000"/>
        <rFont val="Calibri"/>
      </rPr>
      <t>(ii) Something a user has (e.g., cryptographic identification device, token); or</t>
    </r>
    <r>
      <rPr>
        <sz val="11"/>
        <color rgb="FF000000"/>
        <rFont val="Calibri"/>
      </rPr>
      <t xml:space="preserve">
</t>
    </r>
    <r>
      <rPr>
        <sz val="11"/>
        <color rgb="FF000000"/>
        <rFont val="Calibri"/>
      </rPr>
      <t>(iii) Something a user is (e.g., biometric).</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Local access is defined as access to an organizational information system by a user (or process acting on behalf of a user) communicating through a direct connection without the use of a network.</t>
    </r>
    <r>
      <rPr>
        <sz val="11"/>
        <color rgb="FF000000"/>
        <rFont val="Calibri"/>
      </rPr>
      <t xml:space="preserve">
</t>
    </r>
    <r>
      <rPr>
        <sz val="11"/>
        <color rgb="FF000000"/>
        <rFont val="Calibri"/>
      </rPr>
      <t>Applications integrating with the DoD Active Directory and utilize the DoD Common Access Card (CAC) are examples of compliant multifactor authentication solutions.</t>
    </r>
    <r>
      <rPr>
        <sz val="11"/>
        <color rgb="FF000000"/>
        <rFont val="Calibri"/>
      </rPr>
      <t xml:space="preserve">
</t>
    </r>
    <r>
      <rPr>
        <sz val="11"/>
        <color rgb="FF000000"/>
        <rFont val="Calibri"/>
      </rPr>
      <t>SFR ID: FMT_SMF.1(2)b. / IA-2(3)</t>
    </r>
  </si>
  <si>
    <r>
      <rPr>
        <sz val="11"/>
        <color rgb="FF000000"/>
        <rFont val="Calibri"/>
      </rPr>
      <t>Verify WS1 UEM is using multifactor authentication for the local emergency account.</t>
    </r>
    <r>
      <rPr>
        <sz val="11"/>
        <color rgb="FF000000"/>
        <rFont val="Calibri"/>
      </rPr>
      <t xml:space="preserve">
</t>
    </r>
    <r>
      <rPr>
        <sz val="11"/>
        <color rgb="FF000000"/>
        <rFont val="Calibri"/>
      </rPr>
      <t>Use one of the following two methods to confirm compliance:</t>
    </r>
    <r>
      <rPr>
        <sz val="11"/>
        <color rgb="FF000000"/>
        <rFont val="Calibri"/>
      </rPr>
      <t xml:space="preserve">
</t>
    </r>
    <r>
      <rPr>
        <sz val="11"/>
        <color rgb="FF000000"/>
        <rFont val="Calibri"/>
      </rPr>
      <t>Method 1</t>
    </r>
    <r>
      <rPr>
        <sz val="11"/>
        <color rgb="FF000000"/>
        <rFont val="Calibri"/>
      </rPr>
      <t xml:space="preserve">
</t>
    </r>
    <r>
      <rPr>
        <sz val="11"/>
        <color rgb="FF000000"/>
        <rFont val="Calibri"/>
      </rPr>
      <t>Have the emergency account admin user log into the emergency account and verify the server requires 2FA before console access is granted.</t>
    </r>
    <r>
      <rPr>
        <sz val="11"/>
        <color rgb="FF000000"/>
        <rFont val="Calibri"/>
      </rPr>
      <t xml:space="preserve">
</t>
    </r>
    <r>
      <rPr>
        <sz val="11"/>
        <color rgb="FF000000"/>
        <rFont val="Calibri"/>
      </rPr>
      <t>Method 2</t>
    </r>
    <r>
      <rPr>
        <sz val="11"/>
        <color rgb="FF000000"/>
        <rFont val="Calibri"/>
      </rPr>
      <t xml:space="preserve">
</t>
    </r>
    <r>
      <rPr>
        <sz val="11"/>
        <color rgb="FF000000"/>
        <rFont val="Calibri"/>
      </rPr>
      <t>1. Log in to the WS1UEM console.</t>
    </r>
    <r>
      <rPr>
        <sz val="11"/>
        <color rgb="FF000000"/>
        <rFont val="Calibri"/>
      </rPr>
      <t xml:space="preserve">
</t>
    </r>
    <r>
      <rPr>
        <sz val="11"/>
        <color rgb="FF000000"/>
        <rFont val="Calibri"/>
      </rPr>
      <t>2. Go to Accounts &gt;&gt; Administrators &gt;&gt; List View.</t>
    </r>
    <r>
      <rPr>
        <sz val="11"/>
        <color rgb="FF000000"/>
        <rFont val="Calibri"/>
      </rPr>
      <t xml:space="preserve">
</t>
    </r>
    <r>
      <rPr>
        <sz val="11"/>
        <color rgb="FF000000"/>
        <rFont val="Calibri"/>
      </rPr>
      <t>3. Select the Emergency account user and double-click on the account.</t>
    </r>
    <r>
      <rPr>
        <sz val="11"/>
        <color rgb="FF000000"/>
        <rFont val="Calibri"/>
      </rPr>
      <t xml:space="preserve">
</t>
    </r>
    <r>
      <rPr>
        <sz val="11"/>
        <color rgb="FF000000"/>
        <rFont val="Calibri"/>
      </rPr>
      <t>4. In the Add/Edit Admin screen, verify  "Two-Factor Authentication" has been selected with either Email of SMS. Verify Notification has been selected and the token expiration time is 10 minutes or less.</t>
    </r>
    <r>
      <rPr>
        <sz val="11"/>
        <color rgb="FF000000"/>
        <rFont val="Calibri"/>
      </rPr>
      <t xml:space="preserve">
</t>
    </r>
    <r>
      <rPr>
        <sz val="11"/>
        <color rgb="FF000000"/>
        <rFont val="Calibri"/>
      </rPr>
      <t>If WS1 UEM is not using multifactor authentication for the local emergency account,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</si>
  <si>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</si>
  <si>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</si>
  <si>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</si>
  <si>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</si>
  <si>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</si>
  <si>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</si>
  <si>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</si>
  <si>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</si>
  <si>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</si>
  <si>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</si>
  <si>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</si>
  <si>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</si>
  <si>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</si>
  <si>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</si>
  <si>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</si>
  <si>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</si>
  <si>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</si>
  <si>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</si>
  <si>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</si>
  <si>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</si>
  <si>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</si>
  <si>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</si>
  <si>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</si>
  <si>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</si>
  <si>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</si>
  <si>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</si>
  <si>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</si>
  <si>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</si>
  <si>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</si>
  <si>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VMware Workspace ONE UEM Security Technical Implementation Guide V2R1</t>
  </si>
  <si>
    <t>Developed By:</t>
  </si>
  <si>
    <t>VMware and Defense Information Systems Agency (DISA) for the US DoD</t>
  </si>
  <si>
    <t>Release Information:</t>
  </si>
  <si>
    <r>
      <rPr>
        <b/>
        <sz val="11"/>
        <color rgb="FF000000"/>
        <rFont val="Calibri"/>
      </rPr>
      <t>Version:</t>
    </r>
    <r>
      <rPr>
        <sz val="11"/>
        <color rgb="FF000000"/>
        <rFont val="Calibri"/>
      </rPr>
      <t xml:space="preserve"> V2R1    </t>
    </r>
    <r>
      <rPr>
        <b/>
        <sz val="11"/>
        <color rgb="FF000000"/>
        <rFont val="Calibri"/>
      </rPr>
      <t>Date:</t>
    </r>
    <r>
      <rPr>
        <sz val="11"/>
        <color rgb="FF000000"/>
        <rFont val="Calibri"/>
      </rPr>
      <t xml:space="preserve"> 09 December 2021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20</t>
    </r>
  </si>
  <si>
    <t>Download Url:</t>
  </si>
  <si>
    <t>https://www.cyber.mil/stigs</t>
  </si>
  <si>
    <t>Guide Overview:</t>
  </si>
  <si>
    <r>
      <rPr>
        <sz val="11"/>
        <color rgb="FF000000"/>
        <rFont val="Calibri"/>
      </rPr>
      <t>The VMware Workspace ONE (WS1) UEM Security Technical Implementation Guide (STIG) provides security policy and configuration requirements for the use of the WS1 UEM Server platform to provide administrative management of Mobile Operating System (MOS) devices in the Department of Defense (DoD). This STIG applies to any WS1 UEM supported version. See https://lifecycle.vmware.com/#/ (select “Lifecycle Product Matrix”) for the list of current WS1 UEM supported versions.</t>
    </r>
    <r>
      <rPr>
        <sz val="11"/>
        <color rgb="FF000000"/>
        <rFont val="Calibri"/>
      </rPr>
      <t xml:space="preserve">
</t>
    </r>
    <r>
      <rPr>
        <sz val="11"/>
        <color rgb="FF000000"/>
        <rFont val="Calibri"/>
      </rPr>
      <t>The scope of this STIG includes Apple iOS 15, Google Android 12, and the Samsung Android 12 devices.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</si>
  <si>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</si>
  <si>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</si>
  <si>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</si>
  <si>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</si>
  <si>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t>CAT III (Low)</t>
  </si>
  <si>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</si>
  <si>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</si>
  <si>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</si>
  <si>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</si>
  <si>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</si>
  <si>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</si>
  <si>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</si>
  <si>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</si>
  <si>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</si>
  <si>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</si>
  <si>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</si>
  <si>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</si>
  <si>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</si>
  <si>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</si>
  <si>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</si>
  <si>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</si>
  <si>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</si>
  <si>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</si>
  <si>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</si>
  <si>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</si>
  <si>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</si>
  <si>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</si>
  <si>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</si>
  <si>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</si>
  <si>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</si>
  <si>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</si>
  <si>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</si>
  <si>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</si>
  <si>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</si>
  <si>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</si>
  <si>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</si>
  <si>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</si>
  <si>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</si>
  <si>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</si>
  <si>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</si>
  <si>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</si>
  <si>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</si>
  <si>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</si>
  <si>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</si>
  <si>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</si>
  <si>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</si>
  <si>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</si>
  <si>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</si>
  <si>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VMware Workspace ONE UEM Security Technical Implementation Guide V2R1</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</si>
  <si>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</si>
  <si>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</si>
  <si>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</si>
  <si>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</si>
  <si>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</si>
  <si>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</si>
  <si>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</si>
  <si>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</si>
  <si>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</si>
  <si>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</si>
  <si>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</si>
  <si>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</si>
  <si>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</si>
  <si>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</si>
  <si>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</si>
  <si>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</si>
  <si>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</si>
  <si>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</si>
  <si>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</si>
  <si>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</si>
  <si>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</si>
  <si>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</si>
  <si>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</si>
  <si>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</si>
  <si>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</si>
  <si>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</si>
  <si>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</si>
  <si>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</si>
  <si>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</si>
  <si>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</si>
  <si>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</si>
  <si>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</si>
  <si>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</si>
  <si>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</si>
  <si>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</si>
  <si>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</si>
  <si>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</si>
  <si>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</si>
  <si>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</si>
  <si>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</si>
  <si>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</si>
  <si>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</si>
  <si>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</si>
  <si>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</si>
  <si>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</si>
  <si>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</si>
  <si>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(C67)</t>
  </si>
  <si>
    <t>% Must</t>
  </si>
  <si>
    <t>Should Count (C68)</t>
  </si>
  <si>
    <t>% Should</t>
  </si>
  <si>
    <t>Could Count (C69)</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</si>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</sst>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850-4420-A104-0B90F0E6AE3D}"/>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850-4420-A104-0B90F0E6AE3D}"/>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20</c:v>
                </c:pt>
              </c:numCache>
            </c:numRef>
          </c:val>
          <c:extLst>
            <c:ext xmlns:c16="http://schemas.microsoft.com/office/drawing/2014/chart" uri="{C3380CC4-5D6E-409C-BE32-E72D297353CC}">
              <c16:uniqueId val="{00000002-1850-4420-A104-0B90F0E6AE3D}"/>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EB0C-42F8-A45A-5F27F353BD1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EB0C-42F8-A45A-5F27F353BD1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20</c:v>
                </c:pt>
              </c:numCache>
            </c:numRef>
          </c:val>
          <c:extLst>
            <c:ext xmlns:c16="http://schemas.microsoft.com/office/drawing/2014/chart" uri="{C3380CC4-5D6E-409C-BE32-E72D297353CC}">
              <c16:uniqueId val="{00000002-EB0C-42F8-A45A-5F27F353BD1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Dashboard!$C$52:$C$53</c:f>
              <c:numCache>
                <c:formatCode>General</c:formatCode>
                <c:ptCount val="2"/>
                <c:pt idx="0">
                  <c:v>0</c:v>
                </c:pt>
                <c:pt idx="1">
                  <c:v>0</c:v>
                </c:pt>
              </c:numCache>
            </c:numRef>
          </c:val>
          <c:extLst>
            <c:ext xmlns:c16="http://schemas.microsoft.com/office/drawing/2014/chart" uri="{C3380CC4-5D6E-409C-BE32-E72D297353CC}">
              <c16:uniqueId val="{00000000-A721-47E0-A5B7-DE2116C20159}"/>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Dashboard!$D$52:$D$53</c:f>
              <c:numCache>
                <c:formatCode>General</c:formatCode>
                <c:ptCount val="2"/>
                <c:pt idx="0">
                  <c:v>0</c:v>
                </c:pt>
                <c:pt idx="1">
                  <c:v>0</c:v>
                </c:pt>
              </c:numCache>
            </c:numRef>
          </c:val>
          <c:extLst>
            <c:ext xmlns:c16="http://schemas.microsoft.com/office/drawing/2014/chart" uri="{C3380CC4-5D6E-409C-BE32-E72D297353CC}">
              <c16:uniqueId val="{00000001-A721-47E0-A5B7-DE2116C20159}"/>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Dashboard!$B$52:$B$53</c:f>
              <c:strCache>
                <c:ptCount val="2"/>
                <c:pt idx="0">
                  <c:v>CAT I (High)</c:v>
                </c:pt>
                <c:pt idx="1">
                  <c:v>CAT II (Medium)</c:v>
                </c:pt>
              </c:strCache>
            </c:strRef>
          </c:cat>
          <c:val>
            <c:numRef>
              <c:f>Dashboard!$E$52:$E$53</c:f>
              <c:numCache>
                <c:formatCode>General</c:formatCode>
                <c:ptCount val="2"/>
                <c:pt idx="0">
                  <c:v>7</c:v>
                </c:pt>
                <c:pt idx="1">
                  <c:v>13</c:v>
                </c:pt>
              </c:numCache>
            </c:numRef>
          </c:val>
          <c:extLst>
            <c:ext xmlns:c16="http://schemas.microsoft.com/office/drawing/2014/chart" uri="{C3380CC4-5D6E-409C-BE32-E72D297353CC}">
              <c16:uniqueId val="{00000002-A721-47E0-A5B7-DE2116C20159}"/>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Dashboard!$C$67:$C$71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CC2B-4537-B74C-9A29CDA42508}"/>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Dashboard!$D$67:$D$71</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CC2B-4537-B74C-9A29CDA42508}"/>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Dashboard!$B$67:$B$71</c:f>
              <c:strCache>
                <c:ptCount val="5"/>
                <c:pt idx="0">
                  <c:v>Must</c:v>
                </c:pt>
                <c:pt idx="1">
                  <c:v>Should</c:v>
                </c:pt>
                <c:pt idx="2">
                  <c:v>Could</c:v>
                </c:pt>
                <c:pt idx="3">
                  <c:v>Won't</c:v>
                </c:pt>
                <c:pt idx="4">
                  <c:v>Unassigned</c:v>
                </c:pt>
              </c:strCache>
            </c:strRef>
          </c:cat>
          <c:val>
            <c:numRef>
              <c:f>Dashboard!$E$67:$E$71</c:f>
              <c:numCache>
                <c:formatCode>General</c:formatCode>
                <c:ptCount val="5"/>
                <c:pt idx="0">
                  <c:v>0</c:v>
                </c:pt>
                <c:pt idx="1">
                  <c:v>0</c:v>
                </c:pt>
                <c:pt idx="2">
                  <c:v>0</c:v>
                </c:pt>
                <c:pt idx="3">
                  <c:v>0</c:v>
                </c:pt>
                <c:pt idx="4">
                  <c:v>20</c:v>
                </c:pt>
              </c:numCache>
            </c:numRef>
          </c:val>
          <c:extLst>
            <c:ext xmlns:c16="http://schemas.microsoft.com/office/drawing/2014/chart" uri="{C3380CC4-5D6E-409C-BE32-E72D297353CC}">
              <c16:uniqueId val="{00000002-CC2B-4537-B74C-9A29CDA42508}"/>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Dashboard!$C$88:$C$91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36F7-4FE6-BFE5-28F369AA7B25}"/>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Dashboard!$D$88:$D$91</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36F7-4FE6-BFE5-28F369AA7B25}"/>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Dashboard!$B$88:$B$91</c:f>
              <c:strCache>
                <c:ptCount val="4"/>
                <c:pt idx="0">
                  <c:v>Low</c:v>
                </c:pt>
                <c:pt idx="1">
                  <c:v>Medium</c:v>
                </c:pt>
                <c:pt idx="2">
                  <c:v>High</c:v>
                </c:pt>
                <c:pt idx="3">
                  <c:v>Unassessed</c:v>
                </c:pt>
              </c:strCache>
            </c:strRef>
          </c:cat>
          <c:val>
            <c:numRef>
              <c:f>Dashboard!$E$88:$E$91</c:f>
              <c:numCache>
                <c:formatCode>General</c:formatCode>
                <c:ptCount val="4"/>
                <c:pt idx="0">
                  <c:v>0</c:v>
                </c:pt>
                <c:pt idx="1">
                  <c:v>0</c:v>
                </c:pt>
                <c:pt idx="2">
                  <c:v>0</c:v>
                </c:pt>
                <c:pt idx="3">
                  <c:v>20</c:v>
                </c:pt>
              </c:numCache>
            </c:numRef>
          </c:val>
          <c:extLst>
            <c:ext xmlns:c16="http://schemas.microsoft.com/office/drawing/2014/chart" uri="{C3380CC4-5D6E-409C-BE32-E72D297353CC}">
              <c16:uniqueId val="{00000002-36F7-4FE6-BFE5-28F369AA7B25}"/>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Dashboard!$P$124:$P$153</c:f>
              <c:numCache>
                <c:formatCode>yyyy\-mm\-dd</c:formatCode>
                <c:ptCount val="30"/>
              </c:numCache>
            </c:numRef>
          </c:cat>
          <c:val>
            <c:numRef>
              <c:f>Dashboard!$R$124:$R$153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4F34-46E7-9ABF-F2E8C07D0870}"/>
            </c:ext>
          </c:extLst>
        </c:ser>
        <c:ser>
          <c:idx val="1"/>
          <c:order val="1"/>
          <c:tx>
            <c:v>Must % Resolved</c:v>
          </c:tx>
          <c:spPr>
            <a:ln w="22225" cap="rnd">
              <a:solidFill>
                <a:schemeClr val="accent2"/>
              </a:solidFill>
              <a:round/>
            </a:ln>
            <a:effectLst/>
          </c:spPr>
          <c:marker>
            <c:symbol val="none"/>
          </c:marker>
          <c:cat>
            <c:numRef>
              <c:f>Dashboard!$P$124:$P$153</c:f>
              <c:numCache>
                <c:formatCode>yyyy\-mm\-dd</c:formatCode>
                <c:ptCount val="30"/>
              </c:numCache>
            </c:numRef>
          </c:cat>
          <c:val>
            <c:numRef>
              <c:f>Dashboard!$T$124:$T$153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4F34-46E7-9ABF-F2E8C07D0870}"/>
            </c:ext>
          </c:extLst>
        </c:ser>
        <c:ser>
          <c:idx val="2"/>
          <c:order val="2"/>
          <c:tx>
            <c:v>Should % Resolved</c:v>
          </c:tx>
          <c:spPr>
            <a:ln w="22225" cap="rnd">
              <a:solidFill>
                <a:schemeClr val="accent3"/>
              </a:solidFill>
              <a:round/>
            </a:ln>
            <a:effectLst/>
          </c:spPr>
          <c:marker>
            <c:symbol val="none"/>
          </c:marker>
          <c:cat>
            <c:numRef>
              <c:f>Dashboard!$P$124:$P$153</c:f>
              <c:numCache>
                <c:formatCode>yyyy\-mm\-dd</c:formatCode>
                <c:ptCount val="30"/>
              </c:numCache>
            </c:numRef>
          </c:cat>
          <c:val>
            <c:numRef>
              <c:f>Dashboard!$V$124:$V$153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4F34-46E7-9ABF-F2E8C07D0870}"/>
            </c:ext>
          </c:extLst>
        </c:ser>
        <c:ser>
          <c:idx val="3"/>
          <c:order val="3"/>
          <c:tx>
            <c:v>Could % Resolved</c:v>
          </c:tx>
          <c:spPr>
            <a:ln w="22225" cap="rnd">
              <a:solidFill>
                <a:schemeClr val="accent4"/>
              </a:solidFill>
              <a:round/>
            </a:ln>
            <a:effectLst/>
          </c:spPr>
          <c:marker>
            <c:symbol val="none"/>
          </c:marker>
          <c:cat>
            <c:numRef>
              <c:f>Dashboard!$P$124:$P$153</c:f>
              <c:numCache>
                <c:formatCode>yyyy\-mm\-dd</c:formatCode>
                <c:ptCount val="30"/>
              </c:numCache>
            </c:numRef>
          </c:cat>
          <c:val>
            <c:numRef>
              <c:f>Dashboard!$X$124:$X$153</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4F34-46E7-9ABF-F2E8C07D0870}"/>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Dashboard!$P$166:$P$185</c:f>
              <c:numCache>
                <c:formatCode>yyyy\-mm\-dd</c:formatCode>
                <c:ptCount val="20"/>
              </c:numCache>
            </c:numRef>
          </c:cat>
          <c:val>
            <c:numRef>
              <c:f>Dashboard!$R$166:$R$185</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A8D4-42AE-99DD-E7E899D88E05}"/>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twnvld">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pwcx3g">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mzfcoe">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63</xdr:row>
      <xdr:rowOff>95250</xdr:rowOff>
    </xdr:from>
    <xdr:to>
      <xdr:col>15</xdr:col>
      <xdr:colOff>28575</xdr:colOff>
      <xdr:row>79</xdr:row>
      <xdr:rowOff>0</xdr:rowOff>
    </xdr:to>
    <xdr:graphicFrame macro="">
      <xdr:nvGraphicFramePr>
        <xdr:cNvPr id="5" name="Chart1zy21y">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82</xdr:row>
      <xdr:rowOff>95250</xdr:rowOff>
    </xdr:from>
    <xdr:to>
      <xdr:col>15</xdr:col>
      <xdr:colOff>28575</xdr:colOff>
      <xdr:row>97</xdr:row>
      <xdr:rowOff>142875</xdr:rowOff>
    </xdr:to>
    <xdr:graphicFrame macro="">
      <xdr:nvGraphicFramePr>
        <xdr:cNvPr id="6" name="Charto0mdnh">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119</xdr:row>
      <xdr:rowOff>95250</xdr:rowOff>
    </xdr:from>
    <xdr:to>
      <xdr:col>14</xdr:col>
      <xdr:colOff>0</xdr:colOff>
      <xdr:row>142</xdr:row>
      <xdr:rowOff>38100</xdr:rowOff>
    </xdr:to>
    <xdr:graphicFrame macro="">
      <xdr:nvGraphicFramePr>
        <xdr:cNvPr id="7" name="Chartm0i35j">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160</xdr:row>
      <xdr:rowOff>95250</xdr:rowOff>
    </xdr:from>
    <xdr:to>
      <xdr:col>14</xdr:col>
      <xdr:colOff>0</xdr:colOff>
      <xdr:row>178</xdr:row>
      <xdr:rowOff>123825</xdr:rowOff>
    </xdr:to>
    <xdr:graphicFrame macro="">
      <xdr:nvGraphicFramePr>
        <xdr:cNvPr id="8" name="Chartmrgosj">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1">
  <autoFilter ref="A1:M21"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119</v>
      </c>
    </row>
    <row r="3" spans="2:3" ht="15" customHeight="1" x14ac:dyDescent="0.35"/>
    <row r="4" spans="2:3" ht="58" x14ac:dyDescent="0.35">
      <c r="B4" s="18" t="s">
        <v>120</v>
      </c>
      <c r="C4" s="19" t="s">
        <v>121</v>
      </c>
    </row>
    <row r="5" spans="2:3" x14ac:dyDescent="0.35">
      <c r="C5" s="19" t="s">
        <v>122</v>
      </c>
    </row>
    <row r="6" spans="2:3" x14ac:dyDescent="0.35">
      <c r="C6" s="16" t="s">
        <v>123</v>
      </c>
    </row>
    <row r="7" spans="2:3" ht="10" customHeight="1" x14ac:dyDescent="0.35"/>
    <row r="8" spans="2:3" ht="232" x14ac:dyDescent="0.35">
      <c r="B8" s="20" t="s">
        <v>124</v>
      </c>
      <c r="C8" s="19" t="s">
        <v>125</v>
      </c>
    </row>
    <row r="9" spans="2:3" ht="10" customHeight="1" x14ac:dyDescent="0.35"/>
    <row r="10" spans="2:3" ht="35" customHeight="1" x14ac:dyDescent="0.35">
      <c r="B10" s="20" t="s">
        <v>126</v>
      </c>
      <c r="C10" s="19" t="s">
        <v>127</v>
      </c>
    </row>
    <row r="11" spans="2:3" ht="75" customHeight="1" x14ac:dyDescent="0.35">
      <c r="B11" s="16" t="s">
        <v>19</v>
      </c>
      <c r="C11" s="19" t="s">
        <v>128</v>
      </c>
    </row>
    <row r="12" spans="2:3" ht="47" customHeight="1" x14ac:dyDescent="0.35">
      <c r="B12" s="16" t="s">
        <v>19</v>
      </c>
      <c r="C12" s="19" t="s">
        <v>129</v>
      </c>
    </row>
    <row r="13" spans="2:3" ht="35" customHeight="1" x14ac:dyDescent="0.35">
      <c r="B13" s="16" t="s">
        <v>19</v>
      </c>
      <c r="C13" s="19" t="s">
        <v>130</v>
      </c>
    </row>
    <row r="14" spans="2:3" ht="32" customHeight="1" x14ac:dyDescent="0.35">
      <c r="B14" s="16" t="s">
        <v>19</v>
      </c>
      <c r="C14" s="19" t="s">
        <v>131</v>
      </c>
    </row>
    <row r="15" spans="2:3" ht="30" customHeight="1" x14ac:dyDescent="0.35">
      <c r="B15" s="16" t="s">
        <v>19</v>
      </c>
      <c r="C15" s="19" t="s">
        <v>132</v>
      </c>
    </row>
    <row r="16" spans="2:3" ht="10" customHeight="1" x14ac:dyDescent="0.35"/>
    <row r="17" spans="1:3" ht="145" customHeight="1" x14ac:dyDescent="0.35">
      <c r="B17" s="20" t="s">
        <v>133</v>
      </c>
      <c r="C17" s="19" t="s">
        <v>134</v>
      </c>
    </row>
    <row r="18" spans="1:3" ht="10" customHeight="1" x14ac:dyDescent="0.35"/>
    <row r="19" spans="1:3" ht="3" customHeight="1" x14ac:dyDescent="0.35">
      <c r="B19" s="21"/>
      <c r="C19" s="21"/>
    </row>
    <row r="20" spans="1:3" ht="12" customHeight="1" x14ac:dyDescent="0.35"/>
    <row r="21" spans="1:3" ht="35" customHeight="1" x14ac:dyDescent="0.35">
      <c r="A21" s="23"/>
      <c r="B21" s="24" t="s">
        <v>135</v>
      </c>
      <c r="C21" s="25" t="s">
        <v>136</v>
      </c>
    </row>
    <row r="22" spans="1:3" ht="18" customHeight="1" x14ac:dyDescent="0.35">
      <c r="A22" s="23"/>
      <c r="B22" s="23" t="s">
        <v>19</v>
      </c>
      <c r="C22" s="25" t="s">
        <v>137</v>
      </c>
    </row>
    <row r="23" spans="1:3" ht="18" customHeight="1" x14ac:dyDescent="0.35">
      <c r="A23" s="23"/>
      <c r="B23" s="23" t="s">
        <v>19</v>
      </c>
      <c r="C23" s="25" t="s">
        <v>138</v>
      </c>
    </row>
    <row r="24" spans="1:3" ht="18" customHeight="1" x14ac:dyDescent="0.35">
      <c r="A24" s="23"/>
      <c r="B24" s="23" t="s">
        <v>19</v>
      </c>
      <c r="C24" s="25" t="s">
        <v>139</v>
      </c>
    </row>
    <row r="25" spans="1:3" ht="18" customHeight="1" x14ac:dyDescent="0.35">
      <c r="A25" s="23"/>
      <c r="B25" s="23" t="s">
        <v>19</v>
      </c>
      <c r="C25" s="25" t="s">
        <v>140</v>
      </c>
    </row>
    <row r="26" spans="1:3" ht="18" customHeight="1" x14ac:dyDescent="0.35">
      <c r="A26" s="23"/>
      <c r="B26" s="23" t="s">
        <v>19</v>
      </c>
      <c r="C26" s="25" t="s">
        <v>141</v>
      </c>
    </row>
    <row r="27" spans="1:3" ht="18" customHeight="1" x14ac:dyDescent="0.35">
      <c r="A27" s="23"/>
      <c r="B27" s="23" t="s">
        <v>19</v>
      </c>
      <c r="C27" s="25" t="s">
        <v>142</v>
      </c>
    </row>
    <row r="28" spans="1:3" ht="18" customHeight="1" x14ac:dyDescent="0.35">
      <c r="A28" s="23"/>
      <c r="B28" s="23" t="s">
        <v>19</v>
      </c>
      <c r="C28" s="25" t="s">
        <v>143</v>
      </c>
    </row>
    <row r="29" spans="1:3" ht="18" customHeight="1" x14ac:dyDescent="0.35">
      <c r="A29" s="23"/>
      <c r="B29" s="23" t="s">
        <v>19</v>
      </c>
      <c r="C29" s="25" t="s">
        <v>144</v>
      </c>
    </row>
    <row r="30" spans="1:3" ht="44" customHeight="1" x14ac:dyDescent="0.35">
      <c r="A30" s="23"/>
      <c r="B30" s="23" t="s">
        <v>19</v>
      </c>
      <c r="C30" s="26" t="s">
        <v>145</v>
      </c>
    </row>
    <row r="31" spans="1:3" ht="10" customHeight="1" x14ac:dyDescent="0.35"/>
    <row r="32" spans="1:3" ht="3" customHeight="1" x14ac:dyDescent="0.35">
      <c r="B32" s="21"/>
      <c r="C32" s="21"/>
    </row>
    <row r="33" spans="2:3" ht="12" customHeight="1" x14ac:dyDescent="0.35"/>
    <row r="34" spans="2:3" ht="24" customHeight="1" x14ac:dyDescent="0.35">
      <c r="B34" s="27" t="s">
        <v>146</v>
      </c>
      <c r="C34" s="28" t="s">
        <v>147</v>
      </c>
    </row>
    <row r="35" spans="2:3" ht="18.5" x14ac:dyDescent="0.35">
      <c r="B35" s="27" t="s">
        <v>148</v>
      </c>
      <c r="C35" s="29" t="s">
        <v>149</v>
      </c>
    </row>
    <row r="36" spans="2:3" ht="27" customHeight="1" x14ac:dyDescent="0.35">
      <c r="B36" s="30" t="s">
        <v>150</v>
      </c>
      <c r="C36" s="22" t="s">
        <v>151</v>
      </c>
    </row>
    <row r="37" spans="2:3" x14ac:dyDescent="0.35">
      <c r="B37" s="27" t="s">
        <v>152</v>
      </c>
      <c r="C37" s="31" t="s">
        <v>153</v>
      </c>
    </row>
    <row r="38" spans="2:3" ht="10" customHeight="1" x14ac:dyDescent="0.35"/>
    <row r="39" spans="2:3" ht="101.5" x14ac:dyDescent="0.35">
      <c r="B39" s="27" t="s">
        <v>154</v>
      </c>
      <c r="C39" s="32" t="s">
        <v>155</v>
      </c>
    </row>
    <row r="40" spans="2:3" ht="10" customHeight="1" x14ac:dyDescent="0.35"/>
    <row r="41" spans="2:3" ht="43.5" x14ac:dyDescent="0.35">
      <c r="B41" s="27" t="s">
        <v>156</v>
      </c>
      <c r="C41" s="19" t="s">
        <v>157</v>
      </c>
    </row>
    <row r="42" spans="2:3" ht="10" customHeight="1" x14ac:dyDescent="0.35"/>
    <row r="43" spans="2:3" ht="15.5" x14ac:dyDescent="0.35">
      <c r="C43" s="33" t="s">
        <v>59</v>
      </c>
    </row>
    <row r="44" spans="2:3" ht="29" x14ac:dyDescent="0.35">
      <c r="C44" s="19" t="s">
        <v>158</v>
      </c>
    </row>
    <row r="45" spans="2:3" ht="10" customHeight="1" x14ac:dyDescent="0.35"/>
    <row r="46" spans="2:3" ht="15.5" x14ac:dyDescent="0.35">
      <c r="C46" s="34" t="s">
        <v>15</v>
      </c>
    </row>
    <row r="47" spans="2:3" ht="29" x14ac:dyDescent="0.35">
      <c r="C47" s="19" t="s">
        <v>159</v>
      </c>
    </row>
    <row r="48" spans="2:3" ht="10" customHeight="1" x14ac:dyDescent="0.35"/>
    <row r="49" spans="2:3" ht="15.5" x14ac:dyDescent="0.35">
      <c r="C49" s="35" t="s">
        <v>160</v>
      </c>
    </row>
    <row r="50" spans="2:3" ht="29" x14ac:dyDescent="0.35">
      <c r="C50" s="19" t="s">
        <v>161</v>
      </c>
    </row>
    <row r="51" spans="2:3" ht="10" customHeight="1" x14ac:dyDescent="0.35"/>
    <row r="52" spans="2:3" ht="3" customHeight="1" x14ac:dyDescent="0.35">
      <c r="B52" s="21"/>
      <c r="C52" s="21"/>
    </row>
    <row r="53" spans="2:3" ht="12" customHeight="1" x14ac:dyDescent="0.35"/>
    <row r="54" spans="2:3" ht="130.5" x14ac:dyDescent="0.35">
      <c r="B54" s="18" t="s">
        <v>162</v>
      </c>
      <c r="C54" s="19" t="s">
        <v>163</v>
      </c>
    </row>
    <row r="55" spans="2:3" ht="6" customHeight="1" x14ac:dyDescent="0.35"/>
    <row r="56" spans="2:3" ht="217.5" x14ac:dyDescent="0.35">
      <c r="C56" s="19" t="s">
        <v>164</v>
      </c>
    </row>
    <row r="57" spans="2:3" ht="6" customHeight="1" x14ac:dyDescent="0.35"/>
    <row r="58" spans="2:3" ht="43.5" x14ac:dyDescent="0.35">
      <c r="C58" s="19" t="s">
        <v>165</v>
      </c>
    </row>
    <row r="59" spans="2:3" ht="10" customHeight="1" x14ac:dyDescent="0.35"/>
    <row r="60" spans="2:3" ht="3" customHeight="1" x14ac:dyDescent="0.35">
      <c r="B60" s="21"/>
      <c r="C60" s="21"/>
    </row>
    <row r="61" spans="2:3" ht="12" customHeight="1" x14ac:dyDescent="0.35"/>
    <row r="62" spans="2:3" ht="145" x14ac:dyDescent="0.35">
      <c r="B62" s="18" t="s">
        <v>166</v>
      </c>
      <c r="C62" s="19" t="s">
        <v>167</v>
      </c>
    </row>
    <row r="63" spans="2:3" ht="6" customHeight="1" x14ac:dyDescent="0.35"/>
    <row r="64" spans="2:3" ht="203" x14ac:dyDescent="0.35">
      <c r="C64" s="19" t="s">
        <v>168</v>
      </c>
    </row>
    <row r="65" spans="2:3" ht="6" customHeight="1" x14ac:dyDescent="0.35"/>
    <row r="66" spans="2:3" ht="43.5" x14ac:dyDescent="0.35">
      <c r="C66" s="19" t="s">
        <v>169</v>
      </c>
    </row>
    <row r="67" spans="2:3" ht="10" customHeight="1" x14ac:dyDescent="0.35"/>
    <row r="68" spans="2:3" ht="3" customHeight="1" x14ac:dyDescent="0.35">
      <c r="B68" s="21"/>
      <c r="C68" s="21"/>
    </row>
    <row r="69" spans="2:3" ht="12" customHeight="1" x14ac:dyDescent="0.35"/>
    <row r="70" spans="2:3" ht="101.5" x14ac:dyDescent="0.35">
      <c r="B70" s="18" t="s">
        <v>170</v>
      </c>
      <c r="C70" s="19" t="s">
        <v>171</v>
      </c>
    </row>
    <row r="71" spans="2:3" ht="6" customHeight="1" x14ac:dyDescent="0.35"/>
    <row r="72" spans="2:3" ht="145" x14ac:dyDescent="0.35">
      <c r="C72" s="19" t="s">
        <v>172</v>
      </c>
    </row>
    <row r="73" spans="2:3" ht="6" customHeight="1" x14ac:dyDescent="0.35"/>
    <row r="74" spans="2:3" ht="43.5" x14ac:dyDescent="0.35">
      <c r="C74" s="19" t="s">
        <v>173</v>
      </c>
    </row>
    <row r="75" spans="2:3" ht="10" customHeight="1" x14ac:dyDescent="0.35"/>
    <row r="76" spans="2:3" ht="3" customHeight="1" x14ac:dyDescent="0.35">
      <c r="B76" s="21"/>
      <c r="C76" s="21"/>
    </row>
    <row r="77" spans="2:3" ht="12" customHeight="1" x14ac:dyDescent="0.35"/>
    <row r="78" spans="2:3" ht="26" customHeight="1" x14ac:dyDescent="0.35">
      <c r="B78" s="36" t="s">
        <v>174</v>
      </c>
    </row>
    <row r="79" spans="2:3" ht="8" customHeight="1" x14ac:dyDescent="0.35"/>
    <row r="80" spans="2:3" ht="20" customHeight="1" x14ac:dyDescent="0.35">
      <c r="B80" s="27" t="s">
        <v>175</v>
      </c>
      <c r="C80" s="37" t="s">
        <v>176</v>
      </c>
    </row>
    <row r="81" spans="2:3" ht="116" x14ac:dyDescent="0.35">
      <c r="C81" s="19" t="s">
        <v>177</v>
      </c>
    </row>
    <row r="82" spans="2:3" ht="10" customHeight="1" x14ac:dyDescent="0.35"/>
    <row r="83" spans="2:3" ht="20" customHeight="1" x14ac:dyDescent="0.35">
      <c r="B83" s="27" t="s">
        <v>178</v>
      </c>
      <c r="C83" s="37" t="s">
        <v>179</v>
      </c>
    </row>
    <row r="84" spans="2:3" ht="116" x14ac:dyDescent="0.35">
      <c r="C84" s="19" t="s">
        <v>180</v>
      </c>
    </row>
    <row r="85" spans="2:3" ht="10" customHeight="1" x14ac:dyDescent="0.35"/>
    <row r="86" spans="2:3" ht="20" customHeight="1" x14ac:dyDescent="0.35">
      <c r="B86" s="27" t="s">
        <v>181</v>
      </c>
      <c r="C86" s="37" t="s">
        <v>182</v>
      </c>
    </row>
    <row r="87" spans="2:3" ht="130.5" x14ac:dyDescent="0.35">
      <c r="C87" s="19" t="s">
        <v>183</v>
      </c>
    </row>
    <row r="88" spans="2:3" ht="10" customHeight="1" x14ac:dyDescent="0.35"/>
    <row r="89" spans="2:3" ht="20" customHeight="1" x14ac:dyDescent="0.35">
      <c r="B89" s="27" t="s">
        <v>184</v>
      </c>
      <c r="C89" s="37" t="s">
        <v>185</v>
      </c>
    </row>
    <row r="90" spans="2:3" ht="130.5" x14ac:dyDescent="0.35">
      <c r="C90" s="19" t="s">
        <v>186</v>
      </c>
    </row>
    <row r="91" spans="2:3" ht="10" customHeight="1" x14ac:dyDescent="0.35"/>
    <row r="92" spans="2:3" ht="20" customHeight="1" x14ac:dyDescent="0.35">
      <c r="B92" s="27" t="s">
        <v>187</v>
      </c>
      <c r="C92" s="37" t="s">
        <v>188</v>
      </c>
    </row>
    <row r="93" spans="2:3" ht="116" x14ac:dyDescent="0.35">
      <c r="C93" s="19" t="s">
        <v>189</v>
      </c>
    </row>
    <row r="94" spans="2:3" ht="10" customHeight="1" x14ac:dyDescent="0.35"/>
    <row r="95" spans="2:3" ht="20" customHeight="1" x14ac:dyDescent="0.35">
      <c r="B95" s="27" t="s">
        <v>190</v>
      </c>
      <c r="C95" s="37" t="s">
        <v>191</v>
      </c>
    </row>
    <row r="96" spans="2:3" ht="116" x14ac:dyDescent="0.35">
      <c r="C96" s="19" t="s">
        <v>192</v>
      </c>
    </row>
    <row r="97" spans="2:3" ht="10" customHeight="1" x14ac:dyDescent="0.35"/>
    <row r="98" spans="2:3" ht="20" customHeight="1" x14ac:dyDescent="0.35">
      <c r="B98" s="27" t="s">
        <v>193</v>
      </c>
      <c r="C98" s="37" t="s">
        <v>194</v>
      </c>
    </row>
    <row r="99" spans="2:3" ht="130.5" x14ac:dyDescent="0.35">
      <c r="C99" s="19" t="s">
        <v>195</v>
      </c>
    </row>
    <row r="100" spans="2:3" ht="10" customHeight="1" x14ac:dyDescent="0.35"/>
    <row r="101" spans="2:3" ht="20" customHeight="1" x14ac:dyDescent="0.35">
      <c r="B101" s="27" t="s">
        <v>196</v>
      </c>
      <c r="C101" s="37" t="s">
        <v>197</v>
      </c>
    </row>
    <row r="102" spans="2:3" ht="203" x14ac:dyDescent="0.35">
      <c r="C102" s="19" t="s">
        <v>198</v>
      </c>
    </row>
    <row r="103" spans="2:3" ht="10" customHeight="1" x14ac:dyDescent="0.35"/>
    <row r="106" spans="2:3" ht="32" customHeight="1" x14ac:dyDescent="0.35">
      <c r="B106" s="288" t="s">
        <v>118</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2881</v>
      </c>
      <c r="B1" s="230" t="s">
        <v>0</v>
      </c>
      <c r="C1" s="230" t="s">
        <v>358</v>
      </c>
      <c r="D1" s="230" t="s">
        <v>359</v>
      </c>
      <c r="E1" s="230" t="s">
        <v>364</v>
      </c>
      <c r="F1" s="230" t="s">
        <v>365</v>
      </c>
      <c r="G1" s="230" t="s">
        <v>366</v>
      </c>
      <c r="H1" s="230" t="s">
        <v>367</v>
      </c>
      <c r="I1" s="230" t="s">
        <v>368</v>
      </c>
      <c r="J1" s="230" t="s">
        <v>369</v>
      </c>
      <c r="K1" s="230" t="s">
        <v>370</v>
      </c>
      <c r="L1" s="230" t="s">
        <v>371</v>
      </c>
      <c r="M1" s="230" t="s">
        <v>372</v>
      </c>
      <c r="N1" s="230" t="s">
        <v>373</v>
      </c>
      <c r="O1" s="230" t="s">
        <v>374</v>
      </c>
      <c r="P1" s="230" t="s">
        <v>375</v>
      </c>
      <c r="Q1" s="230" t="s">
        <v>376</v>
      </c>
      <c r="R1" s="230" t="s">
        <v>377</v>
      </c>
      <c r="S1" s="230" t="s">
        <v>378</v>
      </c>
      <c r="T1" s="230" t="s">
        <v>379</v>
      </c>
      <c r="U1" s="230" t="s">
        <v>380</v>
      </c>
      <c r="V1" s="230" t="s">
        <v>381</v>
      </c>
      <c r="W1" s="230" t="s">
        <v>382</v>
      </c>
      <c r="X1" s="230" t="s">
        <v>383</v>
      </c>
      <c r="Y1" s="230" t="s">
        <v>384</v>
      </c>
      <c r="Z1" s="230" t="s">
        <v>385</v>
      </c>
      <c r="AA1" s="230" t="s">
        <v>386</v>
      </c>
      <c r="AB1" s="230" t="s">
        <v>387</v>
      </c>
      <c r="AC1" s="230" t="s">
        <v>388</v>
      </c>
      <c r="AD1" s="230" t="s">
        <v>389</v>
      </c>
      <c r="AE1" s="230" t="s">
        <v>390</v>
      </c>
      <c r="AF1" s="230" t="s">
        <v>391</v>
      </c>
      <c r="AG1" s="230" t="s">
        <v>392</v>
      </c>
      <c r="AH1" s="230" t="s">
        <v>393</v>
      </c>
      <c r="AI1" s="230" t="s">
        <v>394</v>
      </c>
      <c r="AJ1" s="230" t="s">
        <v>395</v>
      </c>
      <c r="AK1" s="230" t="s">
        <v>396</v>
      </c>
      <c r="AL1" s="230" t="s">
        <v>397</v>
      </c>
      <c r="AM1" s="230" t="s">
        <v>398</v>
      </c>
      <c r="AN1" s="230" t="s">
        <v>399</v>
      </c>
      <c r="AO1" s="230" t="s">
        <v>400</v>
      </c>
      <c r="AP1" s="230" t="s">
        <v>401</v>
      </c>
      <c r="AQ1" s="230" t="s">
        <v>402</v>
      </c>
      <c r="AR1" s="230" t="s">
        <v>403</v>
      </c>
      <c r="AS1" s="231" t="s">
        <v>404</v>
      </c>
    </row>
    <row r="2" spans="1:45" ht="60" customHeight="1" outlineLevel="1" x14ac:dyDescent="0.35">
      <c r="A2" s="223" t="s">
        <v>2882</v>
      </c>
      <c r="B2" s="210" t="s">
        <v>2883</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2882</v>
      </c>
      <c r="B3" s="211" t="s">
        <v>2884</v>
      </c>
      <c r="C3" s="212" t="s">
        <v>2885</v>
      </c>
      <c r="D3" s="214" t="s">
        <v>2886</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2882</v>
      </c>
      <c r="B4" s="211" t="s">
        <v>2887</v>
      </c>
      <c r="C4" s="212" t="s">
        <v>2888</v>
      </c>
      <c r="D4" s="214" t="s">
        <v>2889</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2882</v>
      </c>
      <c r="B5" s="211" t="s">
        <v>2890</v>
      </c>
      <c r="C5" s="212" t="s">
        <v>2891</v>
      </c>
      <c r="D5" s="214" t="s">
        <v>2892</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2882</v>
      </c>
      <c r="B6" s="211" t="s">
        <v>2893</v>
      </c>
      <c r="C6" s="212" t="s">
        <v>2894</v>
      </c>
      <c r="D6" s="214" t="s">
        <v>2895</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2882</v>
      </c>
      <c r="B7" s="211" t="s">
        <v>2896</v>
      </c>
      <c r="C7" s="212" t="s">
        <v>2897</v>
      </c>
      <c r="D7" s="214" t="s">
        <v>2898</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2882</v>
      </c>
      <c r="B8" s="211" t="s">
        <v>2899</v>
      </c>
      <c r="C8" s="212" t="s">
        <v>2900</v>
      </c>
      <c r="D8" s="214" t="s">
        <v>2901</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2882</v>
      </c>
      <c r="B9" s="211" t="s">
        <v>2902</v>
      </c>
      <c r="C9" s="212" t="s">
        <v>2903</v>
      </c>
      <c r="D9" s="214" t="s">
        <v>2904</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2882</v>
      </c>
      <c r="B10" s="211" t="s">
        <v>2905</v>
      </c>
      <c r="C10" s="212" t="s">
        <v>2906</v>
      </c>
      <c r="D10" s="214" t="s">
        <v>2907</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2882</v>
      </c>
      <c r="B11" s="211" t="s">
        <v>2908</v>
      </c>
      <c r="C11" s="212" t="s">
        <v>2909</v>
      </c>
      <c r="D11" s="214" t="s">
        <v>2910</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2882</v>
      </c>
      <c r="B12" s="211" t="s">
        <v>2911</v>
      </c>
      <c r="C12" s="212" t="s">
        <v>2912</v>
      </c>
      <c r="D12" s="214" t="s">
        <v>2913</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2882</v>
      </c>
      <c r="B13" s="211" t="s">
        <v>2914</v>
      </c>
      <c r="C13" s="212" t="s">
        <v>2915</v>
      </c>
      <c r="D13" s="214" t="s">
        <v>2916</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2882</v>
      </c>
      <c r="B14" s="211" t="s">
        <v>2917</v>
      </c>
      <c r="C14" s="212" t="s">
        <v>2918</v>
      </c>
      <c r="D14" s="214" t="s">
        <v>2919</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2882</v>
      </c>
      <c r="B15" s="211" t="s">
        <v>2920</v>
      </c>
      <c r="C15" s="212" t="s">
        <v>2921</v>
      </c>
      <c r="D15" s="214" t="s">
        <v>2922</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2882</v>
      </c>
      <c r="B16" s="211" t="s">
        <v>2923</v>
      </c>
      <c r="C16" s="212" t="s">
        <v>2924</v>
      </c>
      <c r="D16" s="214" t="s">
        <v>2925</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2882</v>
      </c>
      <c r="B17" s="211" t="s">
        <v>2926</v>
      </c>
      <c r="C17" s="212" t="s">
        <v>2927</v>
      </c>
      <c r="D17" s="214" t="s">
        <v>2928</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2882</v>
      </c>
      <c r="B18" s="211" t="s">
        <v>2929</v>
      </c>
      <c r="C18" s="212" t="s">
        <v>2930</v>
      </c>
      <c r="D18" s="214" t="s">
        <v>2931</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2882</v>
      </c>
      <c r="B19" s="211" t="s">
        <v>2932</v>
      </c>
      <c r="C19" s="212" t="s">
        <v>2933</v>
      </c>
      <c r="D19" s="214" t="s">
        <v>2934</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2882</v>
      </c>
      <c r="B20" s="211" t="s">
        <v>2935</v>
      </c>
      <c r="C20" s="212" t="s">
        <v>2936</v>
      </c>
      <c r="D20" s="214" t="s">
        <v>2937</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2882</v>
      </c>
      <c r="B21" s="211" t="s">
        <v>2938</v>
      </c>
      <c r="C21" s="212" t="s">
        <v>2939</v>
      </c>
      <c r="D21" s="214" t="s">
        <v>2940</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2882</v>
      </c>
      <c r="B22" s="211" t="s">
        <v>2941</v>
      </c>
      <c r="C22" s="212" t="s">
        <v>2942</v>
      </c>
      <c r="D22" s="214" t="s">
        <v>2943</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2882</v>
      </c>
      <c r="B23" s="211" t="s">
        <v>2944</v>
      </c>
      <c r="C23" s="212" t="s">
        <v>2945</v>
      </c>
      <c r="D23" s="214" t="s">
        <v>2946</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2882</v>
      </c>
      <c r="B24" s="211" t="s">
        <v>2947</v>
      </c>
      <c r="C24" s="212" t="s">
        <v>2948</v>
      </c>
      <c r="D24" s="214" t="s">
        <v>2949</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2882</v>
      </c>
      <c r="B25" s="211" t="s">
        <v>2950</v>
      </c>
      <c r="C25" s="212" t="s">
        <v>2951</v>
      </c>
      <c r="D25" s="214" t="s">
        <v>2952</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2882</v>
      </c>
      <c r="B26" s="211" t="s">
        <v>2953</v>
      </c>
      <c r="C26" s="212" t="s">
        <v>2954</v>
      </c>
      <c r="D26" s="214" t="s">
        <v>2955</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2882</v>
      </c>
      <c r="B27" s="211" t="s">
        <v>2956</v>
      </c>
      <c r="C27" s="212" t="s">
        <v>2957</v>
      </c>
      <c r="D27" s="214" t="s">
        <v>2958</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2882</v>
      </c>
      <c r="B28" s="211" t="s">
        <v>2959</v>
      </c>
      <c r="C28" s="212" t="s">
        <v>2960</v>
      </c>
      <c r="D28" s="214" t="s">
        <v>2961</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2882</v>
      </c>
      <c r="B29" s="211" t="s">
        <v>2962</v>
      </c>
      <c r="C29" s="212" t="s">
        <v>2963</v>
      </c>
      <c r="D29" s="214" t="s">
        <v>2964</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2882</v>
      </c>
      <c r="B30" s="211" t="s">
        <v>2965</v>
      </c>
      <c r="C30" s="212" t="s">
        <v>2966</v>
      </c>
      <c r="D30" s="214" t="s">
        <v>2967</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2882</v>
      </c>
      <c r="B31" s="211" t="s">
        <v>2968</v>
      </c>
      <c r="C31" s="212" t="s">
        <v>2969</v>
      </c>
      <c r="D31" s="214" t="s">
        <v>2970</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2882</v>
      </c>
      <c r="B32" s="211" t="s">
        <v>2971</v>
      </c>
      <c r="C32" s="212" t="s">
        <v>2972</v>
      </c>
      <c r="D32" s="214" t="s">
        <v>2973</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2882</v>
      </c>
      <c r="B33" s="211" t="s">
        <v>2974</v>
      </c>
      <c r="C33" s="212" t="s">
        <v>2975</v>
      </c>
      <c r="D33" s="214" t="s">
        <v>2976</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2882</v>
      </c>
      <c r="B34" s="211" t="s">
        <v>2977</v>
      </c>
      <c r="C34" s="212" t="s">
        <v>2978</v>
      </c>
      <c r="D34" s="214" t="s">
        <v>2979</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2882</v>
      </c>
      <c r="B35" s="211" t="s">
        <v>2980</v>
      </c>
      <c r="C35" s="212" t="s">
        <v>2981</v>
      </c>
      <c r="D35" s="214" t="s">
        <v>2982</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2882</v>
      </c>
      <c r="B36" s="211" t="s">
        <v>2983</v>
      </c>
      <c r="C36" s="212" t="s">
        <v>2984</v>
      </c>
      <c r="D36" s="214" t="s">
        <v>2985</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2882</v>
      </c>
      <c r="B37" s="211" t="s">
        <v>2986</v>
      </c>
      <c r="C37" s="212" t="s">
        <v>2987</v>
      </c>
      <c r="D37" s="214" t="s">
        <v>2988</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2882</v>
      </c>
      <c r="B38" s="211" t="s">
        <v>2989</v>
      </c>
      <c r="C38" s="212" t="s">
        <v>2990</v>
      </c>
      <c r="D38" s="214" t="s">
        <v>2991</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2882</v>
      </c>
      <c r="B39" s="211" t="s">
        <v>2992</v>
      </c>
      <c r="C39" s="212" t="s">
        <v>2993</v>
      </c>
      <c r="D39" s="214" t="s">
        <v>2994</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2995</v>
      </c>
      <c r="B40" s="210" t="s">
        <v>2996</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2995</v>
      </c>
      <c r="B41" s="211" t="s">
        <v>2997</v>
      </c>
      <c r="C41" s="212" t="s">
        <v>2998</v>
      </c>
      <c r="D41" s="214" t="s">
        <v>2999</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2995</v>
      </c>
      <c r="B42" s="211" t="s">
        <v>3000</v>
      </c>
      <c r="C42" s="212" t="s">
        <v>3001</v>
      </c>
      <c r="D42" s="214" t="s">
        <v>3002</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2995</v>
      </c>
      <c r="B43" s="211" t="s">
        <v>3003</v>
      </c>
      <c r="C43" s="212" t="s">
        <v>3004</v>
      </c>
      <c r="D43" s="214" t="s">
        <v>3005</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2995</v>
      </c>
      <c r="B44" s="211" t="s">
        <v>3006</v>
      </c>
      <c r="C44" s="212" t="s">
        <v>3007</v>
      </c>
      <c r="D44" s="214" t="s">
        <v>3008</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2995</v>
      </c>
      <c r="B45" s="211" t="s">
        <v>3009</v>
      </c>
      <c r="C45" s="212" t="s">
        <v>3010</v>
      </c>
      <c r="D45" s="214" t="s">
        <v>3011</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2995</v>
      </c>
      <c r="B46" s="211" t="s">
        <v>3012</v>
      </c>
      <c r="C46" s="212" t="s">
        <v>3013</v>
      </c>
      <c r="D46" s="214" t="s">
        <v>3014</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2995</v>
      </c>
      <c r="B47" s="211" t="s">
        <v>3015</v>
      </c>
      <c r="C47" s="212" t="s">
        <v>3016</v>
      </c>
      <c r="D47" s="214" t="s">
        <v>3017</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2995</v>
      </c>
      <c r="B48" s="211" t="s">
        <v>3018</v>
      </c>
      <c r="C48" s="212" t="s">
        <v>3019</v>
      </c>
      <c r="D48" s="214" t="s">
        <v>3020</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3021</v>
      </c>
      <c r="B49" s="210" t="s">
        <v>3022</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3021</v>
      </c>
      <c r="B50" s="211" t="s">
        <v>3023</v>
      </c>
      <c r="C50" s="212" t="s">
        <v>3024</v>
      </c>
      <c r="D50" s="214" t="s">
        <v>3025</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3021</v>
      </c>
      <c r="B51" s="211" t="s">
        <v>3026</v>
      </c>
      <c r="C51" s="212" t="s">
        <v>3027</v>
      </c>
      <c r="D51" s="214" t="s">
        <v>3028</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3021</v>
      </c>
      <c r="B52" s="211" t="s">
        <v>3029</v>
      </c>
      <c r="C52" s="212" t="s">
        <v>3030</v>
      </c>
      <c r="D52" s="214" t="s">
        <v>3031</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3021</v>
      </c>
      <c r="B53" s="211" t="s">
        <v>3032</v>
      </c>
      <c r="C53" s="212" t="s">
        <v>3033</v>
      </c>
      <c r="D53" s="214" t="s">
        <v>3034</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3021</v>
      </c>
      <c r="B54" s="211" t="s">
        <v>3035</v>
      </c>
      <c r="C54" s="212" t="s">
        <v>3036</v>
      </c>
      <c r="D54" s="214" t="s">
        <v>3037</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3021</v>
      </c>
      <c r="B55" s="211" t="s">
        <v>3038</v>
      </c>
      <c r="C55" s="212" t="s">
        <v>3039</v>
      </c>
      <c r="D55" s="214" t="s">
        <v>3040</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3021</v>
      </c>
      <c r="B56" s="211" t="s">
        <v>3041</v>
      </c>
      <c r="C56" s="212" t="s">
        <v>3042</v>
      </c>
      <c r="D56" s="214" t="s">
        <v>3043</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3021</v>
      </c>
      <c r="B57" s="211" t="s">
        <v>3044</v>
      </c>
      <c r="C57" s="212" t="s">
        <v>3045</v>
      </c>
      <c r="D57" s="214" t="s">
        <v>3046</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3021</v>
      </c>
      <c r="B58" s="211" t="s">
        <v>3047</v>
      </c>
      <c r="C58" s="212" t="s">
        <v>3048</v>
      </c>
      <c r="D58" s="214" t="s">
        <v>3049</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3021</v>
      </c>
      <c r="B59" s="211" t="s">
        <v>3050</v>
      </c>
      <c r="C59" s="212" t="s">
        <v>3051</v>
      </c>
      <c r="D59" s="214" t="s">
        <v>3052</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3021</v>
      </c>
      <c r="B60" s="211" t="s">
        <v>3053</v>
      </c>
      <c r="C60" s="212" t="s">
        <v>3054</v>
      </c>
      <c r="D60" s="214" t="s">
        <v>3055</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3021</v>
      </c>
      <c r="B61" s="211" t="s">
        <v>3056</v>
      </c>
      <c r="C61" s="212" t="s">
        <v>3057</v>
      </c>
      <c r="D61" s="214" t="s">
        <v>3058</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3021</v>
      </c>
      <c r="B62" s="211" t="s">
        <v>3059</v>
      </c>
      <c r="C62" s="212" t="s">
        <v>3060</v>
      </c>
      <c r="D62" s="214" t="s">
        <v>3061</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3021</v>
      </c>
      <c r="B63" s="211" t="s">
        <v>3062</v>
      </c>
      <c r="C63" s="212" t="s">
        <v>3063</v>
      </c>
      <c r="D63" s="214" t="s">
        <v>3064</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3065</v>
      </c>
      <c r="B64" s="210" t="s">
        <v>3066</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3065</v>
      </c>
      <c r="B65" s="211" t="s">
        <v>3067</v>
      </c>
      <c r="C65" s="212" t="s">
        <v>3068</v>
      </c>
      <c r="D65" s="214" t="s">
        <v>3069</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3065</v>
      </c>
      <c r="B66" s="211" t="s">
        <v>3070</v>
      </c>
      <c r="C66" s="212" t="s">
        <v>3071</v>
      </c>
      <c r="D66" s="214" t="s">
        <v>3072</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3065</v>
      </c>
      <c r="B67" s="211" t="s">
        <v>3073</v>
      </c>
      <c r="C67" s="212" t="s">
        <v>3074</v>
      </c>
      <c r="D67" s="214" t="s">
        <v>3075</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3065</v>
      </c>
      <c r="B68" s="211" t="s">
        <v>3076</v>
      </c>
      <c r="C68" s="212" t="s">
        <v>3077</v>
      </c>
      <c r="D68" s="214" t="s">
        <v>3078</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3065</v>
      </c>
      <c r="B69" s="211" t="s">
        <v>3079</v>
      </c>
      <c r="C69" s="212" t="s">
        <v>3080</v>
      </c>
      <c r="D69" s="214" t="s">
        <v>3081</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3065</v>
      </c>
      <c r="B70" s="211" t="s">
        <v>3082</v>
      </c>
      <c r="C70" s="212" t="s">
        <v>3083</v>
      </c>
      <c r="D70" s="214" t="s">
        <v>3084</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3065</v>
      </c>
      <c r="B71" s="211" t="s">
        <v>3085</v>
      </c>
      <c r="C71" s="212" t="s">
        <v>3086</v>
      </c>
      <c r="D71" s="214" t="s">
        <v>3087</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3065</v>
      </c>
      <c r="B72" s="211" t="s">
        <v>3088</v>
      </c>
      <c r="C72" s="212" t="s">
        <v>3089</v>
      </c>
      <c r="D72" s="214" t="s">
        <v>3090</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3065</v>
      </c>
      <c r="B73" s="211" t="s">
        <v>3091</v>
      </c>
      <c r="C73" s="212" t="s">
        <v>3092</v>
      </c>
      <c r="D73" s="214" t="s">
        <v>3093</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3065</v>
      </c>
      <c r="B74" s="211" t="s">
        <v>3094</v>
      </c>
      <c r="C74" s="212" t="s">
        <v>3095</v>
      </c>
      <c r="D74" s="214" t="s">
        <v>3096</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3065</v>
      </c>
      <c r="B75" s="211" t="s">
        <v>3097</v>
      </c>
      <c r="C75" s="212" t="s">
        <v>3098</v>
      </c>
      <c r="D75" s="214" t="s">
        <v>3099</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3065</v>
      </c>
      <c r="B76" s="211" t="s">
        <v>3100</v>
      </c>
      <c r="C76" s="212" t="s">
        <v>3101</v>
      </c>
      <c r="D76" s="214" t="s">
        <v>3102</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3065</v>
      </c>
      <c r="B77" s="211" t="s">
        <v>3103</v>
      </c>
      <c r="C77" s="212" t="s">
        <v>3104</v>
      </c>
      <c r="D77" s="214" t="s">
        <v>3105</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3065</v>
      </c>
      <c r="B78" s="211" t="s">
        <v>3106</v>
      </c>
      <c r="C78" s="212" t="s">
        <v>3107</v>
      </c>
      <c r="D78" s="214" t="s">
        <v>3108</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3065</v>
      </c>
      <c r="B79" s="211" t="s">
        <v>3109</v>
      </c>
      <c r="C79" s="212" t="s">
        <v>3110</v>
      </c>
      <c r="D79" s="214" t="s">
        <v>3111</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3065</v>
      </c>
      <c r="B80" s="211" t="s">
        <v>3112</v>
      </c>
      <c r="C80" s="212" t="s">
        <v>3113</v>
      </c>
      <c r="D80" s="214" t="s">
        <v>3114</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3065</v>
      </c>
      <c r="B81" s="211" t="s">
        <v>3115</v>
      </c>
      <c r="C81" s="212" t="s">
        <v>3116</v>
      </c>
      <c r="D81" s="214" t="s">
        <v>3117</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3065</v>
      </c>
      <c r="B82" s="211" t="s">
        <v>3118</v>
      </c>
      <c r="C82" s="212" t="s">
        <v>3119</v>
      </c>
      <c r="D82" s="214" t="s">
        <v>3120</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3065</v>
      </c>
      <c r="B83" s="211" t="s">
        <v>3121</v>
      </c>
      <c r="C83" s="212" t="s">
        <v>3122</v>
      </c>
      <c r="D83" s="214" t="s">
        <v>3123</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3065</v>
      </c>
      <c r="B84" s="211" t="s">
        <v>3124</v>
      </c>
      <c r="C84" s="212" t="s">
        <v>3125</v>
      </c>
      <c r="D84" s="214" t="s">
        <v>3126</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3065</v>
      </c>
      <c r="B85" s="211" t="s">
        <v>3127</v>
      </c>
      <c r="C85" s="212" t="s">
        <v>3128</v>
      </c>
      <c r="D85" s="214" t="s">
        <v>3129</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3065</v>
      </c>
      <c r="B86" s="211" t="s">
        <v>3130</v>
      </c>
      <c r="C86" s="212" t="s">
        <v>3131</v>
      </c>
      <c r="D86" s="214" t="s">
        <v>3132</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3065</v>
      </c>
      <c r="B87" s="211" t="s">
        <v>3133</v>
      </c>
      <c r="C87" s="212" t="s">
        <v>3134</v>
      </c>
      <c r="D87" s="214" t="s">
        <v>3135</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3065</v>
      </c>
      <c r="B88" s="211" t="s">
        <v>3136</v>
      </c>
      <c r="C88" s="212" t="s">
        <v>3137</v>
      </c>
      <c r="D88" s="214" t="s">
        <v>3138</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3065</v>
      </c>
      <c r="B89" s="211" t="s">
        <v>3139</v>
      </c>
      <c r="C89" s="212" t="s">
        <v>3140</v>
      </c>
      <c r="D89" s="214" t="s">
        <v>3141</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3065</v>
      </c>
      <c r="B90" s="211" t="s">
        <v>3142</v>
      </c>
      <c r="C90" s="212" t="s">
        <v>3143</v>
      </c>
      <c r="D90" s="214" t="s">
        <v>3144</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3065</v>
      </c>
      <c r="B91" s="211" t="s">
        <v>3145</v>
      </c>
      <c r="C91" s="212" t="s">
        <v>3146</v>
      </c>
      <c r="D91" s="214" t="s">
        <v>3147</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3065</v>
      </c>
      <c r="B92" s="211" t="s">
        <v>3148</v>
      </c>
      <c r="C92" s="212" t="s">
        <v>3149</v>
      </c>
      <c r="D92" s="214" t="s">
        <v>3150</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3065</v>
      </c>
      <c r="B93" s="211" t="s">
        <v>3151</v>
      </c>
      <c r="C93" s="212" t="s">
        <v>3152</v>
      </c>
      <c r="D93" s="214" t="s">
        <v>3153</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3065</v>
      </c>
      <c r="B94" s="211" t="s">
        <v>3154</v>
      </c>
      <c r="C94" s="212" t="s">
        <v>3155</v>
      </c>
      <c r="D94" s="214" t="s">
        <v>3156</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3065</v>
      </c>
      <c r="B95" s="211" t="s">
        <v>3157</v>
      </c>
      <c r="C95" s="212" t="s">
        <v>3158</v>
      </c>
      <c r="D95" s="214" t="s">
        <v>3159</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3065</v>
      </c>
      <c r="B96" s="211" t="s">
        <v>3160</v>
      </c>
      <c r="C96" s="212" t="s">
        <v>3161</v>
      </c>
      <c r="D96" s="214" t="s">
        <v>3162</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3065</v>
      </c>
      <c r="B97" s="211" t="s">
        <v>3163</v>
      </c>
      <c r="C97" s="212" t="s">
        <v>3164</v>
      </c>
      <c r="D97" s="214" t="s">
        <v>3165</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3065</v>
      </c>
      <c r="B98" s="218" t="s">
        <v>3166</v>
      </c>
      <c r="C98" s="219" t="s">
        <v>3167</v>
      </c>
      <c r="D98" s="220" t="s">
        <v>3168</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118</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IFERROR(INDEX('Recommendations'!$G$2:$G$21, MATCH(F2,'Recommendations'!$A$2:$A$21,0))="Implemented", FALSE))</xm:f>
            <x14:dxf>
              <font>
                <color rgb="FF000000"/>
              </font>
              <fill>
                <patternFill>
                  <bgColor rgb="FF3C7D22"/>
                </patternFill>
              </fill>
            </x14:dxf>
          </x14:cfRule>
          <x14:cfRule type="expression" priority="2" id="{00000000-000E-0000-0900-000002000000}">
            <xm:f>AND(F2&lt;&gt;"", IFERROR(INDEX('Recommendations'!$G$2:$G$21, MATCH(F2,'Recommendations'!$A$2:$A$21,0))="Compensated", FALSE))</xm:f>
            <x14:dxf>
              <font>
                <color rgb="FF000000"/>
              </font>
              <fill>
                <patternFill>
                  <bgColor rgb="FFC6E0B4"/>
                </patternFill>
              </fill>
            </x14:dxf>
          </x14:cfRule>
          <x14:cfRule type="expression" priority="3" id="{00000000-000E-0000-0900-000003000000}">
            <xm:f>AND(F2&lt;&gt;"", IFERROR(INDEX('Recommendations'!$G$2:$G$21, MATCH(F2,'Recommendations'!$A$2:$A$21,0))="Testing", FALSE))</xm:f>
            <x14:dxf>
              <font>
                <color rgb="FF000000"/>
              </font>
              <fill>
                <patternFill>
                  <bgColor rgb="FFFFC000"/>
                </patternFill>
              </fill>
            </x14:dxf>
          </x14:cfRule>
          <x14:cfRule type="expression" priority="4" id="{00000000-000E-0000-0900-000004000000}">
            <xm:f>AND(F2&lt;&gt;"", IFERROR(INDEX('Recommendations'!$G$2:$G$21, MATCH(F2,'Recommendations'!$A$2:$A$21,0))="Failed", FALSE))</xm:f>
            <x14:dxf>
              <font>
                <color rgb="FF000000"/>
              </font>
              <fill>
                <patternFill>
                  <bgColor rgb="FFD82891"/>
                </patternFill>
              </fill>
            </x14:dxf>
          </x14:cfRule>
          <x14:cfRule type="expression" priority="5" id="{00000000-000E-0000-0900-000005000000}">
            <xm:f>AND(F2&lt;&gt;"", IFERROR(INDEX('Recommendations'!$G$2:$G$21, MATCH(F2,'Recommendations'!$A$2:$A$21,0))="Risk Accepted", FALSE))</xm:f>
            <x14:dxf>
              <font>
                <color rgb="FF000000"/>
              </font>
              <fill>
                <patternFill>
                  <bgColor rgb="FFD9D9D9"/>
                </patternFill>
              </fill>
            </x14:dxf>
          </x14:cfRule>
          <x14:cfRule type="expression" priority="6" id="{00000000-000E-0000-0900-000006000000}">
            <xm:f>AND(F2&lt;&gt;"", IFERROR(INDEX('Recommendations'!$G$2:$G$21, MATCH(F2,'Recommendations'!$A$2:$A$21,0))="N/A",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3169</v>
      </c>
      <c r="C1" s="253" t="s">
        <v>3170</v>
      </c>
      <c r="D1" s="253" t="s">
        <v>3171</v>
      </c>
      <c r="E1" s="253" t="s">
        <v>3172</v>
      </c>
      <c r="F1" s="253" t="s">
        <v>1998</v>
      </c>
      <c r="G1" s="253" t="s">
        <v>3173</v>
      </c>
      <c r="H1" s="253" t="s">
        <v>3174</v>
      </c>
      <c r="I1" s="253" t="s">
        <v>3175</v>
      </c>
      <c r="J1" s="253" t="s">
        <v>10</v>
      </c>
      <c r="K1" s="253" t="s">
        <v>364</v>
      </c>
      <c r="L1" s="253" t="s">
        <v>365</v>
      </c>
      <c r="M1" s="253" t="s">
        <v>366</v>
      </c>
      <c r="N1" s="253" t="s">
        <v>367</v>
      </c>
      <c r="O1" s="253" t="s">
        <v>368</v>
      </c>
      <c r="P1" s="253" t="s">
        <v>369</v>
      </c>
      <c r="Q1" s="253" t="s">
        <v>370</v>
      </c>
      <c r="R1" s="253" t="s">
        <v>371</v>
      </c>
      <c r="S1" s="253" t="s">
        <v>372</v>
      </c>
      <c r="T1" s="253" t="s">
        <v>373</v>
      </c>
      <c r="U1" s="253" t="s">
        <v>374</v>
      </c>
      <c r="V1" s="253" t="s">
        <v>375</v>
      </c>
      <c r="W1" s="253" t="s">
        <v>376</v>
      </c>
      <c r="X1" s="253" t="s">
        <v>377</v>
      </c>
      <c r="Y1" s="253" t="s">
        <v>378</v>
      </c>
      <c r="Z1" s="253" t="s">
        <v>379</v>
      </c>
      <c r="AA1" s="253" t="s">
        <v>380</v>
      </c>
      <c r="AB1" s="253" t="s">
        <v>381</v>
      </c>
      <c r="AC1" s="253" t="s">
        <v>382</v>
      </c>
      <c r="AD1" s="253" t="s">
        <v>383</v>
      </c>
      <c r="AE1" s="253" t="s">
        <v>384</v>
      </c>
      <c r="AF1" s="253" t="s">
        <v>385</v>
      </c>
      <c r="AG1" s="253" t="s">
        <v>386</v>
      </c>
      <c r="AH1" s="253" t="s">
        <v>387</v>
      </c>
      <c r="AI1" s="253" t="s">
        <v>388</v>
      </c>
      <c r="AJ1" s="253" t="s">
        <v>389</v>
      </c>
      <c r="AK1" s="253" t="s">
        <v>390</v>
      </c>
      <c r="AL1" s="253" t="s">
        <v>391</v>
      </c>
      <c r="AM1" s="253" t="s">
        <v>392</v>
      </c>
      <c r="AN1" s="253" t="s">
        <v>393</v>
      </c>
      <c r="AO1" s="253" t="s">
        <v>394</v>
      </c>
      <c r="AP1" s="253" t="s">
        <v>395</v>
      </c>
      <c r="AQ1" s="253" t="s">
        <v>396</v>
      </c>
      <c r="AR1" s="253" t="s">
        <v>397</v>
      </c>
      <c r="AS1" s="253" t="s">
        <v>398</v>
      </c>
      <c r="AT1" s="253" t="s">
        <v>399</v>
      </c>
      <c r="AU1" s="253" t="s">
        <v>400</v>
      </c>
      <c r="AV1" s="253" t="s">
        <v>401</v>
      </c>
      <c r="AW1" s="253" t="s">
        <v>402</v>
      </c>
      <c r="AX1" s="253" t="s">
        <v>403</v>
      </c>
      <c r="AY1" s="254" t="s">
        <v>404</v>
      </c>
    </row>
    <row r="2" spans="1:51" ht="60" customHeight="1" outlineLevel="1" x14ac:dyDescent="0.35">
      <c r="A2" s="244" t="s">
        <v>3176</v>
      </c>
      <c r="B2" s="232" t="s">
        <v>3177</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407</v>
      </c>
      <c r="B3" s="233" t="s">
        <v>3178</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3179</v>
      </c>
      <c r="B4" s="234" t="s">
        <v>3180</v>
      </c>
      <c r="C4" s="234" t="s">
        <v>3181</v>
      </c>
      <c r="D4" s="234" t="s">
        <v>3182</v>
      </c>
      <c r="E4" s="234" t="s">
        <v>3183</v>
      </c>
      <c r="F4" s="234" t="s">
        <v>19</v>
      </c>
      <c r="G4" s="234" t="s">
        <v>19</v>
      </c>
      <c r="H4" s="234" t="s">
        <v>3184</v>
      </c>
      <c r="I4" s="234" t="s">
        <v>19</v>
      </c>
      <c r="J4" s="234" t="s">
        <v>3185</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3186</v>
      </c>
      <c r="B5" s="234" t="s">
        <v>3187</v>
      </c>
      <c r="C5" s="234" t="s">
        <v>3188</v>
      </c>
      <c r="D5" s="234" t="s">
        <v>3189</v>
      </c>
      <c r="E5" s="234" t="s">
        <v>3190</v>
      </c>
      <c r="F5" s="234" t="s">
        <v>3191</v>
      </c>
      <c r="G5" s="234" t="s">
        <v>19</v>
      </c>
      <c r="H5" s="234" t="s">
        <v>3192</v>
      </c>
      <c r="I5" s="234" t="s">
        <v>19</v>
      </c>
      <c r="J5" s="234" t="s">
        <v>3193</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413</v>
      </c>
      <c r="B6" s="233" t="s">
        <v>3194</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3195</v>
      </c>
      <c r="B7" s="234" t="s">
        <v>3196</v>
      </c>
      <c r="C7" s="234" t="s">
        <v>3197</v>
      </c>
      <c r="D7" s="234" t="s">
        <v>3198</v>
      </c>
      <c r="E7" s="234" t="s">
        <v>3190</v>
      </c>
      <c r="F7" s="234" t="s">
        <v>3199</v>
      </c>
      <c r="G7" s="234" t="s">
        <v>19</v>
      </c>
      <c r="H7" s="234" t="s">
        <v>3200</v>
      </c>
      <c r="I7" s="234" t="s">
        <v>19</v>
      </c>
      <c r="J7" s="234" t="s">
        <v>3201</v>
      </c>
      <c r="K7" s="237">
        <f>IF(COUNTIF(L7:AY7,"&lt;&gt;")=0,"",SUMPRODUCT(((Recommendations[ImplStatus]="Implemented")+(Recommendations[ImplStatus]="Compensated"))*ISNUMBER(MATCH(Recommendations[Id],L7:AY7,0)))/COUNTIF(L7:AY7,"&lt;&gt;"))</f>
        <v>0</v>
      </c>
      <c r="L7" s="240" t="s">
        <v>63</v>
      </c>
      <c r="M7" s="240"/>
      <c r="N7" s="240"/>
      <c r="O7" s="240"/>
      <c r="P7" s="240"/>
      <c r="Q7" s="240"/>
      <c r="R7" s="240"/>
      <c r="S7" s="240"/>
      <c r="T7" s="240"/>
      <c r="U7" s="240"/>
      <c r="V7" s="240"/>
      <c r="W7" s="240"/>
      <c r="X7" s="240"/>
      <c r="Y7" s="240"/>
      <c r="Z7" s="240"/>
      <c r="AA7" s="240"/>
      <c r="AB7" s="240"/>
      <c r="AC7" s="240"/>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3202</v>
      </c>
      <c r="B8" s="234" t="s">
        <v>3203</v>
      </c>
      <c r="C8" s="234" t="s">
        <v>3204</v>
      </c>
      <c r="D8" s="234" t="s">
        <v>3205</v>
      </c>
      <c r="E8" s="234" t="s">
        <v>19</v>
      </c>
      <c r="F8" s="234" t="s">
        <v>19</v>
      </c>
      <c r="G8" s="234" t="s">
        <v>19</v>
      </c>
      <c r="H8" s="234" t="s">
        <v>3206</v>
      </c>
      <c r="I8" s="234" t="s">
        <v>3207</v>
      </c>
      <c r="J8" s="234" t="s">
        <v>3208</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3209</v>
      </c>
      <c r="B9" s="234" t="s">
        <v>3210</v>
      </c>
      <c r="C9" s="234" t="s">
        <v>3211</v>
      </c>
      <c r="D9" s="234" t="s">
        <v>3212</v>
      </c>
      <c r="E9" s="234" t="s">
        <v>19</v>
      </c>
      <c r="F9" s="234" t="s">
        <v>19</v>
      </c>
      <c r="G9" s="234" t="s">
        <v>19</v>
      </c>
      <c r="H9" s="234" t="s">
        <v>3213</v>
      </c>
      <c r="I9" s="234" t="s">
        <v>3214</v>
      </c>
      <c r="J9" s="234" t="s">
        <v>3215</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3216</v>
      </c>
      <c r="B10" s="234" t="s">
        <v>3217</v>
      </c>
      <c r="C10" s="234" t="s">
        <v>3218</v>
      </c>
      <c r="D10" s="234" t="s">
        <v>3219</v>
      </c>
      <c r="E10" s="234" t="s">
        <v>19</v>
      </c>
      <c r="F10" s="234" t="s">
        <v>19</v>
      </c>
      <c r="G10" s="234" t="s">
        <v>19</v>
      </c>
      <c r="H10" s="234" t="s">
        <v>3220</v>
      </c>
      <c r="I10" s="234" t="s">
        <v>3221</v>
      </c>
      <c r="J10" s="234" t="s">
        <v>3222</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3223</v>
      </c>
      <c r="B11" s="234" t="s">
        <v>3224</v>
      </c>
      <c r="C11" s="234" t="s">
        <v>3225</v>
      </c>
      <c r="D11" s="234" t="s">
        <v>3226</v>
      </c>
      <c r="E11" s="234" t="s">
        <v>19</v>
      </c>
      <c r="F11" s="234" t="s">
        <v>19</v>
      </c>
      <c r="G11" s="234" t="s">
        <v>19</v>
      </c>
      <c r="H11" s="234" t="s">
        <v>3227</v>
      </c>
      <c r="I11" s="234" t="s">
        <v>19</v>
      </c>
      <c r="J11" s="234" t="s">
        <v>3228</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3229</v>
      </c>
      <c r="B12" s="234" t="s">
        <v>3230</v>
      </c>
      <c r="C12" s="234" t="s">
        <v>3231</v>
      </c>
      <c r="D12" s="234" t="s">
        <v>3232</v>
      </c>
      <c r="E12" s="234" t="s">
        <v>19</v>
      </c>
      <c r="F12" s="234" t="s">
        <v>19</v>
      </c>
      <c r="G12" s="234" t="s">
        <v>3233</v>
      </c>
      <c r="H12" s="234" t="s">
        <v>3234</v>
      </c>
      <c r="I12" s="234" t="s">
        <v>19</v>
      </c>
      <c r="J12" s="234" t="s">
        <v>3235</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3236</v>
      </c>
      <c r="B13" s="234" t="s">
        <v>3237</v>
      </c>
      <c r="C13" s="234" t="s">
        <v>3238</v>
      </c>
      <c r="D13" s="234" t="s">
        <v>3239</v>
      </c>
      <c r="E13" s="234" t="s">
        <v>19</v>
      </c>
      <c r="F13" s="234" t="s">
        <v>19</v>
      </c>
      <c r="G13" s="234" t="s">
        <v>19</v>
      </c>
      <c r="H13" s="234" t="s">
        <v>3240</v>
      </c>
      <c r="I13" s="234" t="s">
        <v>19</v>
      </c>
      <c r="J13" s="234" t="s">
        <v>3241</v>
      </c>
      <c r="K13" s="237" t="str">
        <f>IF(COUNTIF(L13:AY13,"&lt;&gt;")=0,"",SUMPRODUCT(((Recommendations[ImplStatus]="Implemented")+(Recommendations[ImplStatus]="Compensated"))*ISNUMBER(MATCH(Recommendations[Id],L13:AY13,0)))/COUNTIF(L13:AY13,"&lt;&gt;"))</f>
        <v/>
      </c>
      <c r="L13" s="240"/>
      <c r="M13" s="240"/>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3242</v>
      </c>
      <c r="B14" s="234" t="s">
        <v>3243</v>
      </c>
      <c r="C14" s="234" t="s">
        <v>3244</v>
      </c>
      <c r="D14" s="234" t="s">
        <v>3245</v>
      </c>
      <c r="E14" s="234" t="s">
        <v>19</v>
      </c>
      <c r="F14" s="234" t="s">
        <v>3246</v>
      </c>
      <c r="G14" s="234" t="s">
        <v>19</v>
      </c>
      <c r="H14" s="234" t="s">
        <v>3247</v>
      </c>
      <c r="I14" s="234" t="s">
        <v>3248</v>
      </c>
      <c r="J14" s="234" t="s">
        <v>3249</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418</v>
      </c>
      <c r="B15" s="233" t="s">
        <v>3250</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3251</v>
      </c>
      <c r="B16" s="234" t="s">
        <v>3252</v>
      </c>
      <c r="C16" s="234" t="s">
        <v>3253</v>
      </c>
      <c r="D16" s="234" t="s">
        <v>3245</v>
      </c>
      <c r="E16" s="234" t="s">
        <v>19</v>
      </c>
      <c r="F16" s="234" t="s">
        <v>3254</v>
      </c>
      <c r="G16" s="234" t="s">
        <v>19</v>
      </c>
      <c r="H16" s="234" t="s">
        <v>3255</v>
      </c>
      <c r="I16" s="234" t="s">
        <v>19</v>
      </c>
      <c r="J16" s="234" t="s">
        <v>3256</v>
      </c>
      <c r="K16" s="237">
        <f>IF(COUNTIF(L16:AY16,"&lt;&gt;")=0,"",SUMPRODUCT(((Recommendations[ImplStatus]="Implemented")+(Recommendations[ImplStatus]="Compensated"))*ISNUMBER(MATCH(Recommendations[Id],L16:AY16,0)))/COUNTIF(L16:AY16,"&lt;&gt;"))</f>
        <v>0</v>
      </c>
      <c r="L16" s="240" t="s">
        <v>63</v>
      </c>
      <c r="M16" s="240" t="s">
        <v>68</v>
      </c>
      <c r="N16" s="240"/>
      <c r="O16" s="240"/>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3257</v>
      </c>
      <c r="B17" s="234" t="s">
        <v>3258</v>
      </c>
      <c r="C17" s="234" t="s">
        <v>3259</v>
      </c>
      <c r="D17" s="234" t="s">
        <v>3260</v>
      </c>
      <c r="E17" s="234" t="s">
        <v>19</v>
      </c>
      <c r="F17" s="234" t="s">
        <v>3254</v>
      </c>
      <c r="G17" s="234" t="s">
        <v>19</v>
      </c>
      <c r="H17" s="234" t="s">
        <v>3261</v>
      </c>
      <c r="I17" s="234" t="s">
        <v>19</v>
      </c>
      <c r="J17" s="234" t="s">
        <v>3262</v>
      </c>
      <c r="K17" s="237">
        <f>IF(COUNTIF(L17:AY17,"&lt;&gt;")=0,"",SUMPRODUCT(((Recommendations[ImplStatus]="Implemented")+(Recommendations[ImplStatus]="Compensated"))*ISNUMBER(MATCH(Recommendations[Id],L17:AY17,0)))/COUNTIF(L17:AY17,"&lt;&gt;"))</f>
        <v>0</v>
      </c>
      <c r="L17" s="240" t="s">
        <v>68</v>
      </c>
      <c r="M17" s="240" t="s">
        <v>73</v>
      </c>
      <c r="N17" s="240"/>
      <c r="O17" s="240"/>
      <c r="P17" s="240"/>
      <c r="Q17" s="240"/>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3263</v>
      </c>
      <c r="B18" s="234" t="s">
        <v>3264</v>
      </c>
      <c r="C18" s="234" t="s">
        <v>3265</v>
      </c>
      <c r="D18" s="234" t="s">
        <v>19</v>
      </c>
      <c r="E18" s="234" t="s">
        <v>19</v>
      </c>
      <c r="F18" s="234" t="s">
        <v>19</v>
      </c>
      <c r="G18" s="234" t="s">
        <v>19</v>
      </c>
      <c r="H18" s="234" t="s">
        <v>3266</v>
      </c>
      <c r="I18" s="234" t="s">
        <v>19</v>
      </c>
      <c r="J18" s="234" t="s">
        <v>3267</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423</v>
      </c>
      <c r="B19" s="233" t="s">
        <v>3268</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3269</v>
      </c>
      <c r="B20" s="234" t="s">
        <v>3270</v>
      </c>
      <c r="C20" s="234" t="s">
        <v>3271</v>
      </c>
      <c r="D20" s="234" t="s">
        <v>3272</v>
      </c>
      <c r="E20" s="234" t="s">
        <v>19</v>
      </c>
      <c r="F20" s="234" t="s">
        <v>3273</v>
      </c>
      <c r="G20" s="234" t="s">
        <v>19</v>
      </c>
      <c r="H20" s="234" t="s">
        <v>3274</v>
      </c>
      <c r="I20" s="234" t="s">
        <v>19</v>
      </c>
      <c r="J20" s="234" t="s">
        <v>3275</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3276</v>
      </c>
      <c r="B21" s="234" t="s">
        <v>3277</v>
      </c>
      <c r="C21" s="234" t="s">
        <v>3278</v>
      </c>
      <c r="D21" s="234" t="s">
        <v>3279</v>
      </c>
      <c r="E21" s="234" t="s">
        <v>3280</v>
      </c>
      <c r="F21" s="234" t="s">
        <v>19</v>
      </c>
      <c r="G21" s="234" t="s">
        <v>19</v>
      </c>
      <c r="H21" s="234" t="s">
        <v>3281</v>
      </c>
      <c r="I21" s="234" t="s">
        <v>3282</v>
      </c>
      <c r="J21" s="234" t="s">
        <v>3283</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3284</v>
      </c>
      <c r="B22" s="234" t="s">
        <v>3285</v>
      </c>
      <c r="C22" s="234" t="s">
        <v>3286</v>
      </c>
      <c r="D22" s="234" t="s">
        <v>3287</v>
      </c>
      <c r="E22" s="234" t="s">
        <v>19</v>
      </c>
      <c r="F22" s="234" t="s">
        <v>3288</v>
      </c>
      <c r="G22" s="234" t="s">
        <v>19</v>
      </c>
      <c r="H22" s="234" t="s">
        <v>3289</v>
      </c>
      <c r="I22" s="234" t="s">
        <v>19</v>
      </c>
      <c r="J22" s="234" t="s">
        <v>3290</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3291</v>
      </c>
      <c r="B23" s="234" t="s">
        <v>3292</v>
      </c>
      <c r="C23" s="234" t="s">
        <v>3293</v>
      </c>
      <c r="D23" s="234" t="s">
        <v>3294</v>
      </c>
      <c r="E23" s="234" t="s">
        <v>19</v>
      </c>
      <c r="F23" s="234" t="s">
        <v>19</v>
      </c>
      <c r="G23" s="234" t="s">
        <v>19</v>
      </c>
      <c r="H23" s="234" t="s">
        <v>3295</v>
      </c>
      <c r="I23" s="234" t="s">
        <v>3296</v>
      </c>
      <c r="J23" s="234" t="s">
        <v>3297</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3298</v>
      </c>
      <c r="B24" s="234" t="s">
        <v>3299</v>
      </c>
      <c r="C24" s="234" t="s">
        <v>3300</v>
      </c>
      <c r="D24" s="234" t="s">
        <v>3294</v>
      </c>
      <c r="E24" s="234" t="s">
        <v>19</v>
      </c>
      <c r="F24" s="234" t="s">
        <v>3301</v>
      </c>
      <c r="G24" s="234" t="s">
        <v>19</v>
      </c>
      <c r="H24" s="234" t="s">
        <v>3302</v>
      </c>
      <c r="I24" s="234" t="s">
        <v>19</v>
      </c>
      <c r="J24" s="234" t="s">
        <v>3303</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427</v>
      </c>
      <c r="B25" s="233" t="s">
        <v>3304</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3305</v>
      </c>
      <c r="B26" s="234" t="s">
        <v>3306</v>
      </c>
      <c r="C26" s="234" t="s">
        <v>3307</v>
      </c>
      <c r="D26" s="234" t="s">
        <v>3308</v>
      </c>
      <c r="E26" s="234" t="s">
        <v>19</v>
      </c>
      <c r="F26" s="234" t="s">
        <v>3309</v>
      </c>
      <c r="G26" s="234" t="s">
        <v>19</v>
      </c>
      <c r="H26" s="234" t="s">
        <v>3310</v>
      </c>
      <c r="I26" s="234" t="s">
        <v>19</v>
      </c>
      <c r="J26" s="234" t="s">
        <v>3311</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3312</v>
      </c>
      <c r="B27" s="232" t="s">
        <v>3313</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433</v>
      </c>
      <c r="B28" s="233" t="s">
        <v>3314</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3315</v>
      </c>
      <c r="B29" s="234" t="s">
        <v>3316</v>
      </c>
      <c r="C29" s="234" t="s">
        <v>3317</v>
      </c>
      <c r="D29" s="234" t="s">
        <v>3318</v>
      </c>
      <c r="E29" s="234" t="s">
        <v>3319</v>
      </c>
      <c r="F29" s="234" t="s">
        <v>19</v>
      </c>
      <c r="G29" s="234" t="s">
        <v>19</v>
      </c>
      <c r="H29" s="234" t="s">
        <v>3320</v>
      </c>
      <c r="I29" s="234" t="s">
        <v>19</v>
      </c>
      <c r="J29" s="234" t="s">
        <v>3321</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3322</v>
      </c>
      <c r="B30" s="234" t="s">
        <v>3323</v>
      </c>
      <c r="C30" s="234" t="s">
        <v>3188</v>
      </c>
      <c r="D30" s="234" t="s">
        <v>3189</v>
      </c>
      <c r="E30" s="234" t="s">
        <v>19</v>
      </c>
      <c r="F30" s="234" t="s">
        <v>3191</v>
      </c>
      <c r="G30" s="234" t="s">
        <v>19</v>
      </c>
      <c r="H30" s="234" t="s">
        <v>3324</v>
      </c>
      <c r="I30" s="234" t="s">
        <v>19</v>
      </c>
      <c r="J30" s="234" t="s">
        <v>3325</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438</v>
      </c>
      <c r="B31" s="233" t="s">
        <v>3326</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3327</v>
      </c>
      <c r="B32" s="234" t="s">
        <v>3328</v>
      </c>
      <c r="C32" s="234" t="s">
        <v>3329</v>
      </c>
      <c r="D32" s="234" t="s">
        <v>3330</v>
      </c>
      <c r="E32" s="234" t="s">
        <v>19</v>
      </c>
      <c r="F32" s="234" t="s">
        <v>19</v>
      </c>
      <c r="G32" s="234" t="s">
        <v>3331</v>
      </c>
      <c r="H32" s="234" t="s">
        <v>3332</v>
      </c>
      <c r="I32" s="234" t="s">
        <v>19</v>
      </c>
      <c r="J32" s="234" t="s">
        <v>3333</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3334</v>
      </c>
      <c r="B33" s="234" t="s">
        <v>3335</v>
      </c>
      <c r="C33" s="234" t="s">
        <v>3336</v>
      </c>
      <c r="D33" s="234" t="s">
        <v>3337</v>
      </c>
      <c r="E33" s="234" t="s">
        <v>19</v>
      </c>
      <c r="F33" s="234" t="s">
        <v>3338</v>
      </c>
      <c r="G33" s="234" t="s">
        <v>19</v>
      </c>
      <c r="H33" s="234" t="s">
        <v>3339</v>
      </c>
      <c r="I33" s="234" t="s">
        <v>3340</v>
      </c>
      <c r="J33" s="234" t="s">
        <v>3341</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3342</v>
      </c>
      <c r="B34" s="234" t="s">
        <v>3343</v>
      </c>
      <c r="C34" s="234" t="s">
        <v>3344</v>
      </c>
      <c r="D34" s="234" t="s">
        <v>3345</v>
      </c>
      <c r="E34" s="234" t="s">
        <v>19</v>
      </c>
      <c r="F34" s="234" t="s">
        <v>19</v>
      </c>
      <c r="G34" s="234" t="s">
        <v>19</v>
      </c>
      <c r="H34" s="234" t="s">
        <v>3346</v>
      </c>
      <c r="I34" s="234" t="s">
        <v>19</v>
      </c>
      <c r="J34" s="234" t="s">
        <v>3347</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3348</v>
      </c>
      <c r="B35" s="234" t="s">
        <v>3349</v>
      </c>
      <c r="C35" s="234" t="s">
        <v>3350</v>
      </c>
      <c r="D35" s="234" t="s">
        <v>3351</v>
      </c>
      <c r="E35" s="234" t="s">
        <v>19</v>
      </c>
      <c r="F35" s="234" t="s">
        <v>3352</v>
      </c>
      <c r="G35" s="234" t="s">
        <v>19</v>
      </c>
      <c r="H35" s="234" t="s">
        <v>3353</v>
      </c>
      <c r="I35" s="234" t="s">
        <v>19</v>
      </c>
      <c r="J35" s="234" t="s">
        <v>3354</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3355</v>
      </c>
      <c r="B36" s="234" t="s">
        <v>3356</v>
      </c>
      <c r="C36" s="234" t="s">
        <v>3357</v>
      </c>
      <c r="D36" s="234" t="s">
        <v>3358</v>
      </c>
      <c r="E36" s="234" t="s">
        <v>19</v>
      </c>
      <c r="F36" s="234" t="s">
        <v>19</v>
      </c>
      <c r="G36" s="234" t="s">
        <v>3359</v>
      </c>
      <c r="H36" s="234" t="s">
        <v>3360</v>
      </c>
      <c r="I36" s="234" t="s">
        <v>19</v>
      </c>
      <c r="J36" s="234" t="s">
        <v>3361</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3362</v>
      </c>
      <c r="B37" s="234" t="s">
        <v>3363</v>
      </c>
      <c r="C37" s="234" t="s">
        <v>3364</v>
      </c>
      <c r="D37" s="234" t="s">
        <v>3365</v>
      </c>
      <c r="E37" s="234" t="s">
        <v>19</v>
      </c>
      <c r="F37" s="234" t="s">
        <v>3366</v>
      </c>
      <c r="G37" s="234" t="s">
        <v>3367</v>
      </c>
      <c r="H37" s="234" t="s">
        <v>3368</v>
      </c>
      <c r="I37" s="234" t="s">
        <v>19</v>
      </c>
      <c r="J37" s="234" t="s">
        <v>3369</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3370</v>
      </c>
      <c r="B38" s="234" t="s">
        <v>3371</v>
      </c>
      <c r="C38" s="234" t="s">
        <v>3372</v>
      </c>
      <c r="D38" s="234" t="s">
        <v>3373</v>
      </c>
      <c r="E38" s="234" t="s">
        <v>19</v>
      </c>
      <c r="F38" s="234" t="s">
        <v>3366</v>
      </c>
      <c r="G38" s="234" t="s">
        <v>3374</v>
      </c>
      <c r="H38" s="234" t="s">
        <v>3375</v>
      </c>
      <c r="I38" s="234" t="s">
        <v>3376</v>
      </c>
      <c r="J38" s="234" t="s">
        <v>3377</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442</v>
      </c>
      <c r="B39" s="233" t="s">
        <v>3378</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3379</v>
      </c>
      <c r="B40" s="234" t="s">
        <v>3380</v>
      </c>
      <c r="C40" s="234" t="s">
        <v>3381</v>
      </c>
      <c r="D40" s="234" t="s">
        <v>3382</v>
      </c>
      <c r="E40" s="234" t="s">
        <v>19</v>
      </c>
      <c r="F40" s="234" t="s">
        <v>19</v>
      </c>
      <c r="G40" s="234" t="s">
        <v>19</v>
      </c>
      <c r="H40" s="234" t="s">
        <v>3383</v>
      </c>
      <c r="I40" s="234" t="s">
        <v>3384</v>
      </c>
      <c r="J40" s="234" t="s">
        <v>3385</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3386</v>
      </c>
      <c r="B41" s="234" t="s">
        <v>3387</v>
      </c>
      <c r="C41" s="234" t="s">
        <v>3388</v>
      </c>
      <c r="D41" s="234" t="s">
        <v>19</v>
      </c>
      <c r="E41" s="234" t="s">
        <v>19</v>
      </c>
      <c r="F41" s="234" t="s">
        <v>19</v>
      </c>
      <c r="G41" s="234" t="s">
        <v>19</v>
      </c>
      <c r="H41" s="234" t="s">
        <v>3389</v>
      </c>
      <c r="I41" s="234" t="s">
        <v>19</v>
      </c>
      <c r="J41" s="234" t="s">
        <v>3390</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3391</v>
      </c>
      <c r="B42" s="232" t="s">
        <v>3392</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465</v>
      </c>
      <c r="B43" s="233" t="s">
        <v>3393</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3394</v>
      </c>
      <c r="B44" s="234" t="s">
        <v>3395</v>
      </c>
      <c r="C44" s="234" t="s">
        <v>3396</v>
      </c>
      <c r="D44" s="234" t="s">
        <v>3397</v>
      </c>
      <c r="E44" s="234" t="s">
        <v>3183</v>
      </c>
      <c r="F44" s="234" t="s">
        <v>19</v>
      </c>
      <c r="G44" s="234" t="s">
        <v>19</v>
      </c>
      <c r="H44" s="234" t="s">
        <v>3398</v>
      </c>
      <c r="I44" s="234" t="s">
        <v>19</v>
      </c>
      <c r="J44" s="234" t="s">
        <v>3399</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3400</v>
      </c>
      <c r="B45" s="234" t="s">
        <v>3401</v>
      </c>
      <c r="C45" s="234" t="s">
        <v>3402</v>
      </c>
      <c r="D45" s="234" t="s">
        <v>3189</v>
      </c>
      <c r="E45" s="234" t="s">
        <v>19</v>
      </c>
      <c r="F45" s="234" t="s">
        <v>3191</v>
      </c>
      <c r="G45" s="234" t="s">
        <v>19</v>
      </c>
      <c r="H45" s="234" t="s">
        <v>3403</v>
      </c>
      <c r="I45" s="234" t="s">
        <v>19</v>
      </c>
      <c r="J45" s="234" t="s">
        <v>3404</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471</v>
      </c>
      <c r="B46" s="233" t="s">
        <v>3405</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3406</v>
      </c>
      <c r="B47" s="234" t="s">
        <v>3407</v>
      </c>
      <c r="C47" s="234" t="s">
        <v>3408</v>
      </c>
      <c r="D47" s="234" t="s">
        <v>3409</v>
      </c>
      <c r="E47" s="234" t="s">
        <v>19</v>
      </c>
      <c r="F47" s="234" t="s">
        <v>3410</v>
      </c>
      <c r="G47" s="234" t="s">
        <v>3411</v>
      </c>
      <c r="H47" s="234" t="s">
        <v>3412</v>
      </c>
      <c r="I47" s="234" t="s">
        <v>3413</v>
      </c>
      <c r="J47" s="234" t="s">
        <v>3414</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475</v>
      </c>
      <c r="B48" s="233" t="s">
        <v>3415</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3416</v>
      </c>
      <c r="B49" s="234" t="s">
        <v>3417</v>
      </c>
      <c r="C49" s="234" t="s">
        <v>3418</v>
      </c>
      <c r="D49" s="234" t="s">
        <v>3419</v>
      </c>
      <c r="E49" s="234" t="s">
        <v>3420</v>
      </c>
      <c r="F49" s="234" t="s">
        <v>19</v>
      </c>
      <c r="G49" s="234" t="s">
        <v>19</v>
      </c>
      <c r="H49" s="234" t="s">
        <v>3421</v>
      </c>
      <c r="I49" s="234" t="s">
        <v>3422</v>
      </c>
      <c r="J49" s="234" t="s">
        <v>3423</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3424</v>
      </c>
      <c r="B50" s="234" t="s">
        <v>3425</v>
      </c>
      <c r="C50" s="234" t="s">
        <v>3426</v>
      </c>
      <c r="D50" s="234" t="s">
        <v>19</v>
      </c>
      <c r="E50" s="234" t="s">
        <v>3427</v>
      </c>
      <c r="F50" s="234" t="s">
        <v>3428</v>
      </c>
      <c r="G50" s="234" t="s">
        <v>19</v>
      </c>
      <c r="H50" s="234" t="s">
        <v>3421</v>
      </c>
      <c r="I50" s="234" t="s">
        <v>3429</v>
      </c>
      <c r="J50" s="234" t="s">
        <v>3430</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3431</v>
      </c>
      <c r="B51" s="234" t="s">
        <v>3432</v>
      </c>
      <c r="C51" s="234" t="s">
        <v>3433</v>
      </c>
      <c r="D51" s="234" t="s">
        <v>19</v>
      </c>
      <c r="E51" s="234" t="s">
        <v>19</v>
      </c>
      <c r="F51" s="234" t="s">
        <v>3434</v>
      </c>
      <c r="G51" s="234" t="s">
        <v>19</v>
      </c>
      <c r="H51" s="234" t="s">
        <v>3421</v>
      </c>
      <c r="I51" s="234" t="s">
        <v>3435</v>
      </c>
      <c r="J51" s="234" t="s">
        <v>3436</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3437</v>
      </c>
      <c r="B52" s="234" t="s">
        <v>3438</v>
      </c>
      <c r="C52" s="234" t="s">
        <v>3439</v>
      </c>
      <c r="D52" s="234" t="s">
        <v>19</v>
      </c>
      <c r="E52" s="234" t="s">
        <v>19</v>
      </c>
      <c r="F52" s="234" t="s">
        <v>3440</v>
      </c>
      <c r="G52" s="234" t="s">
        <v>19</v>
      </c>
      <c r="H52" s="234" t="s">
        <v>3421</v>
      </c>
      <c r="I52" s="234" t="s">
        <v>3441</v>
      </c>
      <c r="J52" s="234" t="s">
        <v>3442</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3443</v>
      </c>
      <c r="B53" s="234" t="s">
        <v>3444</v>
      </c>
      <c r="C53" s="234" t="s">
        <v>3445</v>
      </c>
      <c r="D53" s="234" t="s">
        <v>3446</v>
      </c>
      <c r="E53" s="234" t="s">
        <v>3447</v>
      </c>
      <c r="F53" s="234" t="s">
        <v>19</v>
      </c>
      <c r="G53" s="234" t="s">
        <v>19</v>
      </c>
      <c r="H53" s="234" t="s">
        <v>3448</v>
      </c>
      <c r="I53" s="234" t="s">
        <v>19</v>
      </c>
      <c r="J53" s="234" t="s">
        <v>3449</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3450</v>
      </c>
      <c r="B54" s="234" t="s">
        <v>3451</v>
      </c>
      <c r="C54" s="234" t="s">
        <v>3445</v>
      </c>
      <c r="D54" s="234" t="s">
        <v>3446</v>
      </c>
      <c r="E54" s="234" t="s">
        <v>19</v>
      </c>
      <c r="F54" s="234" t="s">
        <v>19</v>
      </c>
      <c r="G54" s="234" t="s">
        <v>19</v>
      </c>
      <c r="H54" s="234" t="s">
        <v>3452</v>
      </c>
      <c r="I54" s="234" t="s">
        <v>3453</v>
      </c>
      <c r="J54" s="234" t="s">
        <v>3454</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479</v>
      </c>
      <c r="B55" s="233" t="s">
        <v>3455</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3456</v>
      </c>
      <c r="B56" s="234" t="s">
        <v>3457</v>
      </c>
      <c r="C56" s="234" t="s">
        <v>3458</v>
      </c>
      <c r="D56" s="234" t="s">
        <v>3459</v>
      </c>
      <c r="E56" s="234" t="s">
        <v>3460</v>
      </c>
      <c r="F56" s="234" t="s">
        <v>19</v>
      </c>
      <c r="G56" s="234" t="s">
        <v>3461</v>
      </c>
      <c r="H56" s="234" t="s">
        <v>19</v>
      </c>
      <c r="I56" s="234" t="s">
        <v>19</v>
      </c>
      <c r="J56" s="234" t="s">
        <v>3462</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3463</v>
      </c>
      <c r="B57" s="234" t="s">
        <v>3464</v>
      </c>
      <c r="C57" s="234" t="s">
        <v>3465</v>
      </c>
      <c r="D57" s="234" t="s">
        <v>3466</v>
      </c>
      <c r="E57" s="234" t="s">
        <v>3467</v>
      </c>
      <c r="F57" s="234" t="s">
        <v>19</v>
      </c>
      <c r="G57" s="234" t="s">
        <v>3468</v>
      </c>
      <c r="H57" s="234" t="s">
        <v>3469</v>
      </c>
      <c r="I57" s="234" t="s">
        <v>19</v>
      </c>
      <c r="J57" s="234" t="s">
        <v>3470</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483</v>
      </c>
      <c r="B58" s="233" t="s">
        <v>3471</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3472</v>
      </c>
      <c r="B59" s="234" t="s">
        <v>3473</v>
      </c>
      <c r="C59" s="234" t="s">
        <v>3474</v>
      </c>
      <c r="D59" s="234" t="s">
        <v>3475</v>
      </c>
      <c r="E59" s="234" t="s">
        <v>19</v>
      </c>
      <c r="F59" s="234" t="s">
        <v>19</v>
      </c>
      <c r="G59" s="234" t="s">
        <v>3476</v>
      </c>
      <c r="H59" s="234" t="s">
        <v>3477</v>
      </c>
      <c r="I59" s="234" t="s">
        <v>3478</v>
      </c>
      <c r="J59" s="234" t="s">
        <v>3479</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3480</v>
      </c>
      <c r="B60" s="234" t="s">
        <v>3481</v>
      </c>
      <c r="C60" s="234" t="s">
        <v>3482</v>
      </c>
      <c r="D60" s="234" t="s">
        <v>19</v>
      </c>
      <c r="E60" s="234" t="s">
        <v>3483</v>
      </c>
      <c r="F60" s="234" t="s">
        <v>3484</v>
      </c>
      <c r="G60" s="234" t="s">
        <v>19</v>
      </c>
      <c r="H60" s="234" t="s">
        <v>3485</v>
      </c>
      <c r="I60" s="234" t="s">
        <v>3486</v>
      </c>
      <c r="J60" s="234" t="s">
        <v>3487</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3488</v>
      </c>
      <c r="B61" s="234" t="s">
        <v>3489</v>
      </c>
      <c r="C61" s="234" t="s">
        <v>3490</v>
      </c>
      <c r="D61" s="234" t="s">
        <v>19</v>
      </c>
      <c r="E61" s="234" t="s">
        <v>19</v>
      </c>
      <c r="F61" s="234" t="s">
        <v>19</v>
      </c>
      <c r="G61" s="234" t="s">
        <v>3491</v>
      </c>
      <c r="H61" s="234" t="s">
        <v>3492</v>
      </c>
      <c r="I61" s="234" t="s">
        <v>3493</v>
      </c>
      <c r="J61" s="234" t="s">
        <v>3494</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3495</v>
      </c>
      <c r="B62" s="234" t="s">
        <v>3496</v>
      </c>
      <c r="C62" s="234" t="s">
        <v>3497</v>
      </c>
      <c r="D62" s="234" t="s">
        <v>3498</v>
      </c>
      <c r="E62" s="234" t="s">
        <v>19</v>
      </c>
      <c r="F62" s="234" t="s">
        <v>19</v>
      </c>
      <c r="G62" s="234" t="s">
        <v>19</v>
      </c>
      <c r="H62" s="234" t="s">
        <v>3499</v>
      </c>
      <c r="I62" s="234" t="s">
        <v>3500</v>
      </c>
      <c r="J62" s="234" t="s">
        <v>3501</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487</v>
      </c>
      <c r="B63" s="233" t="s">
        <v>3502</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3503</v>
      </c>
      <c r="B64" s="234" t="s">
        <v>3504</v>
      </c>
      <c r="C64" s="234" t="s">
        <v>3505</v>
      </c>
      <c r="D64" s="234" t="s">
        <v>3506</v>
      </c>
      <c r="E64" s="234" t="s">
        <v>19</v>
      </c>
      <c r="F64" s="234" t="s">
        <v>19</v>
      </c>
      <c r="G64" s="234" t="s">
        <v>3507</v>
      </c>
      <c r="H64" s="234" t="s">
        <v>3508</v>
      </c>
      <c r="I64" s="234" t="s">
        <v>3509</v>
      </c>
      <c r="J64" s="234" t="s">
        <v>3510</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3511</v>
      </c>
      <c r="B65" s="234" t="s">
        <v>3512</v>
      </c>
      <c r="C65" s="234" t="s">
        <v>3513</v>
      </c>
      <c r="D65" s="234" t="s">
        <v>3514</v>
      </c>
      <c r="E65" s="234" t="s">
        <v>19</v>
      </c>
      <c r="F65" s="234" t="s">
        <v>19</v>
      </c>
      <c r="G65" s="234" t="s">
        <v>19</v>
      </c>
      <c r="H65" s="234" t="s">
        <v>3515</v>
      </c>
      <c r="I65" s="234" t="s">
        <v>3516</v>
      </c>
      <c r="J65" s="234" t="s">
        <v>3517</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3518</v>
      </c>
      <c r="B66" s="234" t="s">
        <v>3519</v>
      </c>
      <c r="C66" s="234" t="s">
        <v>3520</v>
      </c>
      <c r="D66" s="234" t="s">
        <v>3521</v>
      </c>
      <c r="E66" s="234" t="s">
        <v>19</v>
      </c>
      <c r="F66" s="234" t="s">
        <v>19</v>
      </c>
      <c r="G66" s="234" t="s">
        <v>19</v>
      </c>
      <c r="H66" s="234" t="s">
        <v>3522</v>
      </c>
      <c r="I66" s="234" t="s">
        <v>3523</v>
      </c>
      <c r="J66" s="234" t="s">
        <v>3524</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3525</v>
      </c>
      <c r="B67" s="234" t="s">
        <v>3526</v>
      </c>
      <c r="C67" s="234" t="s">
        <v>3527</v>
      </c>
      <c r="D67" s="234" t="s">
        <v>3528</v>
      </c>
      <c r="E67" s="234" t="s">
        <v>19</v>
      </c>
      <c r="F67" s="234" t="s">
        <v>19</v>
      </c>
      <c r="G67" s="234" t="s">
        <v>19</v>
      </c>
      <c r="H67" s="234" t="s">
        <v>3529</v>
      </c>
      <c r="I67" s="234" t="s">
        <v>19</v>
      </c>
      <c r="J67" s="234" t="s">
        <v>3530</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3531</v>
      </c>
      <c r="B68" s="234" t="s">
        <v>3532</v>
      </c>
      <c r="C68" s="234" t="s">
        <v>3533</v>
      </c>
      <c r="D68" s="234" t="s">
        <v>19</v>
      </c>
      <c r="E68" s="234" t="s">
        <v>19</v>
      </c>
      <c r="F68" s="234" t="s">
        <v>19</v>
      </c>
      <c r="G68" s="234" t="s">
        <v>19</v>
      </c>
      <c r="H68" s="234" t="s">
        <v>3534</v>
      </c>
      <c r="I68" s="234" t="s">
        <v>19</v>
      </c>
      <c r="J68" s="234" t="s">
        <v>3535</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491</v>
      </c>
      <c r="B69" s="233" t="s">
        <v>3536</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3537</v>
      </c>
      <c r="B70" s="234" t="s">
        <v>3538</v>
      </c>
      <c r="C70" s="234" t="s">
        <v>3539</v>
      </c>
      <c r="D70" s="234" t="s">
        <v>19</v>
      </c>
      <c r="E70" s="234" t="s">
        <v>19</v>
      </c>
      <c r="F70" s="234" t="s">
        <v>19</v>
      </c>
      <c r="G70" s="234" t="s">
        <v>3540</v>
      </c>
      <c r="H70" s="234" t="s">
        <v>3541</v>
      </c>
      <c r="I70" s="234" t="s">
        <v>19</v>
      </c>
      <c r="J70" s="234" t="s">
        <v>3542</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3543</v>
      </c>
      <c r="B71" s="234" t="s">
        <v>3544</v>
      </c>
      <c r="C71" s="234" t="s">
        <v>3545</v>
      </c>
      <c r="D71" s="234" t="s">
        <v>19</v>
      </c>
      <c r="E71" s="234" t="s">
        <v>19</v>
      </c>
      <c r="F71" s="234" t="s">
        <v>19</v>
      </c>
      <c r="G71" s="234" t="s">
        <v>19</v>
      </c>
      <c r="H71" s="234" t="s">
        <v>3546</v>
      </c>
      <c r="I71" s="234" t="s">
        <v>19</v>
      </c>
      <c r="J71" s="234" t="s">
        <v>3547</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3548</v>
      </c>
      <c r="B72" s="234" t="s">
        <v>3549</v>
      </c>
      <c r="C72" s="234" t="s">
        <v>3550</v>
      </c>
      <c r="D72" s="234" t="s">
        <v>3551</v>
      </c>
      <c r="E72" s="234" t="s">
        <v>3552</v>
      </c>
      <c r="F72" s="234" t="s">
        <v>19</v>
      </c>
      <c r="G72" s="234" t="s">
        <v>19</v>
      </c>
      <c r="H72" s="234" t="s">
        <v>3553</v>
      </c>
      <c r="I72" s="234" t="s">
        <v>19</v>
      </c>
      <c r="J72" s="234" t="s">
        <v>3554</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3555</v>
      </c>
      <c r="B73" s="234" t="s">
        <v>3556</v>
      </c>
      <c r="C73" s="234" t="s">
        <v>3557</v>
      </c>
      <c r="D73" s="234" t="s">
        <v>3558</v>
      </c>
      <c r="E73" s="234" t="s">
        <v>3552</v>
      </c>
      <c r="F73" s="234" t="s">
        <v>19</v>
      </c>
      <c r="G73" s="234" t="s">
        <v>3559</v>
      </c>
      <c r="H73" s="234" t="s">
        <v>3560</v>
      </c>
      <c r="I73" s="234" t="s">
        <v>19</v>
      </c>
      <c r="J73" s="234" t="s">
        <v>3561</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3562</v>
      </c>
      <c r="B74" s="234" t="s">
        <v>3563</v>
      </c>
      <c r="C74" s="234" t="s">
        <v>3564</v>
      </c>
      <c r="D74" s="234" t="s">
        <v>3558</v>
      </c>
      <c r="E74" s="234" t="s">
        <v>3565</v>
      </c>
      <c r="F74" s="234" t="s">
        <v>19</v>
      </c>
      <c r="G74" s="234" t="s">
        <v>3566</v>
      </c>
      <c r="H74" s="234" t="s">
        <v>3567</v>
      </c>
      <c r="I74" s="234" t="s">
        <v>3568</v>
      </c>
      <c r="J74" s="234" t="s">
        <v>3569</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3570</v>
      </c>
      <c r="B75" s="234" t="s">
        <v>3571</v>
      </c>
      <c r="C75" s="234" t="s">
        <v>3572</v>
      </c>
      <c r="D75" s="234" t="s">
        <v>3573</v>
      </c>
      <c r="E75" s="234" t="s">
        <v>3565</v>
      </c>
      <c r="F75" s="234" t="s">
        <v>3574</v>
      </c>
      <c r="G75" s="234" t="s">
        <v>3575</v>
      </c>
      <c r="H75" s="234" t="s">
        <v>3576</v>
      </c>
      <c r="I75" s="234" t="s">
        <v>3577</v>
      </c>
      <c r="J75" s="234" t="s">
        <v>3578</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3579</v>
      </c>
      <c r="B76" s="234" t="s">
        <v>3580</v>
      </c>
      <c r="C76" s="234" t="s">
        <v>3581</v>
      </c>
      <c r="D76" s="234" t="s">
        <v>3582</v>
      </c>
      <c r="E76" s="234" t="s">
        <v>19</v>
      </c>
      <c r="F76" s="234" t="s">
        <v>19</v>
      </c>
      <c r="G76" s="234" t="s">
        <v>19</v>
      </c>
      <c r="H76" s="234" t="s">
        <v>3583</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3584</v>
      </c>
      <c r="B77" s="234" t="s">
        <v>3585</v>
      </c>
      <c r="C77" s="234" t="s">
        <v>3586</v>
      </c>
      <c r="D77" s="234" t="s">
        <v>19</v>
      </c>
      <c r="E77" s="234" t="s">
        <v>19</v>
      </c>
      <c r="F77" s="234" t="s">
        <v>19</v>
      </c>
      <c r="G77" s="234" t="s">
        <v>3587</v>
      </c>
      <c r="H77" s="234" t="s">
        <v>3588</v>
      </c>
      <c r="I77" s="234" t="s">
        <v>19</v>
      </c>
      <c r="J77" s="234" t="s">
        <v>3589</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3590</v>
      </c>
      <c r="B78" s="234" t="s">
        <v>3591</v>
      </c>
      <c r="C78" s="234" t="s">
        <v>3592</v>
      </c>
      <c r="D78" s="234" t="s">
        <v>19</v>
      </c>
      <c r="E78" s="234" t="s">
        <v>19</v>
      </c>
      <c r="F78" s="234" t="s">
        <v>19</v>
      </c>
      <c r="G78" s="234" t="s">
        <v>3593</v>
      </c>
      <c r="H78" s="234" t="s">
        <v>3594</v>
      </c>
      <c r="I78" s="234" t="s">
        <v>3595</v>
      </c>
      <c r="J78" s="234" t="s">
        <v>3596</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3597</v>
      </c>
      <c r="B79" s="232" t="s">
        <v>3598</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525</v>
      </c>
      <c r="B80" s="233" t="s">
        <v>3599</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3600</v>
      </c>
      <c r="B81" s="234" t="s">
        <v>3601</v>
      </c>
      <c r="C81" s="234" t="s">
        <v>3602</v>
      </c>
      <c r="D81" s="234" t="s">
        <v>3397</v>
      </c>
      <c r="E81" s="234" t="s">
        <v>3603</v>
      </c>
      <c r="F81" s="234" t="s">
        <v>19</v>
      </c>
      <c r="G81" s="234" t="s">
        <v>19</v>
      </c>
      <c r="H81" s="234" t="s">
        <v>3604</v>
      </c>
      <c r="I81" s="234" t="s">
        <v>19</v>
      </c>
      <c r="J81" s="234" t="s">
        <v>3605</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3606</v>
      </c>
      <c r="B82" s="234" t="s">
        <v>3607</v>
      </c>
      <c r="C82" s="234" t="s">
        <v>3188</v>
      </c>
      <c r="D82" s="234" t="s">
        <v>3189</v>
      </c>
      <c r="E82" s="234" t="s">
        <v>19</v>
      </c>
      <c r="F82" s="234" t="s">
        <v>3191</v>
      </c>
      <c r="G82" s="234" t="s">
        <v>19</v>
      </c>
      <c r="H82" s="234" t="s">
        <v>3608</v>
      </c>
      <c r="I82" s="234" t="s">
        <v>19</v>
      </c>
      <c r="J82" s="234" t="s">
        <v>3609</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530</v>
      </c>
      <c r="B83" s="233" t="s">
        <v>3610</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3611</v>
      </c>
      <c r="B84" s="234" t="s">
        <v>3612</v>
      </c>
      <c r="C84" s="234" t="s">
        <v>3613</v>
      </c>
      <c r="D84" s="234" t="s">
        <v>3614</v>
      </c>
      <c r="E84" s="234" t="s">
        <v>19</v>
      </c>
      <c r="F84" s="234" t="s">
        <v>3615</v>
      </c>
      <c r="G84" s="234" t="s">
        <v>3616</v>
      </c>
      <c r="H84" s="234" t="s">
        <v>3617</v>
      </c>
      <c r="I84" s="234" t="s">
        <v>3618</v>
      </c>
      <c r="J84" s="234" t="s">
        <v>3619</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3620</v>
      </c>
      <c r="B85" s="234" t="s">
        <v>3621</v>
      </c>
      <c r="C85" s="234" t="s">
        <v>3622</v>
      </c>
      <c r="D85" s="234" t="s">
        <v>3623</v>
      </c>
      <c r="E85" s="234" t="s">
        <v>19</v>
      </c>
      <c r="F85" s="234" t="s">
        <v>19</v>
      </c>
      <c r="G85" s="234" t="s">
        <v>19</v>
      </c>
      <c r="H85" s="234" t="s">
        <v>3624</v>
      </c>
      <c r="I85" s="234" t="s">
        <v>3625</v>
      </c>
      <c r="J85" s="234" t="s">
        <v>3626</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3627</v>
      </c>
      <c r="B86" s="234" t="s">
        <v>3628</v>
      </c>
      <c r="C86" s="234" t="s">
        <v>3629</v>
      </c>
      <c r="D86" s="234" t="s">
        <v>3630</v>
      </c>
      <c r="E86" s="234" t="s">
        <v>19</v>
      </c>
      <c r="F86" s="234" t="s">
        <v>19</v>
      </c>
      <c r="G86" s="234" t="s">
        <v>3631</v>
      </c>
      <c r="H86" s="234" t="s">
        <v>3632</v>
      </c>
      <c r="I86" s="234" t="s">
        <v>19</v>
      </c>
      <c r="J86" s="234" t="s">
        <v>3633</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3634</v>
      </c>
      <c r="B87" s="234" t="s">
        <v>3635</v>
      </c>
      <c r="C87" s="234" t="s">
        <v>3636</v>
      </c>
      <c r="D87" s="234" t="s">
        <v>3637</v>
      </c>
      <c r="E87" s="234" t="s">
        <v>19</v>
      </c>
      <c r="F87" s="234" t="s">
        <v>3638</v>
      </c>
      <c r="G87" s="234" t="s">
        <v>19</v>
      </c>
      <c r="H87" s="234" t="s">
        <v>3639</v>
      </c>
      <c r="I87" s="234" t="s">
        <v>3640</v>
      </c>
      <c r="J87" s="234" t="s">
        <v>3641</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3642</v>
      </c>
      <c r="B88" s="232" t="s">
        <v>3643</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577</v>
      </c>
      <c r="B89" s="233" t="s">
        <v>3644</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3645</v>
      </c>
      <c r="B90" s="234" t="s">
        <v>3646</v>
      </c>
      <c r="C90" s="234" t="s">
        <v>3647</v>
      </c>
      <c r="D90" s="234" t="s">
        <v>3397</v>
      </c>
      <c r="E90" s="234" t="s">
        <v>3183</v>
      </c>
      <c r="F90" s="234" t="s">
        <v>19</v>
      </c>
      <c r="G90" s="234" t="s">
        <v>19</v>
      </c>
      <c r="H90" s="234" t="s">
        <v>3648</v>
      </c>
      <c r="I90" s="234" t="s">
        <v>19</v>
      </c>
      <c r="J90" s="234" t="s">
        <v>3649</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3650</v>
      </c>
      <c r="B91" s="234" t="s">
        <v>3651</v>
      </c>
      <c r="C91" s="234" t="s">
        <v>3652</v>
      </c>
      <c r="D91" s="234" t="s">
        <v>3189</v>
      </c>
      <c r="E91" s="234" t="s">
        <v>19</v>
      </c>
      <c r="F91" s="234" t="s">
        <v>3191</v>
      </c>
      <c r="G91" s="234" t="s">
        <v>19</v>
      </c>
      <c r="H91" s="234" t="s">
        <v>3653</v>
      </c>
      <c r="I91" s="234" t="s">
        <v>19</v>
      </c>
      <c r="J91" s="234" t="s">
        <v>3654</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581</v>
      </c>
      <c r="B92" s="233" t="s">
        <v>3655</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3656</v>
      </c>
      <c r="B93" s="234" t="s">
        <v>3657</v>
      </c>
      <c r="C93" s="234" t="s">
        <v>3658</v>
      </c>
      <c r="D93" s="234" t="s">
        <v>3659</v>
      </c>
      <c r="E93" s="234" t="s">
        <v>3660</v>
      </c>
      <c r="F93" s="234" t="s">
        <v>19</v>
      </c>
      <c r="G93" s="234" t="s">
        <v>19</v>
      </c>
      <c r="H93" s="234" t="s">
        <v>3661</v>
      </c>
      <c r="I93" s="234" t="s">
        <v>19</v>
      </c>
      <c r="J93" s="234" t="s">
        <v>3662</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3663</v>
      </c>
      <c r="B94" s="234" t="s">
        <v>3664</v>
      </c>
      <c r="C94" s="234" t="s">
        <v>3665</v>
      </c>
      <c r="D94" s="234" t="s">
        <v>3666</v>
      </c>
      <c r="E94" s="234" t="s">
        <v>19</v>
      </c>
      <c r="F94" s="234" t="s">
        <v>3667</v>
      </c>
      <c r="G94" s="234" t="s">
        <v>19</v>
      </c>
      <c r="H94" s="234" t="s">
        <v>3668</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3669</v>
      </c>
      <c r="B95" s="234" t="s">
        <v>3670</v>
      </c>
      <c r="C95" s="234" t="s">
        <v>3671</v>
      </c>
      <c r="D95" s="234" t="s">
        <v>3672</v>
      </c>
      <c r="E95" s="234" t="s">
        <v>19</v>
      </c>
      <c r="F95" s="234" t="s">
        <v>19</v>
      </c>
      <c r="G95" s="234" t="s">
        <v>19</v>
      </c>
      <c r="H95" s="234" t="s">
        <v>3673</v>
      </c>
      <c r="I95" s="234" t="s">
        <v>3674</v>
      </c>
      <c r="J95" s="234" t="s">
        <v>3675</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3676</v>
      </c>
      <c r="B96" s="234" t="s">
        <v>3677</v>
      </c>
      <c r="C96" s="234" t="s">
        <v>3678</v>
      </c>
      <c r="D96" s="234" t="s">
        <v>19</v>
      </c>
      <c r="E96" s="234" t="s">
        <v>19</v>
      </c>
      <c r="F96" s="234" t="s">
        <v>19</v>
      </c>
      <c r="G96" s="234" t="s">
        <v>19</v>
      </c>
      <c r="H96" s="234" t="s">
        <v>3679</v>
      </c>
      <c r="I96" s="234" t="s">
        <v>3625</v>
      </c>
      <c r="J96" s="234" t="s">
        <v>3680</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585</v>
      </c>
      <c r="B97" s="233" t="s">
        <v>3681</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3682</v>
      </c>
      <c r="B98" s="234" t="s">
        <v>3683</v>
      </c>
      <c r="C98" s="234" t="s">
        <v>3684</v>
      </c>
      <c r="D98" s="234" t="s">
        <v>3685</v>
      </c>
      <c r="E98" s="234" t="s">
        <v>19</v>
      </c>
      <c r="F98" s="234" t="s">
        <v>19</v>
      </c>
      <c r="G98" s="234" t="s">
        <v>19</v>
      </c>
      <c r="H98" s="234" t="s">
        <v>3686</v>
      </c>
      <c r="I98" s="234" t="s">
        <v>19</v>
      </c>
      <c r="J98" s="234" t="s">
        <v>3687</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3688</v>
      </c>
      <c r="B99" s="234" t="s">
        <v>3689</v>
      </c>
      <c r="C99" s="234" t="s">
        <v>3690</v>
      </c>
      <c r="D99" s="234" t="s">
        <v>3691</v>
      </c>
      <c r="E99" s="234" t="s">
        <v>3692</v>
      </c>
      <c r="F99" s="234" t="s">
        <v>19</v>
      </c>
      <c r="G99" s="234" t="s">
        <v>19</v>
      </c>
      <c r="H99" s="234" t="s">
        <v>3693</v>
      </c>
      <c r="I99" s="234" t="s">
        <v>19</v>
      </c>
      <c r="J99" s="234" t="s">
        <v>3694</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3695</v>
      </c>
      <c r="B100" s="234" t="s">
        <v>3696</v>
      </c>
      <c r="C100" s="234" t="s">
        <v>3697</v>
      </c>
      <c r="D100" s="234" t="s">
        <v>19</v>
      </c>
      <c r="E100" s="234" t="s">
        <v>19</v>
      </c>
      <c r="F100" s="234" t="s">
        <v>19</v>
      </c>
      <c r="G100" s="234" t="s">
        <v>19</v>
      </c>
      <c r="H100" s="234" t="s">
        <v>3698</v>
      </c>
      <c r="I100" s="234" t="s">
        <v>3699</v>
      </c>
      <c r="J100" s="234" t="s">
        <v>3700</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3701</v>
      </c>
      <c r="B101" s="234" t="s">
        <v>3702</v>
      </c>
      <c r="C101" s="234" t="s">
        <v>3703</v>
      </c>
      <c r="D101" s="234" t="s">
        <v>19</v>
      </c>
      <c r="E101" s="234" t="s">
        <v>19</v>
      </c>
      <c r="F101" s="234" t="s">
        <v>19</v>
      </c>
      <c r="G101" s="234" t="s">
        <v>19</v>
      </c>
      <c r="H101" s="234" t="s">
        <v>3704</v>
      </c>
      <c r="I101" s="234" t="s">
        <v>3625</v>
      </c>
      <c r="J101" s="234" t="s">
        <v>3705</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3706</v>
      </c>
      <c r="B102" s="234" t="s">
        <v>3707</v>
      </c>
      <c r="C102" s="234" t="s">
        <v>3708</v>
      </c>
      <c r="D102" s="234" t="s">
        <v>3709</v>
      </c>
      <c r="E102" s="234" t="s">
        <v>19</v>
      </c>
      <c r="F102" s="234" t="s">
        <v>19</v>
      </c>
      <c r="G102" s="234" t="s">
        <v>19</v>
      </c>
      <c r="H102" s="234" t="s">
        <v>3710</v>
      </c>
      <c r="I102" s="234" t="s">
        <v>19</v>
      </c>
      <c r="J102" s="234" t="s">
        <v>3711</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3712</v>
      </c>
      <c r="B103" s="234" t="s">
        <v>3713</v>
      </c>
      <c r="C103" s="234" t="s">
        <v>3714</v>
      </c>
      <c r="D103" s="234" t="s">
        <v>3709</v>
      </c>
      <c r="E103" s="234" t="s">
        <v>19</v>
      </c>
      <c r="F103" s="234" t="s">
        <v>3715</v>
      </c>
      <c r="G103" s="234" t="s">
        <v>19</v>
      </c>
      <c r="H103" s="234" t="s">
        <v>3716</v>
      </c>
      <c r="I103" s="234" t="s">
        <v>3717</v>
      </c>
      <c r="J103" s="234" t="s">
        <v>3718</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589</v>
      </c>
      <c r="B104" s="233" t="s">
        <v>3719</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3720</v>
      </c>
      <c r="B105" s="234" t="s">
        <v>3721</v>
      </c>
      <c r="C105" s="234" t="s">
        <v>3722</v>
      </c>
      <c r="D105" s="234" t="s">
        <v>3723</v>
      </c>
      <c r="E105" s="234" t="s">
        <v>3724</v>
      </c>
      <c r="F105" s="234" t="s">
        <v>19</v>
      </c>
      <c r="G105" s="234" t="s">
        <v>19</v>
      </c>
      <c r="H105" s="234" t="s">
        <v>3725</v>
      </c>
      <c r="I105" s="234" t="s">
        <v>3726</v>
      </c>
      <c r="J105" s="234" t="s">
        <v>3727</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3728</v>
      </c>
      <c r="B106" s="232" t="s">
        <v>3729</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603</v>
      </c>
      <c r="B107" s="233" t="s">
        <v>3730</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3731</v>
      </c>
      <c r="B108" s="234" t="s">
        <v>3732</v>
      </c>
      <c r="C108" s="234" t="s">
        <v>3733</v>
      </c>
      <c r="D108" s="234" t="s">
        <v>3397</v>
      </c>
      <c r="E108" s="234" t="s">
        <v>3183</v>
      </c>
      <c r="F108" s="234" t="s">
        <v>19</v>
      </c>
      <c r="G108" s="234" t="s">
        <v>19</v>
      </c>
      <c r="H108" s="234" t="s">
        <v>3734</v>
      </c>
      <c r="I108" s="234" t="s">
        <v>19</v>
      </c>
      <c r="J108" s="234" t="s">
        <v>3735</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3736</v>
      </c>
      <c r="B109" s="234" t="s">
        <v>3737</v>
      </c>
      <c r="C109" s="234" t="s">
        <v>3738</v>
      </c>
      <c r="D109" s="234" t="s">
        <v>3189</v>
      </c>
      <c r="E109" s="234" t="s">
        <v>19</v>
      </c>
      <c r="F109" s="234" t="s">
        <v>3191</v>
      </c>
      <c r="G109" s="234" t="s">
        <v>19</v>
      </c>
      <c r="H109" s="234" t="s">
        <v>3739</v>
      </c>
      <c r="I109" s="234" t="s">
        <v>19</v>
      </c>
      <c r="J109" s="234" t="s">
        <v>3740</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607</v>
      </c>
      <c r="B110" s="233" t="s">
        <v>3741</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3742</v>
      </c>
      <c r="B111" s="234" t="s">
        <v>3743</v>
      </c>
      <c r="C111" s="234" t="s">
        <v>3744</v>
      </c>
      <c r="D111" s="234" t="s">
        <v>3745</v>
      </c>
      <c r="E111" s="234" t="s">
        <v>19</v>
      </c>
      <c r="F111" s="234" t="s">
        <v>3746</v>
      </c>
      <c r="G111" s="234" t="s">
        <v>19</v>
      </c>
      <c r="H111" s="234" t="s">
        <v>3747</v>
      </c>
      <c r="I111" s="234" t="s">
        <v>3748</v>
      </c>
      <c r="J111" s="234" t="s">
        <v>3749</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3750</v>
      </c>
      <c r="B112" s="234" t="s">
        <v>3751</v>
      </c>
      <c r="C112" s="234" t="s">
        <v>3752</v>
      </c>
      <c r="D112" s="234" t="s">
        <v>3753</v>
      </c>
      <c r="E112" s="234" t="s">
        <v>19</v>
      </c>
      <c r="F112" s="234" t="s">
        <v>19</v>
      </c>
      <c r="G112" s="234" t="s">
        <v>19</v>
      </c>
      <c r="H112" s="234" t="s">
        <v>3754</v>
      </c>
      <c r="I112" s="234" t="s">
        <v>19</v>
      </c>
      <c r="J112" s="234" t="s">
        <v>3755</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3756</v>
      </c>
      <c r="B113" s="234" t="s">
        <v>3757</v>
      </c>
      <c r="C113" s="234" t="s">
        <v>3758</v>
      </c>
      <c r="D113" s="234" t="s">
        <v>3759</v>
      </c>
      <c r="E113" s="234" t="s">
        <v>19</v>
      </c>
      <c r="F113" s="234" t="s">
        <v>19</v>
      </c>
      <c r="G113" s="234" t="s">
        <v>19</v>
      </c>
      <c r="H113" s="234" t="s">
        <v>3760</v>
      </c>
      <c r="I113" s="234" t="s">
        <v>3761</v>
      </c>
      <c r="J113" s="234" t="s">
        <v>3762</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3763</v>
      </c>
      <c r="B114" s="234" t="s">
        <v>3764</v>
      </c>
      <c r="C114" s="234" t="s">
        <v>3765</v>
      </c>
      <c r="D114" s="234" t="s">
        <v>3766</v>
      </c>
      <c r="E114" s="234" t="s">
        <v>19</v>
      </c>
      <c r="F114" s="234" t="s">
        <v>19</v>
      </c>
      <c r="G114" s="234" t="s">
        <v>3767</v>
      </c>
      <c r="H114" s="234" t="s">
        <v>3768</v>
      </c>
      <c r="I114" s="234" t="s">
        <v>3769</v>
      </c>
      <c r="J114" s="234" t="s">
        <v>3770</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3771</v>
      </c>
      <c r="B115" s="234" t="s">
        <v>3772</v>
      </c>
      <c r="C115" s="234" t="s">
        <v>3773</v>
      </c>
      <c r="D115" s="234" t="s">
        <v>3774</v>
      </c>
      <c r="E115" s="234" t="s">
        <v>19</v>
      </c>
      <c r="F115" s="234" t="s">
        <v>3775</v>
      </c>
      <c r="G115" s="234" t="s">
        <v>19</v>
      </c>
      <c r="H115" s="234" t="s">
        <v>3776</v>
      </c>
      <c r="I115" s="234" t="s">
        <v>3776</v>
      </c>
      <c r="J115" s="234" t="s">
        <v>3777</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611</v>
      </c>
      <c r="B116" s="233" t="s">
        <v>3778</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3779</v>
      </c>
      <c r="B117" s="234" t="s">
        <v>3780</v>
      </c>
      <c r="C117" s="234" t="s">
        <v>3781</v>
      </c>
      <c r="D117" s="234" t="s">
        <v>3782</v>
      </c>
      <c r="E117" s="234" t="s">
        <v>19</v>
      </c>
      <c r="F117" s="234" t="s">
        <v>3783</v>
      </c>
      <c r="G117" s="234" t="s">
        <v>3784</v>
      </c>
      <c r="H117" s="234" t="s">
        <v>3785</v>
      </c>
      <c r="I117" s="234" t="s">
        <v>3786</v>
      </c>
      <c r="J117" s="234" t="s">
        <v>3787</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3788</v>
      </c>
      <c r="B118" s="234" t="s">
        <v>3789</v>
      </c>
      <c r="C118" s="234" t="s">
        <v>3790</v>
      </c>
      <c r="D118" s="234" t="s">
        <v>3791</v>
      </c>
      <c r="E118" s="234" t="s">
        <v>19</v>
      </c>
      <c r="F118" s="234" t="s">
        <v>19</v>
      </c>
      <c r="G118" s="234" t="s">
        <v>19</v>
      </c>
      <c r="H118" s="234" t="s">
        <v>3792</v>
      </c>
      <c r="I118" s="234" t="s">
        <v>3625</v>
      </c>
      <c r="J118" s="234" t="s">
        <v>3793</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3794</v>
      </c>
      <c r="B119" s="234" t="s">
        <v>3795</v>
      </c>
      <c r="C119" s="234" t="s">
        <v>3796</v>
      </c>
      <c r="D119" s="234" t="s">
        <v>3797</v>
      </c>
      <c r="E119" s="234" t="s">
        <v>19</v>
      </c>
      <c r="F119" s="234" t="s">
        <v>3798</v>
      </c>
      <c r="G119" s="234" t="s">
        <v>19</v>
      </c>
      <c r="H119" s="234" t="s">
        <v>3799</v>
      </c>
      <c r="I119" s="234" t="s">
        <v>3800</v>
      </c>
      <c r="J119" s="234" t="s">
        <v>3801</v>
      </c>
      <c r="K119" s="237">
        <f>IF(COUNTIF(L119:AY119,"&lt;&gt;")=0,"",SUMPRODUCT(((Recommendations[ImplStatus]="Implemented")+(Recommendations[ImplStatus]="Compensated"))*ISNUMBER(MATCH(Recommendations[Id],L119:AY119,0)))/COUNTIF(L119:AY119,"&lt;&gt;"))</f>
        <v>0</v>
      </c>
      <c r="L119" s="240" t="s">
        <v>38</v>
      </c>
      <c r="M119" s="240" t="s">
        <v>57</v>
      </c>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615</v>
      </c>
      <c r="B120" s="233" t="s">
        <v>3802</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3803</v>
      </c>
      <c r="B121" s="234" t="s">
        <v>3804</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3805</v>
      </c>
      <c r="B122" s="234" t="s">
        <v>3806</v>
      </c>
      <c r="C122" s="234" t="s">
        <v>3807</v>
      </c>
      <c r="D122" s="234" t="s">
        <v>3808</v>
      </c>
      <c r="E122" s="234" t="s">
        <v>19</v>
      </c>
      <c r="F122" s="234" t="s">
        <v>3809</v>
      </c>
      <c r="G122" s="234" t="s">
        <v>19</v>
      </c>
      <c r="H122" s="234" t="s">
        <v>3810</v>
      </c>
      <c r="I122" s="234" t="s">
        <v>3811</v>
      </c>
      <c r="J122" s="234" t="s">
        <v>3812</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3813</v>
      </c>
      <c r="B123" s="234" t="s">
        <v>3814</v>
      </c>
      <c r="C123" s="234" t="s">
        <v>3815</v>
      </c>
      <c r="D123" s="234" t="s">
        <v>3816</v>
      </c>
      <c r="E123" s="234" t="s">
        <v>19</v>
      </c>
      <c r="F123" s="234" t="s">
        <v>3817</v>
      </c>
      <c r="G123" s="234" t="s">
        <v>19</v>
      </c>
      <c r="H123" s="234" t="s">
        <v>3818</v>
      </c>
      <c r="I123" s="234" t="s">
        <v>19</v>
      </c>
      <c r="J123" s="234" t="s">
        <v>3819</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619</v>
      </c>
      <c r="B124" s="233" t="s">
        <v>3820</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3821</v>
      </c>
      <c r="B125" s="234" t="s">
        <v>3822</v>
      </c>
      <c r="C125" s="234" t="s">
        <v>3823</v>
      </c>
      <c r="D125" s="234" t="s">
        <v>3824</v>
      </c>
      <c r="E125" s="234" t="s">
        <v>19</v>
      </c>
      <c r="F125" s="234" t="s">
        <v>19</v>
      </c>
      <c r="G125" s="234" t="s">
        <v>19</v>
      </c>
      <c r="H125" s="234" t="s">
        <v>3825</v>
      </c>
      <c r="I125" s="234" t="s">
        <v>19</v>
      </c>
      <c r="J125" s="234" t="s">
        <v>3826</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3827</v>
      </c>
      <c r="B126" s="234" t="s">
        <v>3828</v>
      </c>
      <c r="C126" s="234" t="s">
        <v>3829</v>
      </c>
      <c r="D126" s="234" t="s">
        <v>3830</v>
      </c>
      <c r="E126" s="234" t="s">
        <v>19</v>
      </c>
      <c r="F126" s="234" t="s">
        <v>3831</v>
      </c>
      <c r="G126" s="234" t="s">
        <v>19</v>
      </c>
      <c r="H126" s="234" t="s">
        <v>3832</v>
      </c>
      <c r="I126" s="234" t="s">
        <v>3833</v>
      </c>
      <c r="J126" s="234" t="s">
        <v>3834</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3835</v>
      </c>
      <c r="B127" s="234" t="s">
        <v>3836</v>
      </c>
      <c r="C127" s="234" t="s">
        <v>3837</v>
      </c>
      <c r="D127" s="234" t="s">
        <v>3838</v>
      </c>
      <c r="E127" s="234" t="s">
        <v>3839</v>
      </c>
      <c r="F127" s="234" t="s">
        <v>19</v>
      </c>
      <c r="G127" s="234" t="s">
        <v>19</v>
      </c>
      <c r="H127" s="234" t="s">
        <v>3840</v>
      </c>
      <c r="I127" s="234" t="s">
        <v>19</v>
      </c>
      <c r="J127" s="234" t="s">
        <v>3841</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3842</v>
      </c>
      <c r="B128" s="234" t="s">
        <v>3843</v>
      </c>
      <c r="C128" s="234" t="s">
        <v>3844</v>
      </c>
      <c r="D128" s="234" t="s">
        <v>19</v>
      </c>
      <c r="E128" s="234" t="s">
        <v>19</v>
      </c>
      <c r="F128" s="234" t="s">
        <v>19</v>
      </c>
      <c r="G128" s="234" t="s">
        <v>19</v>
      </c>
      <c r="H128" s="234" t="s">
        <v>3845</v>
      </c>
      <c r="I128" s="234" t="s">
        <v>3846</v>
      </c>
      <c r="J128" s="234" t="s">
        <v>3847</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3848</v>
      </c>
      <c r="B129" s="234" t="s">
        <v>3849</v>
      </c>
      <c r="C129" s="234" t="s">
        <v>3850</v>
      </c>
      <c r="D129" s="234" t="s">
        <v>19</v>
      </c>
      <c r="E129" s="234" t="s">
        <v>3851</v>
      </c>
      <c r="F129" s="234" t="s">
        <v>19</v>
      </c>
      <c r="G129" s="234" t="s">
        <v>19</v>
      </c>
      <c r="H129" s="234" t="s">
        <v>3852</v>
      </c>
      <c r="I129" s="234" t="s">
        <v>19</v>
      </c>
      <c r="J129" s="234" t="s">
        <v>3853</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3854</v>
      </c>
      <c r="B130" s="234" t="s">
        <v>3855</v>
      </c>
      <c r="C130" s="234" t="s">
        <v>3856</v>
      </c>
      <c r="D130" s="234" t="s">
        <v>19</v>
      </c>
      <c r="E130" s="234" t="s">
        <v>19</v>
      </c>
      <c r="F130" s="234" t="s">
        <v>19</v>
      </c>
      <c r="G130" s="234" t="s">
        <v>19</v>
      </c>
      <c r="H130" s="234" t="s">
        <v>3857</v>
      </c>
      <c r="I130" s="234" t="s">
        <v>19</v>
      </c>
      <c r="J130" s="234" t="s">
        <v>3858</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3859</v>
      </c>
      <c r="B131" s="232" t="s">
        <v>3860</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637</v>
      </c>
      <c r="B132" s="233" t="s">
        <v>3861</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3862</v>
      </c>
      <c r="B133" s="234" t="s">
        <v>3863</v>
      </c>
      <c r="C133" s="234" t="s">
        <v>3864</v>
      </c>
      <c r="D133" s="234" t="s">
        <v>3397</v>
      </c>
      <c r="E133" s="234" t="s">
        <v>3183</v>
      </c>
      <c r="F133" s="234" t="s">
        <v>19</v>
      </c>
      <c r="G133" s="234" t="s">
        <v>19</v>
      </c>
      <c r="H133" s="234" t="s">
        <v>3865</v>
      </c>
      <c r="I133" s="234" t="s">
        <v>19</v>
      </c>
      <c r="J133" s="234" t="s">
        <v>3866</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3867</v>
      </c>
      <c r="B134" s="234" t="s">
        <v>3868</v>
      </c>
      <c r="C134" s="234" t="s">
        <v>3402</v>
      </c>
      <c r="D134" s="234" t="s">
        <v>3189</v>
      </c>
      <c r="E134" s="234" t="s">
        <v>19</v>
      </c>
      <c r="F134" s="234" t="s">
        <v>3191</v>
      </c>
      <c r="G134" s="234" t="s">
        <v>19</v>
      </c>
      <c r="H134" s="234" t="s">
        <v>3869</v>
      </c>
      <c r="I134" s="234" t="s">
        <v>19</v>
      </c>
      <c r="J134" s="234" t="s">
        <v>3870</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641</v>
      </c>
      <c r="B135" s="233" t="s">
        <v>3871</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3872</v>
      </c>
      <c r="B136" s="234" t="s">
        <v>3873</v>
      </c>
      <c r="C136" s="234" t="s">
        <v>3874</v>
      </c>
      <c r="D136" s="234" t="s">
        <v>3875</v>
      </c>
      <c r="E136" s="234" t="s">
        <v>3876</v>
      </c>
      <c r="F136" s="234" t="s">
        <v>3877</v>
      </c>
      <c r="G136" s="234" t="s">
        <v>19</v>
      </c>
      <c r="H136" s="234" t="s">
        <v>3878</v>
      </c>
      <c r="I136" s="234" t="s">
        <v>19</v>
      </c>
      <c r="J136" s="234" t="s">
        <v>3879</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3880</v>
      </c>
      <c r="B137" s="234" t="s">
        <v>3881</v>
      </c>
      <c r="C137" s="234" t="s">
        <v>3882</v>
      </c>
      <c r="D137" s="234" t="s">
        <v>3883</v>
      </c>
      <c r="E137" s="234" t="s">
        <v>19</v>
      </c>
      <c r="F137" s="234" t="s">
        <v>19</v>
      </c>
      <c r="G137" s="234" t="s">
        <v>19</v>
      </c>
      <c r="H137" s="234" t="s">
        <v>3884</v>
      </c>
      <c r="I137" s="234" t="s">
        <v>19</v>
      </c>
      <c r="J137" s="234" t="s">
        <v>3885</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3886</v>
      </c>
      <c r="B138" s="234" t="s">
        <v>3887</v>
      </c>
      <c r="C138" s="234" t="s">
        <v>3888</v>
      </c>
      <c r="D138" s="234" t="s">
        <v>19</v>
      </c>
      <c r="E138" s="234" t="s">
        <v>19</v>
      </c>
      <c r="F138" s="234" t="s">
        <v>19</v>
      </c>
      <c r="G138" s="234" t="s">
        <v>19</v>
      </c>
      <c r="H138" s="234" t="s">
        <v>3889</v>
      </c>
      <c r="I138" s="234" t="s">
        <v>19</v>
      </c>
      <c r="J138" s="234" t="s">
        <v>3890</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3891</v>
      </c>
      <c r="B139" s="234" t="s">
        <v>3892</v>
      </c>
      <c r="C139" s="234" t="s">
        <v>3893</v>
      </c>
      <c r="D139" s="234" t="s">
        <v>3894</v>
      </c>
      <c r="E139" s="234" t="s">
        <v>19</v>
      </c>
      <c r="F139" s="234" t="s">
        <v>19</v>
      </c>
      <c r="G139" s="234" t="s">
        <v>19</v>
      </c>
      <c r="H139" s="234" t="s">
        <v>3895</v>
      </c>
      <c r="I139" s="234" t="s">
        <v>3896</v>
      </c>
      <c r="J139" s="234" t="s">
        <v>3897</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3898</v>
      </c>
      <c r="B140" s="234" t="s">
        <v>3899</v>
      </c>
      <c r="C140" s="234" t="s">
        <v>3900</v>
      </c>
      <c r="D140" s="234" t="s">
        <v>3901</v>
      </c>
      <c r="E140" s="234" t="s">
        <v>19</v>
      </c>
      <c r="F140" s="234" t="s">
        <v>19</v>
      </c>
      <c r="G140" s="234" t="s">
        <v>19</v>
      </c>
      <c r="H140" s="234" t="s">
        <v>3902</v>
      </c>
      <c r="I140" s="234" t="s">
        <v>3625</v>
      </c>
      <c r="J140" s="234" t="s">
        <v>3903</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3904</v>
      </c>
      <c r="B141" s="234" t="s">
        <v>3905</v>
      </c>
      <c r="C141" s="234" t="s">
        <v>3906</v>
      </c>
      <c r="D141" s="234" t="s">
        <v>19</v>
      </c>
      <c r="E141" s="234" t="s">
        <v>3907</v>
      </c>
      <c r="F141" s="234" t="s">
        <v>19</v>
      </c>
      <c r="G141" s="234" t="s">
        <v>19</v>
      </c>
      <c r="H141" s="234" t="s">
        <v>3908</v>
      </c>
      <c r="I141" s="234" t="s">
        <v>3625</v>
      </c>
      <c r="J141" s="234" t="s">
        <v>3909</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3910</v>
      </c>
      <c r="B142" s="234" t="s">
        <v>3911</v>
      </c>
      <c r="C142" s="234" t="s">
        <v>3912</v>
      </c>
      <c r="D142" s="234" t="s">
        <v>3913</v>
      </c>
      <c r="E142" s="234" t="s">
        <v>3907</v>
      </c>
      <c r="F142" s="234" t="s">
        <v>19</v>
      </c>
      <c r="G142" s="234" t="s">
        <v>19</v>
      </c>
      <c r="H142" s="234" t="s">
        <v>3914</v>
      </c>
      <c r="I142" s="234" t="s">
        <v>3915</v>
      </c>
      <c r="J142" s="234" t="s">
        <v>3916</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645</v>
      </c>
      <c r="B143" s="233" t="s">
        <v>3917</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3918</v>
      </c>
      <c r="B144" s="234" t="s">
        <v>3919</v>
      </c>
      <c r="C144" s="234" t="s">
        <v>3920</v>
      </c>
      <c r="D144" s="234" t="s">
        <v>19</v>
      </c>
      <c r="E144" s="234" t="s">
        <v>19</v>
      </c>
      <c r="F144" s="234" t="s">
        <v>19</v>
      </c>
      <c r="G144" s="234" t="s">
        <v>19</v>
      </c>
      <c r="H144" s="234" t="s">
        <v>3921</v>
      </c>
      <c r="I144" s="234" t="s">
        <v>19</v>
      </c>
      <c r="J144" s="234" t="s">
        <v>3922</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3923</v>
      </c>
      <c r="B145" s="234" t="s">
        <v>3924</v>
      </c>
      <c r="C145" s="234" t="s">
        <v>3925</v>
      </c>
      <c r="D145" s="234" t="s">
        <v>19</v>
      </c>
      <c r="E145" s="234" t="s">
        <v>19</v>
      </c>
      <c r="F145" s="234" t="s">
        <v>19</v>
      </c>
      <c r="G145" s="234" t="s">
        <v>19</v>
      </c>
      <c r="H145" s="234" t="s">
        <v>3926</v>
      </c>
      <c r="I145" s="234" t="s">
        <v>19</v>
      </c>
      <c r="J145" s="234" t="s">
        <v>3927</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3928</v>
      </c>
      <c r="B146" s="234" t="s">
        <v>3929</v>
      </c>
      <c r="C146" s="234" t="s">
        <v>3930</v>
      </c>
      <c r="D146" s="234" t="s">
        <v>3931</v>
      </c>
      <c r="E146" s="234" t="s">
        <v>19</v>
      </c>
      <c r="F146" s="234" t="s">
        <v>19</v>
      </c>
      <c r="G146" s="234" t="s">
        <v>19</v>
      </c>
      <c r="H146" s="234" t="s">
        <v>3932</v>
      </c>
      <c r="I146" s="234" t="s">
        <v>19</v>
      </c>
      <c r="J146" s="234" t="s">
        <v>3933</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3934</v>
      </c>
      <c r="B147" s="232" t="s">
        <v>3935</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667</v>
      </c>
      <c r="B148" s="233" t="s">
        <v>3936</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3937</v>
      </c>
      <c r="B149" s="234" t="s">
        <v>3938</v>
      </c>
      <c r="C149" s="234" t="s">
        <v>3939</v>
      </c>
      <c r="D149" s="234" t="s">
        <v>3397</v>
      </c>
      <c r="E149" s="234" t="s">
        <v>3183</v>
      </c>
      <c r="F149" s="234" t="s">
        <v>19</v>
      </c>
      <c r="G149" s="234" t="s">
        <v>19</v>
      </c>
      <c r="H149" s="234" t="s">
        <v>3940</v>
      </c>
      <c r="I149" s="234" t="s">
        <v>19</v>
      </c>
      <c r="J149" s="234" t="s">
        <v>3941</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3942</v>
      </c>
      <c r="B150" s="234" t="s">
        <v>3943</v>
      </c>
      <c r="C150" s="234" t="s">
        <v>3188</v>
      </c>
      <c r="D150" s="234" t="s">
        <v>3189</v>
      </c>
      <c r="E150" s="234" t="s">
        <v>19</v>
      </c>
      <c r="F150" s="234" t="s">
        <v>3191</v>
      </c>
      <c r="G150" s="234" t="s">
        <v>19</v>
      </c>
      <c r="H150" s="234" t="s">
        <v>3944</v>
      </c>
      <c r="I150" s="234" t="s">
        <v>19</v>
      </c>
      <c r="J150" s="234" t="s">
        <v>3945</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671</v>
      </c>
      <c r="B151" s="233" t="s">
        <v>3946</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3947</v>
      </c>
      <c r="B152" s="234" t="s">
        <v>3948</v>
      </c>
      <c r="C152" s="234" t="s">
        <v>3949</v>
      </c>
      <c r="D152" s="234" t="s">
        <v>19</v>
      </c>
      <c r="E152" s="234" t="s">
        <v>19</v>
      </c>
      <c r="F152" s="234" t="s">
        <v>19</v>
      </c>
      <c r="G152" s="234" t="s">
        <v>19</v>
      </c>
      <c r="H152" s="234" t="s">
        <v>3950</v>
      </c>
      <c r="I152" s="234" t="s">
        <v>3951</v>
      </c>
      <c r="J152" s="234" t="s">
        <v>3952</v>
      </c>
      <c r="K152" s="237">
        <f>IF(COUNTIF(L152:AY152,"&lt;&gt;")=0,"",SUMPRODUCT(((Recommendations[ImplStatus]="Implemented")+(Recommendations[ImplStatus]="Compensated"))*ISNUMBER(MATCH(Recommendations[Id],L152:AY152,0)))/COUNTIF(L152:AY152,"&lt;&gt;"))</f>
        <v>0</v>
      </c>
      <c r="L152" s="240" t="s">
        <v>48</v>
      </c>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3953</v>
      </c>
      <c r="B153" s="234" t="s">
        <v>3954</v>
      </c>
      <c r="C153" s="234" t="s">
        <v>3955</v>
      </c>
      <c r="D153" s="234" t="s">
        <v>3956</v>
      </c>
      <c r="E153" s="234" t="s">
        <v>19</v>
      </c>
      <c r="F153" s="234" t="s">
        <v>3957</v>
      </c>
      <c r="G153" s="234" t="s">
        <v>19</v>
      </c>
      <c r="H153" s="234" t="s">
        <v>3958</v>
      </c>
      <c r="I153" s="234" t="s">
        <v>3959</v>
      </c>
      <c r="J153" s="234" t="s">
        <v>3960</v>
      </c>
      <c r="K153" s="237">
        <f>IF(COUNTIF(L153:AY153,"&lt;&gt;")=0,"",SUMPRODUCT(((Recommendations[ImplStatus]="Implemented")+(Recommendations[ImplStatus]="Compensated"))*ISNUMBER(MATCH(Recommendations[Id],L153:AY153,0)))/COUNTIF(L153:AY153,"&lt;&gt;"))</f>
        <v>0</v>
      </c>
      <c r="L153" s="240" t="s">
        <v>78</v>
      </c>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3961</v>
      </c>
      <c r="B154" s="234" t="s">
        <v>3962</v>
      </c>
      <c r="C154" s="234" t="s">
        <v>3963</v>
      </c>
      <c r="D154" s="234" t="s">
        <v>19</v>
      </c>
      <c r="E154" s="234" t="s">
        <v>19</v>
      </c>
      <c r="F154" s="234" t="s">
        <v>3964</v>
      </c>
      <c r="G154" s="234" t="s">
        <v>19</v>
      </c>
      <c r="H154" s="234" t="s">
        <v>3965</v>
      </c>
      <c r="I154" s="234" t="s">
        <v>19</v>
      </c>
      <c r="J154" s="234" t="s">
        <v>3966</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3967</v>
      </c>
      <c r="B155" s="234" t="s">
        <v>3968</v>
      </c>
      <c r="C155" s="234" t="s">
        <v>3969</v>
      </c>
      <c r="D155" s="234" t="s">
        <v>19</v>
      </c>
      <c r="E155" s="234" t="s">
        <v>19</v>
      </c>
      <c r="F155" s="234" t="s">
        <v>19</v>
      </c>
      <c r="G155" s="234" t="s">
        <v>19</v>
      </c>
      <c r="H155" s="234" t="s">
        <v>3970</v>
      </c>
      <c r="I155" s="234" t="s">
        <v>3971</v>
      </c>
      <c r="J155" s="234" t="s">
        <v>3972</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3973</v>
      </c>
      <c r="B156" s="234" t="s">
        <v>3974</v>
      </c>
      <c r="C156" s="234" t="s">
        <v>3975</v>
      </c>
      <c r="D156" s="234" t="s">
        <v>19</v>
      </c>
      <c r="E156" s="234" t="s">
        <v>19</v>
      </c>
      <c r="F156" s="234" t="s">
        <v>19</v>
      </c>
      <c r="G156" s="234" t="s">
        <v>19</v>
      </c>
      <c r="H156" s="234" t="s">
        <v>3976</v>
      </c>
      <c r="I156" s="234" t="s">
        <v>19</v>
      </c>
      <c r="J156" s="234" t="s">
        <v>3977</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3978</v>
      </c>
      <c r="B157" s="234" t="s">
        <v>3979</v>
      </c>
      <c r="C157" s="234" t="s">
        <v>3980</v>
      </c>
      <c r="D157" s="234" t="s">
        <v>3981</v>
      </c>
      <c r="E157" s="234" t="s">
        <v>19</v>
      </c>
      <c r="F157" s="234" t="s">
        <v>19</v>
      </c>
      <c r="G157" s="234" t="s">
        <v>19</v>
      </c>
      <c r="H157" s="234" t="s">
        <v>3982</v>
      </c>
      <c r="I157" s="234" t="s">
        <v>19</v>
      </c>
      <c r="J157" s="234" t="s">
        <v>3983</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3984</v>
      </c>
      <c r="B158" s="234" t="s">
        <v>3985</v>
      </c>
      <c r="C158" s="234" t="s">
        <v>3986</v>
      </c>
      <c r="D158" s="234" t="s">
        <v>3987</v>
      </c>
      <c r="E158" s="234" t="s">
        <v>19</v>
      </c>
      <c r="F158" s="234" t="s">
        <v>19</v>
      </c>
      <c r="G158" s="234" t="s">
        <v>19</v>
      </c>
      <c r="H158" s="234" t="s">
        <v>19</v>
      </c>
      <c r="I158" s="234" t="s">
        <v>19</v>
      </c>
      <c r="J158" s="234" t="s">
        <v>3988</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3989</v>
      </c>
      <c r="B159" s="234" t="s">
        <v>3990</v>
      </c>
      <c r="C159" s="234" t="s">
        <v>3991</v>
      </c>
      <c r="D159" s="234" t="s">
        <v>3992</v>
      </c>
      <c r="E159" s="234" t="s">
        <v>19</v>
      </c>
      <c r="F159" s="234" t="s">
        <v>3993</v>
      </c>
      <c r="G159" s="234" t="s">
        <v>19</v>
      </c>
      <c r="H159" s="234" t="s">
        <v>3994</v>
      </c>
      <c r="I159" s="234" t="s">
        <v>3995</v>
      </c>
      <c r="J159" s="234" t="s">
        <v>3996</v>
      </c>
      <c r="K159" s="237">
        <f>IF(COUNTIF(L159:AY159,"&lt;&gt;")=0,"",SUMPRODUCT(((Recommendations[ImplStatus]="Implemented")+(Recommendations[ImplStatus]="Compensated"))*ISNUMBER(MATCH(Recommendations[Id],L159:AY159,0)))/COUNTIF(L159:AY159,"&lt;&gt;"))</f>
        <v>0</v>
      </c>
      <c r="L159" s="240" t="s">
        <v>13</v>
      </c>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675</v>
      </c>
      <c r="B160" s="233" t="s">
        <v>3997</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3998</v>
      </c>
      <c r="B161" s="234" t="s">
        <v>3999</v>
      </c>
      <c r="C161" s="234" t="s">
        <v>4000</v>
      </c>
      <c r="D161" s="234" t="s">
        <v>4001</v>
      </c>
      <c r="E161" s="234" t="s">
        <v>19</v>
      </c>
      <c r="F161" s="234" t="s">
        <v>19</v>
      </c>
      <c r="G161" s="234" t="s">
        <v>4002</v>
      </c>
      <c r="H161" s="234" t="s">
        <v>4003</v>
      </c>
      <c r="I161" s="234" t="s">
        <v>4004</v>
      </c>
      <c r="J161" s="234" t="s">
        <v>4005</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4006</v>
      </c>
      <c r="B162" s="234" t="s">
        <v>4007</v>
      </c>
      <c r="C162" s="234" t="s">
        <v>4008</v>
      </c>
      <c r="D162" s="234" t="s">
        <v>4009</v>
      </c>
      <c r="E162" s="234" t="s">
        <v>19</v>
      </c>
      <c r="F162" s="234" t="s">
        <v>19</v>
      </c>
      <c r="G162" s="234" t="s">
        <v>19</v>
      </c>
      <c r="H162" s="234" t="s">
        <v>4010</v>
      </c>
      <c r="I162" s="234" t="s">
        <v>19</v>
      </c>
      <c r="J162" s="234" t="s">
        <v>4011</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4012</v>
      </c>
      <c r="B163" s="234" t="s">
        <v>4013</v>
      </c>
      <c r="C163" s="234" t="s">
        <v>4014</v>
      </c>
      <c r="D163" s="234" t="s">
        <v>4009</v>
      </c>
      <c r="E163" s="234" t="s">
        <v>19</v>
      </c>
      <c r="F163" s="234" t="s">
        <v>4015</v>
      </c>
      <c r="G163" s="234" t="s">
        <v>19</v>
      </c>
      <c r="H163" s="234" t="s">
        <v>4016</v>
      </c>
      <c r="I163" s="234" t="s">
        <v>19</v>
      </c>
      <c r="J163" s="234" t="s">
        <v>4017</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4018</v>
      </c>
      <c r="B164" s="234" t="s">
        <v>4019</v>
      </c>
      <c r="C164" s="234" t="s">
        <v>4020</v>
      </c>
      <c r="D164" s="234" t="s">
        <v>4021</v>
      </c>
      <c r="E164" s="234" t="s">
        <v>19</v>
      </c>
      <c r="F164" s="234" t="s">
        <v>19</v>
      </c>
      <c r="G164" s="234" t="s">
        <v>19</v>
      </c>
      <c r="H164" s="234" t="s">
        <v>4022</v>
      </c>
      <c r="I164" s="234" t="s">
        <v>4023</v>
      </c>
      <c r="J164" s="234" t="s">
        <v>4024</v>
      </c>
      <c r="K164" s="237">
        <f>IF(COUNTIF(L164:AY164,"&lt;&gt;")=0,"",SUMPRODUCT(((Recommendations[ImplStatus]="Implemented")+(Recommendations[ImplStatus]="Compensated"))*ISNUMBER(MATCH(Recommendations[Id],L164:AY164,0)))/COUNTIF(L164:AY164,"&lt;&gt;"))</f>
        <v>0</v>
      </c>
      <c r="L164" s="240" t="s">
        <v>108</v>
      </c>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4025</v>
      </c>
      <c r="B165" s="234" t="s">
        <v>4026</v>
      </c>
      <c r="C165" s="234" t="s">
        <v>4027</v>
      </c>
      <c r="D165" s="234" t="s">
        <v>19</v>
      </c>
      <c r="E165" s="234" t="s">
        <v>19</v>
      </c>
      <c r="F165" s="234" t="s">
        <v>19</v>
      </c>
      <c r="G165" s="234" t="s">
        <v>19</v>
      </c>
      <c r="H165" s="234" t="s">
        <v>4028</v>
      </c>
      <c r="I165" s="234" t="s">
        <v>19</v>
      </c>
      <c r="J165" s="234" t="s">
        <v>4029</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4030</v>
      </c>
      <c r="B166" s="234" t="s">
        <v>4031</v>
      </c>
      <c r="C166" s="234" t="s">
        <v>4032</v>
      </c>
      <c r="D166" s="234" t="s">
        <v>4033</v>
      </c>
      <c r="E166" s="234" t="s">
        <v>19</v>
      </c>
      <c r="F166" s="234" t="s">
        <v>19</v>
      </c>
      <c r="G166" s="234" t="s">
        <v>19</v>
      </c>
      <c r="H166" s="234" t="s">
        <v>4034</v>
      </c>
      <c r="I166" s="234" t="s">
        <v>4035</v>
      </c>
      <c r="J166" s="234" t="s">
        <v>4036</v>
      </c>
      <c r="K166" s="237">
        <f>IF(COUNTIF(L166:AY166,"&lt;&gt;")=0,"",SUMPRODUCT(((Recommendations[ImplStatus]="Implemented")+(Recommendations[ImplStatus]="Compensated"))*ISNUMBER(MATCH(Recommendations[Id],L166:AY166,0)))/COUNTIF(L166:AY166,"&lt;&gt;"))</f>
        <v>0</v>
      </c>
      <c r="L166" s="240" t="s">
        <v>88</v>
      </c>
      <c r="M166" s="240" t="s">
        <v>93</v>
      </c>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4037</v>
      </c>
      <c r="B167" s="234" t="s">
        <v>4038</v>
      </c>
      <c r="C167" s="234" t="s">
        <v>4039</v>
      </c>
      <c r="D167" s="234" t="s">
        <v>19</v>
      </c>
      <c r="E167" s="234" t="s">
        <v>19</v>
      </c>
      <c r="F167" s="234" t="s">
        <v>19</v>
      </c>
      <c r="G167" s="234" t="s">
        <v>19</v>
      </c>
      <c r="H167" s="234" t="s">
        <v>4040</v>
      </c>
      <c r="I167" s="234" t="s">
        <v>4041</v>
      </c>
      <c r="J167" s="234" t="s">
        <v>4042</v>
      </c>
      <c r="K167" s="237">
        <f>IF(COUNTIF(L167:AY167,"&lt;&gt;")=0,"",SUMPRODUCT(((Recommendations[ImplStatus]="Implemented")+(Recommendations[ImplStatus]="Compensated"))*ISNUMBER(MATCH(Recommendations[Id],L167:AY167,0)))/COUNTIF(L167:AY167,"&lt;&gt;"))</f>
        <v>0</v>
      </c>
      <c r="L167" s="240" t="s">
        <v>103</v>
      </c>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4043</v>
      </c>
      <c r="B168" s="234" t="s">
        <v>4044</v>
      </c>
      <c r="C168" s="234" t="s">
        <v>4045</v>
      </c>
      <c r="D168" s="234" t="s">
        <v>4046</v>
      </c>
      <c r="E168" s="234" t="s">
        <v>19</v>
      </c>
      <c r="F168" s="234" t="s">
        <v>19</v>
      </c>
      <c r="G168" s="234" t="s">
        <v>19</v>
      </c>
      <c r="H168" s="234" t="s">
        <v>4047</v>
      </c>
      <c r="I168" s="234" t="s">
        <v>19</v>
      </c>
      <c r="J168" s="234" t="s">
        <v>4048</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4049</v>
      </c>
      <c r="B169" s="234" t="s">
        <v>4050</v>
      </c>
      <c r="C169" s="234" t="s">
        <v>4051</v>
      </c>
      <c r="D169" s="234" t="s">
        <v>4052</v>
      </c>
      <c r="E169" s="234" t="s">
        <v>19</v>
      </c>
      <c r="F169" s="234" t="s">
        <v>19</v>
      </c>
      <c r="G169" s="234" t="s">
        <v>4053</v>
      </c>
      <c r="H169" s="234" t="s">
        <v>4054</v>
      </c>
      <c r="I169" s="234" t="s">
        <v>4055</v>
      </c>
      <c r="J169" s="234" t="s">
        <v>4056</v>
      </c>
      <c r="K169" s="237">
        <f>IF(COUNTIF(L169:AY169,"&lt;&gt;")=0,"",SUMPRODUCT(((Recommendations[ImplStatus]="Implemented")+(Recommendations[ImplStatus]="Compensated"))*ISNUMBER(MATCH(Recommendations[Id],L169:AY169,0)))/COUNTIF(L169:AY169,"&lt;&gt;"))</f>
        <v>0</v>
      </c>
      <c r="L169" s="240" t="s">
        <v>98</v>
      </c>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4057</v>
      </c>
      <c r="B170" s="234" t="s">
        <v>4058</v>
      </c>
      <c r="C170" s="234" t="s">
        <v>4059</v>
      </c>
      <c r="D170" s="234" t="s">
        <v>4060</v>
      </c>
      <c r="E170" s="234" t="s">
        <v>19</v>
      </c>
      <c r="F170" s="234" t="s">
        <v>19</v>
      </c>
      <c r="G170" s="234" t="s">
        <v>19</v>
      </c>
      <c r="H170" s="234" t="s">
        <v>4061</v>
      </c>
      <c r="I170" s="234" t="s">
        <v>4062</v>
      </c>
      <c r="J170" s="234" t="s">
        <v>4063</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4064</v>
      </c>
      <c r="B171" s="234" t="s">
        <v>4065</v>
      </c>
      <c r="C171" s="234" t="s">
        <v>4059</v>
      </c>
      <c r="D171" s="234" t="s">
        <v>4066</v>
      </c>
      <c r="E171" s="234" t="s">
        <v>19</v>
      </c>
      <c r="F171" s="234" t="s">
        <v>19</v>
      </c>
      <c r="G171" s="234" t="s">
        <v>4067</v>
      </c>
      <c r="H171" s="234" t="s">
        <v>4061</v>
      </c>
      <c r="I171" s="234" t="s">
        <v>4068</v>
      </c>
      <c r="J171" s="234" t="s">
        <v>4069</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4070</v>
      </c>
      <c r="B172" s="234" t="s">
        <v>4071</v>
      </c>
      <c r="C172" s="234" t="s">
        <v>4072</v>
      </c>
      <c r="D172" s="234" t="s">
        <v>4073</v>
      </c>
      <c r="E172" s="234" t="s">
        <v>19</v>
      </c>
      <c r="F172" s="234" t="s">
        <v>19</v>
      </c>
      <c r="G172" s="234" t="s">
        <v>19</v>
      </c>
      <c r="H172" s="234" t="s">
        <v>4074</v>
      </c>
      <c r="I172" s="234" t="s">
        <v>19</v>
      </c>
      <c r="J172" s="234" t="s">
        <v>4075</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679</v>
      </c>
      <c r="B173" s="233" t="s">
        <v>4076</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4077</v>
      </c>
      <c r="B174" s="234" t="s">
        <v>4078</v>
      </c>
      <c r="C174" s="234" t="s">
        <v>4079</v>
      </c>
      <c r="D174" s="234" t="s">
        <v>4080</v>
      </c>
      <c r="E174" s="234" t="s">
        <v>4081</v>
      </c>
      <c r="F174" s="234" t="s">
        <v>19</v>
      </c>
      <c r="G174" s="234" t="s">
        <v>19</v>
      </c>
      <c r="H174" s="234" t="s">
        <v>4082</v>
      </c>
      <c r="I174" s="234" t="s">
        <v>4083</v>
      </c>
      <c r="J174" s="234" t="s">
        <v>4084</v>
      </c>
      <c r="K174" s="237">
        <f>IF(COUNTIF(L174:AY174,"&lt;&gt;")=0,"",SUMPRODUCT(((Recommendations[ImplStatus]="Implemented")+(Recommendations[ImplStatus]="Compensated"))*ISNUMBER(MATCH(Recommendations[Id],L174:AY174,0)))/COUNTIF(L174:AY174,"&lt;&gt;"))</f>
        <v>0</v>
      </c>
      <c r="L174" s="240" t="s">
        <v>53</v>
      </c>
      <c r="M174" s="240" t="s">
        <v>113</v>
      </c>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4085</v>
      </c>
      <c r="B175" s="234" t="s">
        <v>4086</v>
      </c>
      <c r="C175" s="234" t="s">
        <v>4087</v>
      </c>
      <c r="D175" s="234" t="s">
        <v>19</v>
      </c>
      <c r="E175" s="234" t="s">
        <v>4088</v>
      </c>
      <c r="F175" s="234" t="s">
        <v>19</v>
      </c>
      <c r="G175" s="234" t="s">
        <v>19</v>
      </c>
      <c r="H175" s="234" t="s">
        <v>4089</v>
      </c>
      <c r="I175" s="234" t="s">
        <v>19</v>
      </c>
      <c r="J175" s="234" t="s">
        <v>4090</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4091</v>
      </c>
      <c r="B176" s="234" t="s">
        <v>4092</v>
      </c>
      <c r="C176" s="234" t="s">
        <v>4093</v>
      </c>
      <c r="D176" s="234" t="s">
        <v>19</v>
      </c>
      <c r="E176" s="234" t="s">
        <v>4094</v>
      </c>
      <c r="F176" s="234" t="s">
        <v>19</v>
      </c>
      <c r="G176" s="234" t="s">
        <v>19</v>
      </c>
      <c r="H176" s="234" t="s">
        <v>4095</v>
      </c>
      <c r="I176" s="234" t="s">
        <v>4096</v>
      </c>
      <c r="J176" s="234" t="s">
        <v>4097</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684</v>
      </c>
      <c r="B177" s="233" t="s">
        <v>4098</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4099</v>
      </c>
      <c r="B178" s="234" t="s">
        <v>4100</v>
      </c>
      <c r="C178" s="234" t="s">
        <v>4101</v>
      </c>
      <c r="D178" s="234" t="s">
        <v>4102</v>
      </c>
      <c r="E178" s="234" t="s">
        <v>4103</v>
      </c>
      <c r="F178" s="234" t="s">
        <v>4104</v>
      </c>
      <c r="G178" s="234" t="s">
        <v>19</v>
      </c>
      <c r="H178" s="234" t="s">
        <v>4105</v>
      </c>
      <c r="I178" s="234" t="s">
        <v>4106</v>
      </c>
      <c r="J178" s="234" t="s">
        <v>4107</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688</v>
      </c>
      <c r="B179" s="233" t="s">
        <v>4108</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4109</v>
      </c>
      <c r="B180" s="234" t="s">
        <v>4110</v>
      </c>
      <c r="C180" s="234" t="s">
        <v>4111</v>
      </c>
      <c r="D180" s="234" t="s">
        <v>4102</v>
      </c>
      <c r="E180" s="234" t="s">
        <v>4112</v>
      </c>
      <c r="F180" s="234" t="s">
        <v>19</v>
      </c>
      <c r="G180" s="234" t="s">
        <v>19</v>
      </c>
      <c r="H180" s="234" t="s">
        <v>4113</v>
      </c>
      <c r="I180" s="234" t="s">
        <v>3625</v>
      </c>
      <c r="J180" s="234" t="s">
        <v>4114</v>
      </c>
      <c r="K180" s="237">
        <f>IF(COUNTIF(L180:AY180,"&lt;&gt;")=0,"",SUMPRODUCT(((Recommendations[ImplStatus]="Implemented")+(Recommendations[ImplStatus]="Compensated"))*ISNUMBER(MATCH(Recommendations[Id],L180:AY180,0)))/COUNTIF(L180:AY180,"&lt;&gt;"))</f>
        <v>0</v>
      </c>
      <c r="L180" s="240" t="s">
        <v>78</v>
      </c>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4115</v>
      </c>
      <c r="B181" s="234" t="s">
        <v>4116</v>
      </c>
      <c r="C181" s="234" t="s">
        <v>4117</v>
      </c>
      <c r="D181" s="234" t="s">
        <v>4118</v>
      </c>
      <c r="E181" s="234" t="s">
        <v>19</v>
      </c>
      <c r="F181" s="234" t="s">
        <v>19</v>
      </c>
      <c r="G181" s="234" t="s">
        <v>19</v>
      </c>
      <c r="H181" s="234" t="s">
        <v>4119</v>
      </c>
      <c r="I181" s="234" t="s">
        <v>4120</v>
      </c>
      <c r="J181" s="234" t="s">
        <v>4121</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4122</v>
      </c>
      <c r="B182" s="234" t="s">
        <v>4123</v>
      </c>
      <c r="C182" s="234" t="s">
        <v>4124</v>
      </c>
      <c r="D182" s="234" t="s">
        <v>4125</v>
      </c>
      <c r="E182" s="234" t="s">
        <v>19</v>
      </c>
      <c r="F182" s="234" t="s">
        <v>19</v>
      </c>
      <c r="G182" s="234" t="s">
        <v>19</v>
      </c>
      <c r="H182" s="234" t="s">
        <v>4126</v>
      </c>
      <c r="I182" s="234" t="s">
        <v>3625</v>
      </c>
      <c r="J182" s="234" t="s">
        <v>4127</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4128</v>
      </c>
      <c r="B183" s="232" t="s">
        <v>4129</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718</v>
      </c>
      <c r="B184" s="233" t="s">
        <v>4130</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4131</v>
      </c>
      <c r="B185" s="234" t="s">
        <v>4132</v>
      </c>
      <c r="C185" s="234" t="s">
        <v>4133</v>
      </c>
      <c r="D185" s="234" t="s">
        <v>3397</v>
      </c>
      <c r="E185" s="234" t="s">
        <v>4134</v>
      </c>
      <c r="F185" s="234" t="s">
        <v>19</v>
      </c>
      <c r="G185" s="234" t="s">
        <v>19</v>
      </c>
      <c r="H185" s="234" t="s">
        <v>4135</v>
      </c>
      <c r="I185" s="234" t="s">
        <v>19</v>
      </c>
      <c r="J185" s="234" t="s">
        <v>4136</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4137</v>
      </c>
      <c r="B186" s="234" t="s">
        <v>4138</v>
      </c>
      <c r="C186" s="234" t="s">
        <v>3402</v>
      </c>
      <c r="D186" s="234" t="s">
        <v>4139</v>
      </c>
      <c r="E186" s="234" t="s">
        <v>19</v>
      </c>
      <c r="F186" s="234" t="s">
        <v>19</v>
      </c>
      <c r="G186" s="234" t="s">
        <v>19</v>
      </c>
      <c r="H186" s="234" t="s">
        <v>4140</v>
      </c>
      <c r="I186" s="234" t="s">
        <v>19</v>
      </c>
      <c r="J186" s="234" t="s">
        <v>4141</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722</v>
      </c>
      <c r="B187" s="233" t="s">
        <v>4142</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4143</v>
      </c>
      <c r="B188" s="234" t="s">
        <v>4144</v>
      </c>
      <c r="C188" s="234" t="s">
        <v>4145</v>
      </c>
      <c r="D188" s="234" t="s">
        <v>4146</v>
      </c>
      <c r="E188" s="234" t="s">
        <v>19</v>
      </c>
      <c r="F188" s="234" t="s">
        <v>4147</v>
      </c>
      <c r="G188" s="234" t="s">
        <v>19</v>
      </c>
      <c r="H188" s="234" t="s">
        <v>4148</v>
      </c>
      <c r="I188" s="234" t="s">
        <v>4149</v>
      </c>
      <c r="J188" s="234" t="s">
        <v>4150</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4151</v>
      </c>
      <c r="B189" s="234" t="s">
        <v>4152</v>
      </c>
      <c r="C189" s="234" t="s">
        <v>4153</v>
      </c>
      <c r="D189" s="234" t="s">
        <v>4154</v>
      </c>
      <c r="E189" s="234" t="s">
        <v>19</v>
      </c>
      <c r="F189" s="234" t="s">
        <v>19</v>
      </c>
      <c r="G189" s="234" t="s">
        <v>19</v>
      </c>
      <c r="H189" s="234" t="s">
        <v>4155</v>
      </c>
      <c r="I189" s="234" t="s">
        <v>19</v>
      </c>
      <c r="J189" s="234" t="s">
        <v>4156</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4157</v>
      </c>
      <c r="B190" s="234" t="s">
        <v>4158</v>
      </c>
      <c r="C190" s="234" t="s">
        <v>4159</v>
      </c>
      <c r="D190" s="234" t="s">
        <v>4160</v>
      </c>
      <c r="E190" s="234" t="s">
        <v>19</v>
      </c>
      <c r="F190" s="234" t="s">
        <v>4161</v>
      </c>
      <c r="G190" s="234" t="s">
        <v>19</v>
      </c>
      <c r="H190" s="234" t="s">
        <v>4162</v>
      </c>
      <c r="I190" s="234" t="s">
        <v>19</v>
      </c>
      <c r="J190" s="234" t="s">
        <v>4163</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4164</v>
      </c>
      <c r="B191" s="234" t="s">
        <v>4165</v>
      </c>
      <c r="C191" s="234" t="s">
        <v>4166</v>
      </c>
      <c r="D191" s="234" t="s">
        <v>19</v>
      </c>
      <c r="E191" s="234" t="s">
        <v>19</v>
      </c>
      <c r="F191" s="234" t="s">
        <v>19</v>
      </c>
      <c r="G191" s="234" t="s">
        <v>19</v>
      </c>
      <c r="H191" s="234" t="s">
        <v>4167</v>
      </c>
      <c r="I191" s="234" t="s">
        <v>19</v>
      </c>
      <c r="J191" s="234" t="s">
        <v>4168</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4169</v>
      </c>
      <c r="B192" s="234" t="s">
        <v>4170</v>
      </c>
      <c r="C192" s="234" t="s">
        <v>4171</v>
      </c>
      <c r="D192" s="234" t="s">
        <v>4172</v>
      </c>
      <c r="E192" s="234" t="s">
        <v>4173</v>
      </c>
      <c r="F192" s="234" t="s">
        <v>19</v>
      </c>
      <c r="G192" s="234" t="s">
        <v>19</v>
      </c>
      <c r="H192" s="234" t="s">
        <v>4174</v>
      </c>
      <c r="I192" s="234" t="s">
        <v>19</v>
      </c>
      <c r="J192" s="234" t="s">
        <v>4175</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726</v>
      </c>
      <c r="B193" s="233" t="s">
        <v>4176</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4177</v>
      </c>
      <c r="B194" s="234" t="s">
        <v>4178</v>
      </c>
      <c r="C194" s="234" t="s">
        <v>4179</v>
      </c>
      <c r="D194" s="234" t="s">
        <v>4172</v>
      </c>
      <c r="E194" s="234" t="s">
        <v>4173</v>
      </c>
      <c r="F194" s="234" t="s">
        <v>4180</v>
      </c>
      <c r="G194" s="234" t="s">
        <v>19</v>
      </c>
      <c r="H194" s="234" t="s">
        <v>4181</v>
      </c>
      <c r="I194" s="234" t="s">
        <v>19</v>
      </c>
      <c r="J194" s="234" t="s">
        <v>4182</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4183</v>
      </c>
      <c r="B195" s="234" t="s">
        <v>4184</v>
      </c>
      <c r="C195" s="234" t="s">
        <v>4185</v>
      </c>
      <c r="D195" s="234" t="s">
        <v>4186</v>
      </c>
      <c r="E195" s="234" t="s">
        <v>19</v>
      </c>
      <c r="F195" s="234" t="s">
        <v>19</v>
      </c>
      <c r="G195" s="234" t="s">
        <v>19</v>
      </c>
      <c r="H195" s="234" t="s">
        <v>4187</v>
      </c>
      <c r="I195" s="234" t="s">
        <v>19</v>
      </c>
      <c r="J195" s="234" t="s">
        <v>4188</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4189</v>
      </c>
      <c r="B196" s="234" t="s">
        <v>4190</v>
      </c>
      <c r="C196" s="234" t="s">
        <v>4191</v>
      </c>
      <c r="D196" s="234" t="s">
        <v>19</v>
      </c>
      <c r="E196" s="234" t="s">
        <v>4192</v>
      </c>
      <c r="F196" s="234" t="s">
        <v>19</v>
      </c>
      <c r="G196" s="234" t="s">
        <v>19</v>
      </c>
      <c r="H196" s="234" t="s">
        <v>4193</v>
      </c>
      <c r="I196" s="234" t="s">
        <v>19</v>
      </c>
      <c r="J196" s="234" t="s">
        <v>4194</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4195</v>
      </c>
      <c r="B197" s="234" t="s">
        <v>4196</v>
      </c>
      <c r="C197" s="234" t="s">
        <v>4197</v>
      </c>
      <c r="D197" s="234" t="s">
        <v>19</v>
      </c>
      <c r="E197" s="234" t="s">
        <v>19</v>
      </c>
      <c r="F197" s="234" t="s">
        <v>19</v>
      </c>
      <c r="G197" s="234" t="s">
        <v>19</v>
      </c>
      <c r="H197" s="234" t="s">
        <v>4198</v>
      </c>
      <c r="I197" s="234" t="s">
        <v>19</v>
      </c>
      <c r="J197" s="234" t="s">
        <v>4199</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4200</v>
      </c>
      <c r="B198" s="234" t="s">
        <v>4201</v>
      </c>
      <c r="C198" s="234" t="s">
        <v>4202</v>
      </c>
      <c r="D198" s="234" t="s">
        <v>4203</v>
      </c>
      <c r="E198" s="234" t="s">
        <v>19</v>
      </c>
      <c r="F198" s="234" t="s">
        <v>19</v>
      </c>
      <c r="G198" s="234" t="s">
        <v>19</v>
      </c>
      <c r="H198" s="234" t="s">
        <v>4204</v>
      </c>
      <c r="I198" s="234" t="s">
        <v>19</v>
      </c>
      <c r="J198" s="234" t="s">
        <v>4205</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730</v>
      </c>
      <c r="B199" s="233" t="s">
        <v>4206</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4207</v>
      </c>
      <c r="B200" s="234" t="s">
        <v>4208</v>
      </c>
      <c r="C200" s="234" t="s">
        <v>4209</v>
      </c>
      <c r="D200" s="234" t="s">
        <v>19</v>
      </c>
      <c r="E200" s="234" t="s">
        <v>19</v>
      </c>
      <c r="F200" s="234" t="s">
        <v>19</v>
      </c>
      <c r="G200" s="234" t="s">
        <v>19</v>
      </c>
      <c r="H200" s="234" t="s">
        <v>4210</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4211</v>
      </c>
      <c r="B201" s="234" t="s">
        <v>4212</v>
      </c>
      <c r="C201" s="234" t="s">
        <v>4213</v>
      </c>
      <c r="D201" s="234" t="s">
        <v>4214</v>
      </c>
      <c r="E201" s="234" t="s">
        <v>19</v>
      </c>
      <c r="F201" s="234" t="s">
        <v>19</v>
      </c>
      <c r="G201" s="234" t="s">
        <v>19</v>
      </c>
      <c r="H201" s="234" t="s">
        <v>4215</v>
      </c>
      <c r="I201" s="234" t="s">
        <v>19</v>
      </c>
      <c r="J201" s="234" t="s">
        <v>4216</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4217</v>
      </c>
      <c r="B202" s="234" t="s">
        <v>4218</v>
      </c>
      <c r="C202" s="234" t="s">
        <v>4219</v>
      </c>
      <c r="D202" s="234" t="s">
        <v>19</v>
      </c>
      <c r="E202" s="234" t="s">
        <v>19</v>
      </c>
      <c r="F202" s="234" t="s">
        <v>19</v>
      </c>
      <c r="G202" s="234" t="s">
        <v>19</v>
      </c>
      <c r="H202" s="234" t="s">
        <v>4220</v>
      </c>
      <c r="I202" s="234" t="s">
        <v>19</v>
      </c>
      <c r="J202" s="234" t="s">
        <v>4221</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4222</v>
      </c>
      <c r="B203" s="234" t="s">
        <v>4223</v>
      </c>
      <c r="C203" s="234" t="s">
        <v>4224</v>
      </c>
      <c r="D203" s="234" t="s">
        <v>4225</v>
      </c>
      <c r="E203" s="234" t="s">
        <v>19</v>
      </c>
      <c r="F203" s="234" t="s">
        <v>19</v>
      </c>
      <c r="G203" s="234" t="s">
        <v>19</v>
      </c>
      <c r="H203" s="234" t="s">
        <v>4226</v>
      </c>
      <c r="I203" s="234" t="s">
        <v>19</v>
      </c>
      <c r="J203" s="234" t="s">
        <v>4227</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4228</v>
      </c>
      <c r="B204" s="234" t="s">
        <v>4229</v>
      </c>
      <c r="C204" s="234" t="s">
        <v>4230</v>
      </c>
      <c r="D204" s="234" t="s">
        <v>19</v>
      </c>
      <c r="E204" s="234" t="s">
        <v>19</v>
      </c>
      <c r="F204" s="234" t="s">
        <v>19</v>
      </c>
      <c r="G204" s="234" t="s">
        <v>19</v>
      </c>
      <c r="H204" s="234" t="s">
        <v>4231</v>
      </c>
      <c r="I204" s="234" t="s">
        <v>19</v>
      </c>
      <c r="J204" s="234" t="s">
        <v>4232</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4233</v>
      </c>
      <c r="B205" s="234" t="s">
        <v>4234</v>
      </c>
      <c r="C205" s="234" t="s">
        <v>4235</v>
      </c>
      <c r="D205" s="234" t="s">
        <v>19</v>
      </c>
      <c r="E205" s="234" t="s">
        <v>19</v>
      </c>
      <c r="F205" s="234" t="s">
        <v>19</v>
      </c>
      <c r="G205" s="234" t="s">
        <v>19</v>
      </c>
      <c r="H205" s="234" t="s">
        <v>4236</v>
      </c>
      <c r="I205" s="234" t="s">
        <v>4237</v>
      </c>
      <c r="J205" s="234" t="s">
        <v>4238</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4239</v>
      </c>
      <c r="B206" s="234" t="s">
        <v>4240</v>
      </c>
      <c r="C206" s="234" t="s">
        <v>4241</v>
      </c>
      <c r="D206" s="234" t="s">
        <v>19</v>
      </c>
      <c r="E206" s="234" t="s">
        <v>19</v>
      </c>
      <c r="F206" s="234" t="s">
        <v>19</v>
      </c>
      <c r="G206" s="234" t="s">
        <v>19</v>
      </c>
      <c r="H206" s="234" t="s">
        <v>4242</v>
      </c>
      <c r="I206" s="234" t="s">
        <v>19</v>
      </c>
      <c r="J206" s="234" t="s">
        <v>4243</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4244</v>
      </c>
      <c r="B207" s="234" t="s">
        <v>4245</v>
      </c>
      <c r="C207" s="234" t="s">
        <v>4241</v>
      </c>
      <c r="D207" s="234" t="s">
        <v>4246</v>
      </c>
      <c r="E207" s="234" t="s">
        <v>19</v>
      </c>
      <c r="F207" s="234" t="s">
        <v>19</v>
      </c>
      <c r="G207" s="234" t="s">
        <v>19</v>
      </c>
      <c r="H207" s="234" t="s">
        <v>4247</v>
      </c>
      <c r="I207" s="234" t="s">
        <v>19</v>
      </c>
      <c r="J207" s="234" t="s">
        <v>4248</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4249</v>
      </c>
      <c r="B208" s="234" t="s">
        <v>4250</v>
      </c>
      <c r="C208" s="234" t="s">
        <v>4251</v>
      </c>
      <c r="D208" s="234" t="s">
        <v>4246</v>
      </c>
      <c r="E208" s="234" t="s">
        <v>19</v>
      </c>
      <c r="F208" s="234" t="s">
        <v>4252</v>
      </c>
      <c r="G208" s="234" t="s">
        <v>4253</v>
      </c>
      <c r="H208" s="234" t="s">
        <v>4254</v>
      </c>
      <c r="I208" s="234" t="s">
        <v>4255</v>
      </c>
      <c r="J208" s="234" t="s">
        <v>4256</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4257</v>
      </c>
      <c r="B209" s="234" t="s">
        <v>4258</v>
      </c>
      <c r="C209" s="234" t="s">
        <v>4259</v>
      </c>
      <c r="D209" s="234" t="s">
        <v>4260</v>
      </c>
      <c r="E209" s="234" t="s">
        <v>19</v>
      </c>
      <c r="F209" s="234" t="s">
        <v>4252</v>
      </c>
      <c r="G209" s="234" t="s">
        <v>4261</v>
      </c>
      <c r="H209" s="234" t="s">
        <v>4262</v>
      </c>
      <c r="I209" s="234" t="s">
        <v>4255</v>
      </c>
      <c r="J209" s="234" t="s">
        <v>4263</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734</v>
      </c>
      <c r="B210" s="233" t="s">
        <v>4264</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4265</v>
      </c>
      <c r="B211" s="234" t="s">
        <v>4266</v>
      </c>
      <c r="C211" s="234" t="s">
        <v>4267</v>
      </c>
      <c r="D211" s="234" t="s">
        <v>4268</v>
      </c>
      <c r="E211" s="234" t="s">
        <v>19</v>
      </c>
      <c r="F211" s="234" t="s">
        <v>19</v>
      </c>
      <c r="G211" s="234" t="s">
        <v>4269</v>
      </c>
      <c r="H211" s="234" t="s">
        <v>4270</v>
      </c>
      <c r="I211" s="234" t="s">
        <v>4271</v>
      </c>
      <c r="J211" s="234" t="s">
        <v>4272</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4273</v>
      </c>
      <c r="B212" s="234" t="s">
        <v>4274</v>
      </c>
      <c r="C212" s="234" t="s">
        <v>4275</v>
      </c>
      <c r="D212" s="234" t="s">
        <v>4276</v>
      </c>
      <c r="E212" s="234" t="s">
        <v>19</v>
      </c>
      <c r="F212" s="234" t="s">
        <v>4277</v>
      </c>
      <c r="G212" s="234" t="s">
        <v>19</v>
      </c>
      <c r="H212" s="234" t="s">
        <v>19</v>
      </c>
      <c r="I212" s="234" t="s">
        <v>19</v>
      </c>
      <c r="J212" s="234" t="s">
        <v>4278</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4279</v>
      </c>
      <c r="B213" s="234" t="s">
        <v>4280</v>
      </c>
      <c r="C213" s="234" t="s">
        <v>4281</v>
      </c>
      <c r="D213" s="234" t="s">
        <v>4282</v>
      </c>
      <c r="E213" s="234" t="s">
        <v>19</v>
      </c>
      <c r="F213" s="234" t="s">
        <v>4283</v>
      </c>
      <c r="G213" s="234" t="s">
        <v>19</v>
      </c>
      <c r="H213" s="234" t="s">
        <v>4284</v>
      </c>
      <c r="I213" s="234" t="s">
        <v>19</v>
      </c>
      <c r="J213" s="234" t="s">
        <v>4285</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4286</v>
      </c>
      <c r="B214" s="234" t="s">
        <v>4287</v>
      </c>
      <c r="C214" s="234" t="s">
        <v>4288</v>
      </c>
      <c r="D214" s="234" t="s">
        <v>4289</v>
      </c>
      <c r="E214" s="234" t="s">
        <v>19</v>
      </c>
      <c r="F214" s="234" t="s">
        <v>19</v>
      </c>
      <c r="G214" s="234" t="s">
        <v>19</v>
      </c>
      <c r="H214" s="234" t="s">
        <v>4290</v>
      </c>
      <c r="I214" s="234" t="s">
        <v>3625</v>
      </c>
      <c r="J214" s="234" t="s">
        <v>4291</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4292</v>
      </c>
      <c r="B215" s="234" t="s">
        <v>4293</v>
      </c>
      <c r="C215" s="234" t="s">
        <v>4294</v>
      </c>
      <c r="D215" s="234" t="s">
        <v>4295</v>
      </c>
      <c r="E215" s="234" t="s">
        <v>19</v>
      </c>
      <c r="F215" s="234" t="s">
        <v>19</v>
      </c>
      <c r="G215" s="234" t="s">
        <v>19</v>
      </c>
      <c r="H215" s="234" t="s">
        <v>4296</v>
      </c>
      <c r="I215" s="234" t="s">
        <v>19</v>
      </c>
      <c r="J215" s="234" t="s">
        <v>4297</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4298</v>
      </c>
      <c r="B216" s="232" t="s">
        <v>4299</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748</v>
      </c>
      <c r="B217" s="233" t="s">
        <v>4300</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4301</v>
      </c>
      <c r="B218" s="234" t="s">
        <v>4302</v>
      </c>
      <c r="C218" s="234" t="s">
        <v>4303</v>
      </c>
      <c r="D218" s="234" t="s">
        <v>3397</v>
      </c>
      <c r="E218" s="234" t="s">
        <v>3183</v>
      </c>
      <c r="F218" s="234" t="s">
        <v>19</v>
      </c>
      <c r="G218" s="234" t="s">
        <v>19</v>
      </c>
      <c r="H218" s="234" t="s">
        <v>4304</v>
      </c>
      <c r="I218" s="234" t="s">
        <v>19</v>
      </c>
      <c r="J218" s="234" t="s">
        <v>4305</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4306</v>
      </c>
      <c r="B219" s="234" t="s">
        <v>4307</v>
      </c>
      <c r="C219" s="234" t="s">
        <v>3188</v>
      </c>
      <c r="D219" s="234" t="s">
        <v>3189</v>
      </c>
      <c r="E219" s="234" t="s">
        <v>19</v>
      </c>
      <c r="F219" s="234" t="s">
        <v>3191</v>
      </c>
      <c r="G219" s="234" t="s">
        <v>19</v>
      </c>
      <c r="H219" s="234" t="s">
        <v>4308</v>
      </c>
      <c r="I219" s="234" t="s">
        <v>19</v>
      </c>
      <c r="J219" s="234" t="s">
        <v>4309</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752</v>
      </c>
      <c r="B220" s="233" t="s">
        <v>4310</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4311</v>
      </c>
      <c r="B221" s="234" t="s">
        <v>4312</v>
      </c>
      <c r="C221" s="234" t="s">
        <v>4313</v>
      </c>
      <c r="D221" s="234" t="s">
        <v>4314</v>
      </c>
      <c r="E221" s="234" t="s">
        <v>19</v>
      </c>
      <c r="F221" s="234" t="s">
        <v>19</v>
      </c>
      <c r="G221" s="234" t="s">
        <v>19</v>
      </c>
      <c r="H221" s="234" t="s">
        <v>4315</v>
      </c>
      <c r="I221" s="234" t="s">
        <v>19</v>
      </c>
      <c r="J221" s="234" t="s">
        <v>4316</v>
      </c>
      <c r="K221" s="237" t="str">
        <f>IF(COUNTIF(L221:AY221,"&lt;&gt;")=0,"",SUMPRODUCT(((Recommendations[ImplStatus]="Implemented")+(Recommendations[ImplStatus]="Compensated"))*ISNUMBER(MATCH(Recommendations[Id],L221:AY221,0)))/COUNTIF(L221:AY221,"&lt;&gt;"))</f>
        <v/>
      </c>
      <c r="L221" s="240"/>
      <c r="M221" s="240"/>
      <c r="N221" s="240"/>
      <c r="O221" s="240"/>
      <c r="P221" s="240"/>
      <c r="Q221" s="240"/>
      <c r="R221" s="240"/>
      <c r="S221" s="240"/>
      <c r="T221" s="240"/>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4317</v>
      </c>
      <c r="B222" s="234" t="s">
        <v>4318</v>
      </c>
      <c r="C222" s="234" t="s">
        <v>4319</v>
      </c>
      <c r="D222" s="234" t="s">
        <v>4320</v>
      </c>
      <c r="E222" s="234" t="s">
        <v>19</v>
      </c>
      <c r="F222" s="234" t="s">
        <v>19</v>
      </c>
      <c r="G222" s="234" t="s">
        <v>19</v>
      </c>
      <c r="H222" s="234" t="s">
        <v>4321</v>
      </c>
      <c r="I222" s="234" t="s">
        <v>19</v>
      </c>
      <c r="J222" s="234" t="s">
        <v>4322</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4323</v>
      </c>
      <c r="B223" s="234" t="s">
        <v>4324</v>
      </c>
      <c r="C223" s="234" t="s">
        <v>4325</v>
      </c>
      <c r="D223" s="234" t="s">
        <v>19</v>
      </c>
      <c r="E223" s="234" t="s">
        <v>4326</v>
      </c>
      <c r="F223" s="234" t="s">
        <v>19</v>
      </c>
      <c r="G223" s="234" t="s">
        <v>19</v>
      </c>
      <c r="H223" s="234" t="s">
        <v>4327</v>
      </c>
      <c r="I223" s="234" t="s">
        <v>19</v>
      </c>
      <c r="J223" s="234" t="s">
        <v>4328</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4329</v>
      </c>
      <c r="B224" s="234" t="s">
        <v>4330</v>
      </c>
      <c r="C224" s="234" t="s">
        <v>4331</v>
      </c>
      <c r="D224" s="234" t="s">
        <v>19</v>
      </c>
      <c r="E224" s="234" t="s">
        <v>19</v>
      </c>
      <c r="F224" s="234" t="s">
        <v>19</v>
      </c>
      <c r="G224" s="234" t="s">
        <v>19</v>
      </c>
      <c r="H224" s="234" t="s">
        <v>4332</v>
      </c>
      <c r="I224" s="234" t="s">
        <v>19</v>
      </c>
      <c r="J224" s="234" t="s">
        <v>4333</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4334</v>
      </c>
      <c r="B225" s="234" t="s">
        <v>4335</v>
      </c>
      <c r="C225" s="234" t="s">
        <v>4336</v>
      </c>
      <c r="D225" s="234" t="s">
        <v>19</v>
      </c>
      <c r="E225" s="234" t="s">
        <v>19</v>
      </c>
      <c r="F225" s="234" t="s">
        <v>19</v>
      </c>
      <c r="G225" s="234" t="s">
        <v>19</v>
      </c>
      <c r="H225" s="234" t="s">
        <v>4337</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4338</v>
      </c>
      <c r="B226" s="234" t="s">
        <v>4339</v>
      </c>
      <c r="C226" s="234" t="s">
        <v>4340</v>
      </c>
      <c r="D226" s="234" t="s">
        <v>19</v>
      </c>
      <c r="E226" s="234" t="s">
        <v>19</v>
      </c>
      <c r="F226" s="234" t="s">
        <v>19</v>
      </c>
      <c r="G226" s="234" t="s">
        <v>19</v>
      </c>
      <c r="H226" s="234" t="s">
        <v>4341</v>
      </c>
      <c r="I226" s="234" t="s">
        <v>19</v>
      </c>
      <c r="J226" s="234" t="s">
        <v>4342</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4343</v>
      </c>
      <c r="B227" s="234" t="s">
        <v>4344</v>
      </c>
      <c r="C227" s="234" t="s">
        <v>4345</v>
      </c>
      <c r="D227" s="234" t="s">
        <v>19</v>
      </c>
      <c r="E227" s="234" t="s">
        <v>19</v>
      </c>
      <c r="F227" s="234" t="s">
        <v>19</v>
      </c>
      <c r="G227" s="234" t="s">
        <v>19</v>
      </c>
      <c r="H227" s="234" t="s">
        <v>4346</v>
      </c>
      <c r="I227" s="234" t="s">
        <v>19</v>
      </c>
      <c r="J227" s="234" t="s">
        <v>4347</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4348</v>
      </c>
      <c r="B228" s="234" t="s">
        <v>4349</v>
      </c>
      <c r="C228" s="234" t="s">
        <v>4350</v>
      </c>
      <c r="D228" s="234" t="s">
        <v>19</v>
      </c>
      <c r="E228" s="234" t="s">
        <v>19</v>
      </c>
      <c r="F228" s="234" t="s">
        <v>19</v>
      </c>
      <c r="G228" s="234" t="s">
        <v>19</v>
      </c>
      <c r="H228" s="234" t="s">
        <v>4351</v>
      </c>
      <c r="I228" s="234" t="s">
        <v>19</v>
      </c>
      <c r="J228" s="234" t="s">
        <v>4352</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4353</v>
      </c>
      <c r="B229" s="234" t="s">
        <v>4354</v>
      </c>
      <c r="C229" s="234" t="s">
        <v>4355</v>
      </c>
      <c r="D229" s="234" t="s">
        <v>19</v>
      </c>
      <c r="E229" s="234" t="s">
        <v>19</v>
      </c>
      <c r="F229" s="234" t="s">
        <v>19</v>
      </c>
      <c r="G229" s="234" t="s">
        <v>19</v>
      </c>
      <c r="H229" s="234" t="s">
        <v>4356</v>
      </c>
      <c r="I229" s="234" t="s">
        <v>19</v>
      </c>
      <c r="J229" s="234" t="s">
        <v>4357</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756</v>
      </c>
      <c r="B230" s="233" t="s">
        <v>4358</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4359</v>
      </c>
      <c r="B231" s="234" t="s">
        <v>4360</v>
      </c>
      <c r="C231" s="234" t="s">
        <v>4361</v>
      </c>
      <c r="D231" s="234" t="s">
        <v>4362</v>
      </c>
      <c r="E231" s="234" t="s">
        <v>19</v>
      </c>
      <c r="F231" s="234" t="s">
        <v>19</v>
      </c>
      <c r="G231" s="234" t="s">
        <v>19</v>
      </c>
      <c r="H231" s="234" t="s">
        <v>4363</v>
      </c>
      <c r="I231" s="234" t="s">
        <v>19</v>
      </c>
      <c r="J231" s="234" t="s">
        <v>4364</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4365</v>
      </c>
      <c r="B232" s="234" t="s">
        <v>4366</v>
      </c>
      <c r="C232" s="234" t="s">
        <v>4367</v>
      </c>
      <c r="D232" s="234" t="s">
        <v>4368</v>
      </c>
      <c r="E232" s="234" t="s">
        <v>19</v>
      </c>
      <c r="F232" s="234" t="s">
        <v>19</v>
      </c>
      <c r="G232" s="234" t="s">
        <v>19</v>
      </c>
      <c r="H232" s="234" t="s">
        <v>4369</v>
      </c>
      <c r="I232" s="234" t="s">
        <v>19</v>
      </c>
      <c r="J232" s="234" t="s">
        <v>4370</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4371</v>
      </c>
      <c r="B233" s="234" t="s">
        <v>4372</v>
      </c>
      <c r="C233" s="234" t="s">
        <v>4373</v>
      </c>
      <c r="D233" s="234" t="s">
        <v>4374</v>
      </c>
      <c r="E233" s="234" t="s">
        <v>19</v>
      </c>
      <c r="F233" s="234" t="s">
        <v>19</v>
      </c>
      <c r="G233" s="234" t="s">
        <v>19</v>
      </c>
      <c r="H233" s="234" t="s">
        <v>4375</v>
      </c>
      <c r="I233" s="234" t="s">
        <v>19</v>
      </c>
      <c r="J233" s="234" t="s">
        <v>4376</v>
      </c>
      <c r="K233" s="237">
        <f>IF(COUNTIF(L233:AY233,"&lt;&gt;")=0,"",SUMPRODUCT(((Recommendations[ImplStatus]="Implemented")+(Recommendations[ImplStatus]="Compensated"))*ISNUMBER(MATCH(Recommendations[Id],L233:AY233,0)))/COUNTIF(L233:AY233,"&lt;&gt;"))</f>
        <v>0</v>
      </c>
      <c r="L233" s="240" t="s">
        <v>28</v>
      </c>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4377</v>
      </c>
      <c r="B234" s="234" t="s">
        <v>4378</v>
      </c>
      <c r="C234" s="234" t="s">
        <v>4379</v>
      </c>
      <c r="D234" s="234" t="s">
        <v>4380</v>
      </c>
      <c r="E234" s="234" t="s">
        <v>19</v>
      </c>
      <c r="F234" s="234" t="s">
        <v>19</v>
      </c>
      <c r="G234" s="234" t="s">
        <v>19</v>
      </c>
      <c r="H234" s="234" t="s">
        <v>4381</v>
      </c>
      <c r="I234" s="234" t="s">
        <v>19</v>
      </c>
      <c r="J234" s="234" t="s">
        <v>4382</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760</v>
      </c>
      <c r="B235" s="233" t="s">
        <v>4383</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4384</v>
      </c>
      <c r="B236" s="234" t="s">
        <v>4385</v>
      </c>
      <c r="C236" s="234" t="s">
        <v>4386</v>
      </c>
      <c r="D236" s="234" t="s">
        <v>4387</v>
      </c>
      <c r="E236" s="234" t="s">
        <v>19</v>
      </c>
      <c r="F236" s="234" t="s">
        <v>19</v>
      </c>
      <c r="G236" s="234" t="s">
        <v>19</v>
      </c>
      <c r="H236" s="234" t="s">
        <v>4388</v>
      </c>
      <c r="I236" s="234" t="s">
        <v>19</v>
      </c>
      <c r="J236" s="234" t="s">
        <v>4389</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4390</v>
      </c>
      <c r="B237" s="234" t="s">
        <v>4391</v>
      </c>
      <c r="C237" s="234" t="s">
        <v>4392</v>
      </c>
      <c r="D237" s="234" t="s">
        <v>4393</v>
      </c>
      <c r="E237" s="234" t="s">
        <v>19</v>
      </c>
      <c r="F237" s="234" t="s">
        <v>19</v>
      </c>
      <c r="G237" s="234" t="s">
        <v>4394</v>
      </c>
      <c r="H237" s="234" t="s">
        <v>4395</v>
      </c>
      <c r="I237" s="234" t="s">
        <v>3625</v>
      </c>
      <c r="J237" s="234" t="s">
        <v>4396</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4397</v>
      </c>
      <c r="B238" s="234" t="s">
        <v>4398</v>
      </c>
      <c r="C238" s="234" t="s">
        <v>4399</v>
      </c>
      <c r="D238" s="234" t="s">
        <v>19</v>
      </c>
      <c r="E238" s="234" t="s">
        <v>19</v>
      </c>
      <c r="F238" s="234" t="s">
        <v>19</v>
      </c>
      <c r="G238" s="234" t="s">
        <v>19</v>
      </c>
      <c r="H238" s="234" t="s">
        <v>4400</v>
      </c>
      <c r="I238" s="234" t="s">
        <v>4401</v>
      </c>
      <c r="J238" s="234" t="s">
        <v>4402</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4403</v>
      </c>
      <c r="B239" s="234" t="s">
        <v>4404</v>
      </c>
      <c r="C239" s="234" t="s">
        <v>4405</v>
      </c>
      <c r="D239" s="234" t="s">
        <v>19</v>
      </c>
      <c r="E239" s="234" t="s">
        <v>19</v>
      </c>
      <c r="F239" s="234" t="s">
        <v>19</v>
      </c>
      <c r="G239" s="234" t="s">
        <v>19</v>
      </c>
      <c r="H239" s="234" t="s">
        <v>4406</v>
      </c>
      <c r="I239" s="234" t="s">
        <v>3625</v>
      </c>
      <c r="J239" s="234" t="s">
        <v>4407</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4408</v>
      </c>
      <c r="B240" s="234" t="s">
        <v>4409</v>
      </c>
      <c r="C240" s="234" t="s">
        <v>4410</v>
      </c>
      <c r="D240" s="234" t="s">
        <v>4411</v>
      </c>
      <c r="E240" s="234" t="s">
        <v>19</v>
      </c>
      <c r="F240" s="234" t="s">
        <v>19</v>
      </c>
      <c r="G240" s="234" t="s">
        <v>19</v>
      </c>
      <c r="H240" s="234" t="s">
        <v>4412</v>
      </c>
      <c r="I240" s="234" t="s">
        <v>19</v>
      </c>
      <c r="J240" s="234" t="s">
        <v>4413</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764</v>
      </c>
      <c r="B241" s="233" t="s">
        <v>4414</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4415</v>
      </c>
      <c r="B242" s="234" t="s">
        <v>4416</v>
      </c>
      <c r="C242" s="234" t="s">
        <v>4417</v>
      </c>
      <c r="D242" s="234" t="s">
        <v>19</v>
      </c>
      <c r="E242" s="234" t="s">
        <v>19</v>
      </c>
      <c r="F242" s="234" t="s">
        <v>4418</v>
      </c>
      <c r="G242" s="234" t="s">
        <v>19</v>
      </c>
      <c r="H242" s="234" t="s">
        <v>4419</v>
      </c>
      <c r="I242" s="234" t="s">
        <v>19</v>
      </c>
      <c r="J242" s="234" t="s">
        <v>4420</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768</v>
      </c>
      <c r="B243" s="233" t="s">
        <v>4421</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4422</v>
      </c>
      <c r="B244" s="234" t="s">
        <v>4423</v>
      </c>
      <c r="C244" s="234" t="s">
        <v>4424</v>
      </c>
      <c r="D244" s="234" t="s">
        <v>19</v>
      </c>
      <c r="E244" s="234" t="s">
        <v>19</v>
      </c>
      <c r="F244" s="234" t="s">
        <v>4425</v>
      </c>
      <c r="G244" s="234" t="s">
        <v>19</v>
      </c>
      <c r="H244" s="234" t="s">
        <v>4426</v>
      </c>
      <c r="I244" s="234" t="s">
        <v>4427</v>
      </c>
      <c r="J244" s="234" t="s">
        <v>4428</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4429</v>
      </c>
      <c r="B245" s="234" t="s">
        <v>4430</v>
      </c>
      <c r="C245" s="234" t="s">
        <v>4431</v>
      </c>
      <c r="D245" s="234" t="s">
        <v>4432</v>
      </c>
      <c r="E245" s="234" t="s">
        <v>19</v>
      </c>
      <c r="F245" s="234" t="s">
        <v>19</v>
      </c>
      <c r="G245" s="234" t="s">
        <v>19</v>
      </c>
      <c r="H245" s="234" t="s">
        <v>4433</v>
      </c>
      <c r="I245" s="234" t="s">
        <v>19</v>
      </c>
      <c r="J245" s="234" t="s">
        <v>4434</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4435</v>
      </c>
      <c r="B246" s="234" t="s">
        <v>4436</v>
      </c>
      <c r="C246" s="234" t="s">
        <v>4437</v>
      </c>
      <c r="D246" s="234" t="s">
        <v>19</v>
      </c>
      <c r="E246" s="234" t="s">
        <v>19</v>
      </c>
      <c r="F246" s="234" t="s">
        <v>19</v>
      </c>
      <c r="G246" s="234" t="s">
        <v>19</v>
      </c>
      <c r="H246" s="234" t="s">
        <v>4438</v>
      </c>
      <c r="I246" s="234" t="s">
        <v>19</v>
      </c>
      <c r="J246" s="234" t="s">
        <v>4439</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772</v>
      </c>
      <c r="B247" s="233" t="s">
        <v>4440</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4441</v>
      </c>
      <c r="B248" s="234" t="s">
        <v>4442</v>
      </c>
      <c r="C248" s="234" t="s">
        <v>4443</v>
      </c>
      <c r="D248" s="234" t="s">
        <v>4444</v>
      </c>
      <c r="E248" s="234" t="s">
        <v>19</v>
      </c>
      <c r="F248" s="234" t="s">
        <v>19</v>
      </c>
      <c r="G248" s="234" t="s">
        <v>19</v>
      </c>
      <c r="H248" s="234" t="s">
        <v>4445</v>
      </c>
      <c r="I248" s="234" t="s">
        <v>4446</v>
      </c>
      <c r="J248" s="234" t="s">
        <v>4447</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4448</v>
      </c>
      <c r="B249" s="234" t="s">
        <v>4449</v>
      </c>
      <c r="C249" s="234" t="s">
        <v>4443</v>
      </c>
      <c r="D249" s="234" t="s">
        <v>4450</v>
      </c>
      <c r="E249" s="234" t="s">
        <v>19</v>
      </c>
      <c r="F249" s="234" t="s">
        <v>19</v>
      </c>
      <c r="G249" s="234" t="s">
        <v>19</v>
      </c>
      <c r="H249" s="234" t="s">
        <v>4445</v>
      </c>
      <c r="I249" s="234" t="s">
        <v>4451</v>
      </c>
      <c r="J249" s="234" t="s">
        <v>4452</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4453</v>
      </c>
      <c r="B250" s="234" t="s">
        <v>4454</v>
      </c>
      <c r="C250" s="234" t="s">
        <v>4455</v>
      </c>
      <c r="D250" s="234" t="s">
        <v>4456</v>
      </c>
      <c r="E250" s="234" t="s">
        <v>19</v>
      </c>
      <c r="F250" s="234" t="s">
        <v>19</v>
      </c>
      <c r="G250" s="234" t="s">
        <v>19</v>
      </c>
      <c r="H250" s="234" t="s">
        <v>4457</v>
      </c>
      <c r="I250" s="234" t="s">
        <v>19</v>
      </c>
      <c r="J250" s="234" t="s">
        <v>4458</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4459</v>
      </c>
      <c r="B251" s="232" t="s">
        <v>4460</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778</v>
      </c>
      <c r="B252" s="233" t="s">
        <v>4461</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4462</v>
      </c>
      <c r="B253" s="234" t="s">
        <v>4463</v>
      </c>
      <c r="C253" s="234" t="s">
        <v>4464</v>
      </c>
      <c r="D253" s="234" t="s">
        <v>3397</v>
      </c>
      <c r="E253" s="234" t="s">
        <v>3183</v>
      </c>
      <c r="F253" s="234" t="s">
        <v>19</v>
      </c>
      <c r="G253" s="234" t="s">
        <v>19</v>
      </c>
      <c r="H253" s="234" t="s">
        <v>4465</v>
      </c>
      <c r="I253" s="234" t="s">
        <v>19</v>
      </c>
      <c r="J253" s="234" t="s">
        <v>4466</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4467</v>
      </c>
      <c r="B254" s="234" t="s">
        <v>4468</v>
      </c>
      <c r="C254" s="234" t="s">
        <v>3188</v>
      </c>
      <c r="D254" s="234" t="s">
        <v>3189</v>
      </c>
      <c r="E254" s="234" t="s">
        <v>19</v>
      </c>
      <c r="F254" s="234" t="s">
        <v>3191</v>
      </c>
      <c r="G254" s="234" t="s">
        <v>19</v>
      </c>
      <c r="H254" s="234" t="s">
        <v>4469</v>
      </c>
      <c r="I254" s="234" t="s">
        <v>19</v>
      </c>
      <c r="J254" s="234" t="s">
        <v>4470</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782</v>
      </c>
      <c r="B255" s="233" t="s">
        <v>4471</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4472</v>
      </c>
      <c r="B256" s="234" t="s">
        <v>4473</v>
      </c>
      <c r="C256" s="234" t="s">
        <v>4474</v>
      </c>
      <c r="D256" s="234" t="s">
        <v>4475</v>
      </c>
      <c r="E256" s="234" t="s">
        <v>4476</v>
      </c>
      <c r="F256" s="234" t="s">
        <v>4477</v>
      </c>
      <c r="G256" s="234" t="s">
        <v>19</v>
      </c>
      <c r="H256" s="234" t="s">
        <v>4478</v>
      </c>
      <c r="I256" s="234" t="s">
        <v>19</v>
      </c>
      <c r="J256" s="234" t="s">
        <v>4479</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4480</v>
      </c>
      <c r="B257" s="234" t="s">
        <v>4481</v>
      </c>
      <c r="C257" s="234" t="s">
        <v>4482</v>
      </c>
      <c r="D257" s="234" t="s">
        <v>4483</v>
      </c>
      <c r="E257" s="234" t="s">
        <v>19</v>
      </c>
      <c r="F257" s="234" t="s">
        <v>19</v>
      </c>
      <c r="G257" s="234" t="s">
        <v>19</v>
      </c>
      <c r="H257" s="234" t="s">
        <v>4484</v>
      </c>
      <c r="I257" s="234" t="s">
        <v>19</v>
      </c>
      <c r="J257" s="234" t="s">
        <v>4485</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787</v>
      </c>
      <c r="B258" s="233" t="s">
        <v>4486</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4487</v>
      </c>
      <c r="B259" s="234" t="s">
        <v>4488</v>
      </c>
      <c r="C259" s="234" t="s">
        <v>4489</v>
      </c>
      <c r="D259" s="234" t="s">
        <v>4490</v>
      </c>
      <c r="E259" s="234" t="s">
        <v>4491</v>
      </c>
      <c r="F259" s="234" t="s">
        <v>19</v>
      </c>
      <c r="G259" s="234" t="s">
        <v>19</v>
      </c>
      <c r="H259" s="234" t="s">
        <v>4492</v>
      </c>
      <c r="I259" s="234" t="s">
        <v>19</v>
      </c>
      <c r="J259" s="234" t="s">
        <v>4493</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4494</v>
      </c>
      <c r="B260" s="234" t="s">
        <v>4495</v>
      </c>
      <c r="C260" s="234" t="s">
        <v>4496</v>
      </c>
      <c r="D260" s="234" t="s">
        <v>19</v>
      </c>
      <c r="E260" s="234" t="s">
        <v>19</v>
      </c>
      <c r="F260" s="234" t="s">
        <v>19</v>
      </c>
      <c r="G260" s="234" t="s">
        <v>19</v>
      </c>
      <c r="H260" s="234" t="s">
        <v>4497</v>
      </c>
      <c r="I260" s="234" t="s">
        <v>4498</v>
      </c>
      <c r="J260" s="234" t="s">
        <v>4499</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4500</v>
      </c>
      <c r="B261" s="234" t="s">
        <v>4501</v>
      </c>
      <c r="C261" s="234" t="s">
        <v>4502</v>
      </c>
      <c r="D261" s="234" t="s">
        <v>4503</v>
      </c>
      <c r="E261" s="234" t="s">
        <v>19</v>
      </c>
      <c r="F261" s="234" t="s">
        <v>19</v>
      </c>
      <c r="G261" s="234" t="s">
        <v>19</v>
      </c>
      <c r="H261" s="234" t="s">
        <v>4504</v>
      </c>
      <c r="I261" s="234" t="s">
        <v>4505</v>
      </c>
      <c r="J261" s="234" t="s">
        <v>4506</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4507</v>
      </c>
      <c r="B262" s="234" t="s">
        <v>4508</v>
      </c>
      <c r="C262" s="234" t="s">
        <v>4509</v>
      </c>
      <c r="D262" s="234" t="s">
        <v>4510</v>
      </c>
      <c r="E262" s="234" t="s">
        <v>19</v>
      </c>
      <c r="F262" s="234" t="s">
        <v>19</v>
      </c>
      <c r="G262" s="234" t="s">
        <v>19</v>
      </c>
      <c r="H262" s="234" t="s">
        <v>4511</v>
      </c>
      <c r="I262" s="234" t="s">
        <v>4512</v>
      </c>
      <c r="J262" s="234" t="s">
        <v>4513</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4514</v>
      </c>
      <c r="B263" s="234" t="s">
        <v>4515</v>
      </c>
      <c r="C263" s="234" t="s">
        <v>4516</v>
      </c>
      <c r="D263" s="234" t="s">
        <v>4517</v>
      </c>
      <c r="E263" s="234" t="s">
        <v>19</v>
      </c>
      <c r="F263" s="234" t="s">
        <v>19</v>
      </c>
      <c r="G263" s="234" t="s">
        <v>4518</v>
      </c>
      <c r="H263" s="234" t="s">
        <v>3421</v>
      </c>
      <c r="I263" s="234" t="s">
        <v>4519</v>
      </c>
      <c r="J263" s="234" t="s">
        <v>4520</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4521</v>
      </c>
      <c r="B264" s="234" t="s">
        <v>4522</v>
      </c>
      <c r="C264" s="234" t="s">
        <v>4509</v>
      </c>
      <c r="D264" s="234" t="s">
        <v>4523</v>
      </c>
      <c r="E264" s="234" t="s">
        <v>19</v>
      </c>
      <c r="F264" s="234" t="s">
        <v>19</v>
      </c>
      <c r="G264" s="234" t="s">
        <v>19</v>
      </c>
      <c r="H264" s="234" t="s">
        <v>4524</v>
      </c>
      <c r="I264" s="234" t="s">
        <v>19</v>
      </c>
      <c r="J264" s="234" t="s">
        <v>4525</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791</v>
      </c>
      <c r="B265" s="233" t="s">
        <v>4526</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4527</v>
      </c>
      <c r="B266" s="234" t="s">
        <v>4528</v>
      </c>
      <c r="C266" s="234" t="s">
        <v>4529</v>
      </c>
      <c r="D266" s="234" t="s">
        <v>4530</v>
      </c>
      <c r="E266" s="234" t="s">
        <v>4531</v>
      </c>
      <c r="F266" s="234" t="s">
        <v>19</v>
      </c>
      <c r="G266" s="234" t="s">
        <v>4532</v>
      </c>
      <c r="H266" s="234" t="s">
        <v>4533</v>
      </c>
      <c r="I266" s="234" t="s">
        <v>4534</v>
      </c>
      <c r="J266" s="234" t="s">
        <v>4535</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4536</v>
      </c>
      <c r="B267" s="234" t="s">
        <v>4537</v>
      </c>
      <c r="C267" s="234" t="s">
        <v>4538</v>
      </c>
      <c r="D267" s="234" t="s">
        <v>4539</v>
      </c>
      <c r="E267" s="234" t="s">
        <v>19</v>
      </c>
      <c r="F267" s="234" t="s">
        <v>19</v>
      </c>
      <c r="G267" s="234" t="s">
        <v>19</v>
      </c>
      <c r="H267" s="234" t="s">
        <v>4540</v>
      </c>
      <c r="I267" s="234" t="s">
        <v>19</v>
      </c>
      <c r="J267" s="234" t="s">
        <v>4541</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4542</v>
      </c>
      <c r="B268" s="234" t="s">
        <v>4543</v>
      </c>
      <c r="C268" s="234" t="s">
        <v>4544</v>
      </c>
      <c r="D268" s="234" t="s">
        <v>4539</v>
      </c>
      <c r="E268" s="234" t="s">
        <v>19</v>
      </c>
      <c r="F268" s="234" t="s">
        <v>19</v>
      </c>
      <c r="G268" s="234" t="s">
        <v>4545</v>
      </c>
      <c r="H268" s="234" t="s">
        <v>4546</v>
      </c>
      <c r="I268" s="234" t="s">
        <v>19</v>
      </c>
      <c r="J268" s="234" t="s">
        <v>4547</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4548</v>
      </c>
      <c r="B269" s="234" t="s">
        <v>4549</v>
      </c>
      <c r="C269" s="234" t="s">
        <v>4544</v>
      </c>
      <c r="D269" s="234" t="s">
        <v>4550</v>
      </c>
      <c r="E269" s="234" t="s">
        <v>19</v>
      </c>
      <c r="F269" s="234" t="s">
        <v>19</v>
      </c>
      <c r="G269" s="234" t="s">
        <v>19</v>
      </c>
      <c r="H269" s="234" t="s">
        <v>4551</v>
      </c>
      <c r="I269" s="234" t="s">
        <v>19</v>
      </c>
      <c r="J269" s="234" t="s">
        <v>4552</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4553</v>
      </c>
      <c r="B270" s="234" t="s">
        <v>4554</v>
      </c>
      <c r="C270" s="234" t="s">
        <v>4555</v>
      </c>
      <c r="D270" s="234" t="s">
        <v>4556</v>
      </c>
      <c r="E270" s="234" t="s">
        <v>19</v>
      </c>
      <c r="F270" s="234" t="s">
        <v>19</v>
      </c>
      <c r="G270" s="234" t="s">
        <v>19</v>
      </c>
      <c r="H270" s="234" t="s">
        <v>4557</v>
      </c>
      <c r="I270" s="234" t="s">
        <v>19</v>
      </c>
      <c r="J270" s="234" t="s">
        <v>4558</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4559</v>
      </c>
      <c r="B271" s="234" t="s">
        <v>4560</v>
      </c>
      <c r="C271" s="234" t="s">
        <v>4561</v>
      </c>
      <c r="D271" s="234" t="s">
        <v>4562</v>
      </c>
      <c r="E271" s="234" t="s">
        <v>19</v>
      </c>
      <c r="F271" s="234" t="s">
        <v>19</v>
      </c>
      <c r="G271" s="234" t="s">
        <v>19</v>
      </c>
      <c r="H271" s="234" t="s">
        <v>4563</v>
      </c>
      <c r="I271" s="234" t="s">
        <v>4564</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4565</v>
      </c>
      <c r="B272" s="234" t="s">
        <v>4566</v>
      </c>
      <c r="C272" s="234" t="s">
        <v>4567</v>
      </c>
      <c r="D272" s="234" t="s">
        <v>4568</v>
      </c>
      <c r="E272" s="234" t="s">
        <v>19</v>
      </c>
      <c r="F272" s="234" t="s">
        <v>19</v>
      </c>
      <c r="G272" s="234" t="s">
        <v>19</v>
      </c>
      <c r="H272" s="234" t="s">
        <v>4569</v>
      </c>
      <c r="I272" s="234" t="s">
        <v>4570</v>
      </c>
      <c r="J272" s="234" t="s">
        <v>4571</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795</v>
      </c>
      <c r="B273" s="233" t="s">
        <v>4572</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4573</v>
      </c>
      <c r="B274" s="234" t="s">
        <v>4574</v>
      </c>
      <c r="C274" s="234" t="s">
        <v>4575</v>
      </c>
      <c r="D274" s="234" t="s">
        <v>4568</v>
      </c>
      <c r="E274" s="234" t="s">
        <v>4576</v>
      </c>
      <c r="F274" s="234" t="s">
        <v>19</v>
      </c>
      <c r="G274" s="234" t="s">
        <v>19</v>
      </c>
      <c r="H274" s="234" t="s">
        <v>4577</v>
      </c>
      <c r="I274" s="234" t="s">
        <v>19</v>
      </c>
      <c r="J274" s="234" t="s">
        <v>4578</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4579</v>
      </c>
      <c r="B275" s="234" t="s">
        <v>4580</v>
      </c>
      <c r="C275" s="234" t="s">
        <v>4581</v>
      </c>
      <c r="D275" s="234" t="s">
        <v>4582</v>
      </c>
      <c r="E275" s="234" t="s">
        <v>19</v>
      </c>
      <c r="F275" s="234" t="s">
        <v>19</v>
      </c>
      <c r="G275" s="234" t="s">
        <v>19</v>
      </c>
      <c r="H275" s="234" t="s">
        <v>4583</v>
      </c>
      <c r="I275" s="234" t="s">
        <v>19</v>
      </c>
      <c r="J275" s="234" t="s">
        <v>4584</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4585</v>
      </c>
      <c r="B276" s="234" t="s">
        <v>4586</v>
      </c>
      <c r="C276" s="234" t="s">
        <v>4587</v>
      </c>
      <c r="D276" s="234" t="s">
        <v>4588</v>
      </c>
      <c r="E276" s="234" t="s">
        <v>19</v>
      </c>
      <c r="F276" s="234" t="s">
        <v>4589</v>
      </c>
      <c r="G276" s="234" t="s">
        <v>19</v>
      </c>
      <c r="H276" s="234" t="s">
        <v>4590</v>
      </c>
      <c r="I276" s="234" t="s">
        <v>4591</v>
      </c>
      <c r="J276" s="234" t="s">
        <v>4592</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4593</v>
      </c>
      <c r="B277" s="233" t="s">
        <v>4594</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4595</v>
      </c>
      <c r="B278" s="234" t="s">
        <v>4596</v>
      </c>
      <c r="C278" s="234" t="s">
        <v>4597</v>
      </c>
      <c r="D278" s="234" t="s">
        <v>4598</v>
      </c>
      <c r="E278" s="234" t="s">
        <v>19</v>
      </c>
      <c r="F278" s="234" t="s">
        <v>4599</v>
      </c>
      <c r="G278" s="234" t="s">
        <v>19</v>
      </c>
      <c r="H278" s="234" t="s">
        <v>4600</v>
      </c>
      <c r="I278" s="234" t="s">
        <v>19</v>
      </c>
      <c r="J278" s="234" t="s">
        <v>4601</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4602</v>
      </c>
      <c r="B279" s="232" t="s">
        <v>4603</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801</v>
      </c>
      <c r="B280" s="233" t="s">
        <v>4604</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4605</v>
      </c>
      <c r="B281" s="234" t="s">
        <v>4606</v>
      </c>
      <c r="C281" s="234" t="s">
        <v>4607</v>
      </c>
      <c r="D281" s="234" t="s">
        <v>4608</v>
      </c>
      <c r="E281" s="234" t="s">
        <v>4609</v>
      </c>
      <c r="F281" s="234" t="s">
        <v>19</v>
      </c>
      <c r="G281" s="234" t="s">
        <v>19</v>
      </c>
      <c r="H281" s="234" t="s">
        <v>4610</v>
      </c>
      <c r="I281" s="234" t="s">
        <v>19</v>
      </c>
      <c r="J281" s="234" t="s">
        <v>4611</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4612</v>
      </c>
      <c r="B282" s="234" t="s">
        <v>4613</v>
      </c>
      <c r="C282" s="234" t="s">
        <v>4614</v>
      </c>
      <c r="D282" s="234" t="s">
        <v>19</v>
      </c>
      <c r="E282" s="234" t="s">
        <v>19</v>
      </c>
      <c r="F282" s="234" t="s">
        <v>19</v>
      </c>
      <c r="G282" s="234" t="s">
        <v>19</v>
      </c>
      <c r="H282" s="234" t="s">
        <v>4615</v>
      </c>
      <c r="I282" s="234" t="s">
        <v>19</v>
      </c>
      <c r="J282" s="234" t="s">
        <v>4616</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4617</v>
      </c>
      <c r="B283" s="234" t="s">
        <v>4618</v>
      </c>
      <c r="C283" s="234" t="s">
        <v>4619</v>
      </c>
      <c r="D283" s="234" t="s">
        <v>19</v>
      </c>
      <c r="E283" s="234" t="s">
        <v>19</v>
      </c>
      <c r="F283" s="234" t="s">
        <v>19</v>
      </c>
      <c r="G283" s="234" t="s">
        <v>19</v>
      </c>
      <c r="H283" s="234" t="s">
        <v>4620</v>
      </c>
      <c r="I283" s="234" t="s">
        <v>19</v>
      </c>
      <c r="J283" s="234" t="s">
        <v>4621</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4622</v>
      </c>
      <c r="B284" s="234" t="s">
        <v>4623</v>
      </c>
      <c r="C284" s="234" t="s">
        <v>4624</v>
      </c>
      <c r="D284" s="234" t="s">
        <v>4625</v>
      </c>
      <c r="E284" s="234" t="s">
        <v>19</v>
      </c>
      <c r="F284" s="234" t="s">
        <v>19</v>
      </c>
      <c r="G284" s="234" t="s">
        <v>19</v>
      </c>
      <c r="H284" s="234" t="s">
        <v>4626</v>
      </c>
      <c r="I284" s="234" t="s">
        <v>19</v>
      </c>
      <c r="J284" s="234" t="s">
        <v>4627</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805</v>
      </c>
      <c r="B285" s="233" t="s">
        <v>4628</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4629</v>
      </c>
      <c r="B286" s="234" t="s">
        <v>4630</v>
      </c>
      <c r="C286" s="234" t="s">
        <v>4631</v>
      </c>
      <c r="D286" s="234" t="s">
        <v>4632</v>
      </c>
      <c r="E286" s="234" t="s">
        <v>19</v>
      </c>
      <c r="F286" s="234" t="s">
        <v>19</v>
      </c>
      <c r="G286" s="234" t="s">
        <v>19</v>
      </c>
      <c r="H286" s="234" t="s">
        <v>4633</v>
      </c>
      <c r="I286" s="234" t="s">
        <v>4634</v>
      </c>
      <c r="J286" s="234" t="s">
        <v>4635</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809</v>
      </c>
      <c r="B287" s="233" t="s">
        <v>4636</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4637</v>
      </c>
      <c r="B288" s="234" t="s">
        <v>4638</v>
      </c>
      <c r="C288" s="234" t="s">
        <v>4639</v>
      </c>
      <c r="D288" s="234" t="s">
        <v>4640</v>
      </c>
      <c r="E288" s="234" t="s">
        <v>4641</v>
      </c>
      <c r="F288" s="234" t="s">
        <v>4642</v>
      </c>
      <c r="G288" s="234" t="s">
        <v>4643</v>
      </c>
      <c r="H288" s="234" t="s">
        <v>4644</v>
      </c>
      <c r="I288" s="234" t="s">
        <v>3625</v>
      </c>
      <c r="J288" s="234" t="s">
        <v>4645</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4646</v>
      </c>
      <c r="B289" s="234" t="s">
        <v>4647</v>
      </c>
      <c r="C289" s="234" t="s">
        <v>4648</v>
      </c>
      <c r="D289" s="234" t="s">
        <v>19</v>
      </c>
      <c r="E289" s="234" t="s">
        <v>4641</v>
      </c>
      <c r="F289" s="234" t="s">
        <v>19</v>
      </c>
      <c r="G289" s="234" t="s">
        <v>4649</v>
      </c>
      <c r="H289" s="234" t="s">
        <v>4650</v>
      </c>
      <c r="I289" s="234" t="s">
        <v>4651</v>
      </c>
      <c r="J289" s="234" t="s">
        <v>4652</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4653</v>
      </c>
      <c r="B290" s="234" t="s">
        <v>4654</v>
      </c>
      <c r="C290" s="234" t="s">
        <v>4655</v>
      </c>
      <c r="D290" s="234" t="s">
        <v>19</v>
      </c>
      <c r="E290" s="234" t="s">
        <v>4656</v>
      </c>
      <c r="F290" s="234" t="s">
        <v>19</v>
      </c>
      <c r="G290" s="234" t="s">
        <v>4657</v>
      </c>
      <c r="H290" s="234" t="s">
        <v>4658</v>
      </c>
      <c r="I290" s="234" t="s">
        <v>4659</v>
      </c>
      <c r="J290" s="234" t="s">
        <v>4660</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4661</v>
      </c>
      <c r="B291" s="234" t="s">
        <v>4662</v>
      </c>
      <c r="C291" s="234" t="s">
        <v>4663</v>
      </c>
      <c r="D291" s="234" t="s">
        <v>19</v>
      </c>
      <c r="E291" s="234" t="s">
        <v>19</v>
      </c>
      <c r="F291" s="234" t="s">
        <v>19</v>
      </c>
      <c r="G291" s="234" t="s">
        <v>19</v>
      </c>
      <c r="H291" s="234" t="s">
        <v>4664</v>
      </c>
      <c r="I291" s="234" t="s">
        <v>3625</v>
      </c>
      <c r="J291" s="234" t="s">
        <v>4665</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813</v>
      </c>
      <c r="B292" s="233" t="s">
        <v>4666</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4667</v>
      </c>
      <c r="B293" s="234" t="s">
        <v>4668</v>
      </c>
      <c r="C293" s="234" t="s">
        <v>4669</v>
      </c>
      <c r="D293" s="234" t="s">
        <v>4670</v>
      </c>
      <c r="E293" s="234" t="s">
        <v>19</v>
      </c>
      <c r="F293" s="234" t="s">
        <v>19</v>
      </c>
      <c r="G293" s="234" t="s">
        <v>19</v>
      </c>
      <c r="H293" s="234" t="s">
        <v>4671</v>
      </c>
      <c r="I293" s="234" t="s">
        <v>4672</v>
      </c>
      <c r="J293" s="234" t="s">
        <v>4673</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4674</v>
      </c>
      <c r="B294" s="234" t="s">
        <v>4675</v>
      </c>
      <c r="C294" s="234" t="s">
        <v>4676</v>
      </c>
      <c r="D294" s="234" t="s">
        <v>4670</v>
      </c>
      <c r="E294" s="234" t="s">
        <v>19</v>
      </c>
      <c r="F294" s="234" t="s">
        <v>4677</v>
      </c>
      <c r="G294" s="234" t="s">
        <v>19</v>
      </c>
      <c r="H294" s="234" t="s">
        <v>4678</v>
      </c>
      <c r="I294" s="234" t="s">
        <v>3595</v>
      </c>
      <c r="J294" s="234" t="s">
        <v>4679</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4680</v>
      </c>
      <c r="B295" s="234" t="s">
        <v>4681</v>
      </c>
      <c r="C295" s="234" t="s">
        <v>4682</v>
      </c>
      <c r="D295" s="234" t="s">
        <v>4683</v>
      </c>
      <c r="E295" s="234" t="s">
        <v>19</v>
      </c>
      <c r="F295" s="234" t="s">
        <v>19</v>
      </c>
      <c r="G295" s="234" t="s">
        <v>19</v>
      </c>
      <c r="H295" s="234" t="s">
        <v>4684</v>
      </c>
      <c r="I295" s="234" t="s">
        <v>3595</v>
      </c>
      <c r="J295" s="234" t="s">
        <v>4685</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817</v>
      </c>
      <c r="B296" s="233" t="s">
        <v>4686</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4687</v>
      </c>
      <c r="B297" s="234" t="s">
        <v>4688</v>
      </c>
      <c r="C297" s="234" t="s">
        <v>4689</v>
      </c>
      <c r="D297" s="234" t="s">
        <v>4683</v>
      </c>
      <c r="E297" s="234" t="s">
        <v>19</v>
      </c>
      <c r="F297" s="234" t="s">
        <v>4690</v>
      </c>
      <c r="G297" s="234" t="s">
        <v>19</v>
      </c>
      <c r="H297" s="234" t="s">
        <v>4691</v>
      </c>
      <c r="I297" s="234" t="s">
        <v>19</v>
      </c>
      <c r="J297" s="234" t="s">
        <v>4692</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4693</v>
      </c>
      <c r="B298" s="234" t="s">
        <v>4694</v>
      </c>
      <c r="C298" s="234" t="s">
        <v>4695</v>
      </c>
      <c r="D298" s="234" t="s">
        <v>4696</v>
      </c>
      <c r="E298" s="234" t="s">
        <v>19</v>
      </c>
      <c r="F298" s="234" t="s">
        <v>19</v>
      </c>
      <c r="G298" s="234" t="s">
        <v>4697</v>
      </c>
      <c r="H298" s="234" t="s">
        <v>4698</v>
      </c>
      <c r="I298" s="234" t="s">
        <v>4698</v>
      </c>
      <c r="J298" s="234" t="s">
        <v>4699</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4700</v>
      </c>
      <c r="B299" s="234" t="s">
        <v>4701</v>
      </c>
      <c r="C299" s="234" t="s">
        <v>4702</v>
      </c>
      <c r="D299" s="234" t="s">
        <v>19</v>
      </c>
      <c r="E299" s="234" t="s">
        <v>19</v>
      </c>
      <c r="F299" s="234" t="s">
        <v>19</v>
      </c>
      <c r="G299" s="234" t="s">
        <v>19</v>
      </c>
      <c r="H299" s="234" t="s">
        <v>4703</v>
      </c>
      <c r="I299" s="234" t="s">
        <v>4704</v>
      </c>
      <c r="J299" s="234" t="s">
        <v>4705</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4706</v>
      </c>
      <c r="B300" s="234" t="s">
        <v>4707</v>
      </c>
      <c r="C300" s="234" t="s">
        <v>4708</v>
      </c>
      <c r="D300" s="234" t="s">
        <v>19</v>
      </c>
      <c r="E300" s="234" t="s">
        <v>19</v>
      </c>
      <c r="F300" s="234" t="s">
        <v>4709</v>
      </c>
      <c r="G300" s="234" t="s">
        <v>19</v>
      </c>
      <c r="H300" s="234" t="s">
        <v>4710</v>
      </c>
      <c r="I300" s="234" t="s">
        <v>4704</v>
      </c>
      <c r="J300" s="234" t="s">
        <v>4711</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821</v>
      </c>
      <c r="B301" s="233" t="s">
        <v>4712</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4713</v>
      </c>
      <c r="B302" s="234" t="s">
        <v>4714</v>
      </c>
      <c r="C302" s="234" t="s">
        <v>4715</v>
      </c>
      <c r="D302" s="234" t="s">
        <v>19</v>
      </c>
      <c r="E302" s="234" t="s">
        <v>19</v>
      </c>
      <c r="F302" s="234" t="s">
        <v>19</v>
      </c>
      <c r="G302" s="234" t="s">
        <v>19</v>
      </c>
      <c r="H302" s="234" t="s">
        <v>4716</v>
      </c>
      <c r="I302" s="234" t="s">
        <v>19</v>
      </c>
      <c r="J302" s="234" t="s">
        <v>4717</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4718</v>
      </c>
      <c r="B303" s="234" t="s">
        <v>4719</v>
      </c>
      <c r="C303" s="234" t="s">
        <v>4720</v>
      </c>
      <c r="D303" s="234" t="s">
        <v>4721</v>
      </c>
      <c r="E303" s="234" t="s">
        <v>19</v>
      </c>
      <c r="F303" s="234" t="s">
        <v>19</v>
      </c>
      <c r="G303" s="234" t="s">
        <v>19</v>
      </c>
      <c r="H303" s="234" t="s">
        <v>4722</v>
      </c>
      <c r="I303" s="234" t="s">
        <v>3625</v>
      </c>
      <c r="J303" s="234" t="s">
        <v>4723</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4724</v>
      </c>
      <c r="B304" s="234" t="s">
        <v>4725</v>
      </c>
      <c r="C304" s="234" t="s">
        <v>4726</v>
      </c>
      <c r="D304" s="234" t="s">
        <v>4721</v>
      </c>
      <c r="E304" s="234" t="s">
        <v>19</v>
      </c>
      <c r="F304" s="234" t="s">
        <v>4727</v>
      </c>
      <c r="G304" s="234" t="s">
        <v>19</v>
      </c>
      <c r="H304" s="234" t="s">
        <v>4728</v>
      </c>
      <c r="I304" s="234" t="s">
        <v>19</v>
      </c>
      <c r="J304" s="234" t="s">
        <v>4729</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4730</v>
      </c>
      <c r="B305" s="234" t="s">
        <v>4731</v>
      </c>
      <c r="C305" s="234" t="s">
        <v>4732</v>
      </c>
      <c r="D305" s="234" t="s">
        <v>4733</v>
      </c>
      <c r="E305" s="234" t="s">
        <v>19</v>
      </c>
      <c r="F305" s="234" t="s">
        <v>19</v>
      </c>
      <c r="G305" s="234" t="s">
        <v>19</v>
      </c>
      <c r="H305" s="234" t="s">
        <v>4734</v>
      </c>
      <c r="I305" s="234" t="s">
        <v>4735</v>
      </c>
      <c r="J305" s="234" t="s">
        <v>4736</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4737</v>
      </c>
      <c r="B306" s="234" t="s">
        <v>4738</v>
      </c>
      <c r="C306" s="234" t="s">
        <v>4739</v>
      </c>
      <c r="D306" s="234" t="s">
        <v>4740</v>
      </c>
      <c r="E306" s="234" t="s">
        <v>19</v>
      </c>
      <c r="F306" s="234" t="s">
        <v>19</v>
      </c>
      <c r="G306" s="234" t="s">
        <v>19</v>
      </c>
      <c r="H306" s="234" t="s">
        <v>4741</v>
      </c>
      <c r="I306" s="234" t="s">
        <v>3625</v>
      </c>
      <c r="J306" s="234" t="s">
        <v>4742</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825</v>
      </c>
      <c r="B307" s="233" t="s">
        <v>4743</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4744</v>
      </c>
      <c r="B308" s="234" t="s">
        <v>4745</v>
      </c>
      <c r="C308" s="234" t="s">
        <v>4746</v>
      </c>
      <c r="D308" s="234" t="s">
        <v>4740</v>
      </c>
      <c r="E308" s="234" t="s">
        <v>19</v>
      </c>
      <c r="F308" s="234" t="s">
        <v>4747</v>
      </c>
      <c r="G308" s="234" t="s">
        <v>19</v>
      </c>
      <c r="H308" s="234" t="s">
        <v>4748</v>
      </c>
      <c r="I308" s="234" t="s">
        <v>4749</v>
      </c>
      <c r="J308" s="234" t="s">
        <v>4750</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829</v>
      </c>
      <c r="B309" s="233" t="s">
        <v>4751</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4752</v>
      </c>
      <c r="B310" s="234" t="s">
        <v>4753</v>
      </c>
      <c r="C310" s="234" t="s">
        <v>4754</v>
      </c>
      <c r="D310" s="234" t="s">
        <v>19</v>
      </c>
      <c r="E310" s="234" t="s">
        <v>19</v>
      </c>
      <c r="F310" s="234" t="s">
        <v>4755</v>
      </c>
      <c r="G310" s="234" t="s">
        <v>19</v>
      </c>
      <c r="H310" s="234" t="s">
        <v>4756</v>
      </c>
      <c r="I310" s="234" t="s">
        <v>4757</v>
      </c>
      <c r="J310" s="234" t="s">
        <v>4758</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4759</v>
      </c>
      <c r="B311" s="234" t="s">
        <v>4760</v>
      </c>
      <c r="C311" s="234" t="s">
        <v>4761</v>
      </c>
      <c r="D311" s="234" t="s">
        <v>4762</v>
      </c>
      <c r="E311" s="234" t="s">
        <v>19</v>
      </c>
      <c r="F311" s="234" t="s">
        <v>19</v>
      </c>
      <c r="G311" s="234" t="s">
        <v>4763</v>
      </c>
      <c r="H311" s="234" t="s">
        <v>4764</v>
      </c>
      <c r="I311" s="234" t="s">
        <v>19</v>
      </c>
      <c r="J311" s="234" t="s">
        <v>4765</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4766</v>
      </c>
      <c r="B312" s="234" t="s">
        <v>4767</v>
      </c>
      <c r="C312" s="234" t="s">
        <v>4768</v>
      </c>
      <c r="D312" s="234" t="s">
        <v>4769</v>
      </c>
      <c r="E312" s="234" t="s">
        <v>19</v>
      </c>
      <c r="F312" s="234" t="s">
        <v>19</v>
      </c>
      <c r="G312" s="234" t="s">
        <v>19</v>
      </c>
      <c r="H312" s="234" t="s">
        <v>4770</v>
      </c>
      <c r="I312" s="234" t="s">
        <v>19</v>
      </c>
      <c r="J312" s="234" t="s">
        <v>4771</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4772</v>
      </c>
      <c r="B313" s="234" t="s">
        <v>4773</v>
      </c>
      <c r="C313" s="234" t="s">
        <v>4774</v>
      </c>
      <c r="D313" s="234" t="s">
        <v>4775</v>
      </c>
      <c r="E313" s="234" t="s">
        <v>19</v>
      </c>
      <c r="F313" s="234" t="s">
        <v>19</v>
      </c>
      <c r="G313" s="234" t="s">
        <v>4776</v>
      </c>
      <c r="H313" s="234" t="s">
        <v>4777</v>
      </c>
      <c r="I313" s="234" t="s">
        <v>4778</v>
      </c>
      <c r="J313" s="234" t="s">
        <v>4779</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4780</v>
      </c>
      <c r="B314" s="234" t="s">
        <v>4781</v>
      </c>
      <c r="C314" s="234" t="s">
        <v>4782</v>
      </c>
      <c r="D314" s="234" t="s">
        <v>4783</v>
      </c>
      <c r="E314" s="234" t="s">
        <v>19</v>
      </c>
      <c r="F314" s="234" t="s">
        <v>19</v>
      </c>
      <c r="G314" s="234" t="s">
        <v>4784</v>
      </c>
      <c r="H314" s="234" t="s">
        <v>4785</v>
      </c>
      <c r="I314" s="234" t="s">
        <v>4786</v>
      </c>
      <c r="J314" s="234" t="s">
        <v>4787</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4788</v>
      </c>
      <c r="B315" s="233" t="s">
        <v>4789</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4790</v>
      </c>
      <c r="B316" s="234" t="s">
        <v>4791</v>
      </c>
      <c r="C316" s="234" t="s">
        <v>4792</v>
      </c>
      <c r="D316" s="234" t="s">
        <v>19</v>
      </c>
      <c r="E316" s="234" t="s">
        <v>19</v>
      </c>
      <c r="F316" s="234" t="s">
        <v>19</v>
      </c>
      <c r="G316" s="234" t="s">
        <v>19</v>
      </c>
      <c r="H316" s="234" t="s">
        <v>4793</v>
      </c>
      <c r="I316" s="234" t="s">
        <v>4794</v>
      </c>
      <c r="J316" s="234" t="s">
        <v>4795</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4796</v>
      </c>
      <c r="B317" s="234" t="s">
        <v>4797</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4798</v>
      </c>
      <c r="B318" s="233" t="s">
        <v>4799</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4800</v>
      </c>
      <c r="B319" s="234" t="s">
        <v>4801</v>
      </c>
      <c r="C319" s="234" t="s">
        <v>4802</v>
      </c>
      <c r="D319" s="234" t="s">
        <v>4803</v>
      </c>
      <c r="E319" s="234" t="s">
        <v>19</v>
      </c>
      <c r="F319" s="234" t="s">
        <v>4804</v>
      </c>
      <c r="G319" s="234" t="s">
        <v>4805</v>
      </c>
      <c r="H319" s="234" t="s">
        <v>4806</v>
      </c>
      <c r="I319" s="234" t="s">
        <v>19</v>
      </c>
      <c r="J319" s="234" t="s">
        <v>4807</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4808</v>
      </c>
      <c r="B320" s="234" t="s">
        <v>4809</v>
      </c>
      <c r="C320" s="234" t="s">
        <v>4810</v>
      </c>
      <c r="D320" s="234" t="s">
        <v>4811</v>
      </c>
      <c r="E320" s="234" t="s">
        <v>19</v>
      </c>
      <c r="F320" s="234" t="s">
        <v>19</v>
      </c>
      <c r="G320" s="234" t="s">
        <v>19</v>
      </c>
      <c r="H320" s="234" t="s">
        <v>4812</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4813</v>
      </c>
      <c r="B321" s="234" t="s">
        <v>4814</v>
      </c>
      <c r="C321" s="234" t="s">
        <v>4815</v>
      </c>
      <c r="D321" s="234" t="s">
        <v>4816</v>
      </c>
      <c r="E321" s="234" t="s">
        <v>19</v>
      </c>
      <c r="F321" s="234" t="s">
        <v>19</v>
      </c>
      <c r="G321" s="234" t="s">
        <v>19</v>
      </c>
      <c r="H321" s="234" t="s">
        <v>4817</v>
      </c>
      <c r="I321" s="234" t="s">
        <v>19</v>
      </c>
      <c r="J321" s="234" t="s">
        <v>4818</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4819</v>
      </c>
      <c r="B322" s="234" t="s">
        <v>4820</v>
      </c>
      <c r="C322" s="234" t="s">
        <v>4821</v>
      </c>
      <c r="D322" s="234" t="s">
        <v>4822</v>
      </c>
      <c r="E322" s="234" t="s">
        <v>19</v>
      </c>
      <c r="F322" s="234" t="s">
        <v>19</v>
      </c>
      <c r="G322" s="234" t="s">
        <v>19</v>
      </c>
      <c r="H322" s="234" t="s">
        <v>4823</v>
      </c>
      <c r="I322" s="234" t="s">
        <v>19</v>
      </c>
      <c r="J322" s="234" t="s">
        <v>4824</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4825</v>
      </c>
      <c r="B323" s="234" t="s">
        <v>4826</v>
      </c>
      <c r="C323" s="234" t="s">
        <v>4827</v>
      </c>
      <c r="D323" s="234" t="s">
        <v>19</v>
      </c>
      <c r="E323" s="234" t="s">
        <v>19</v>
      </c>
      <c r="F323" s="234" t="s">
        <v>19</v>
      </c>
      <c r="G323" s="234" t="s">
        <v>19</v>
      </c>
      <c r="H323" s="234" t="s">
        <v>4828</v>
      </c>
      <c r="I323" s="234" t="s">
        <v>3625</v>
      </c>
      <c r="J323" s="234" t="s">
        <v>4829</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4830</v>
      </c>
      <c r="B324" s="234" t="s">
        <v>4831</v>
      </c>
      <c r="C324" s="234" t="s">
        <v>4832</v>
      </c>
      <c r="D324" s="234" t="s">
        <v>19</v>
      </c>
      <c r="E324" s="234" t="s">
        <v>19</v>
      </c>
      <c r="F324" s="234" t="s">
        <v>19</v>
      </c>
      <c r="G324" s="234" t="s">
        <v>19</v>
      </c>
      <c r="H324" s="234" t="s">
        <v>4833</v>
      </c>
      <c r="I324" s="234" t="s">
        <v>4834</v>
      </c>
      <c r="J324" s="234" t="s">
        <v>4835</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4836</v>
      </c>
      <c r="B325" s="234" t="s">
        <v>4837</v>
      </c>
      <c r="C325" s="234" t="s">
        <v>4838</v>
      </c>
      <c r="D325" s="234" t="s">
        <v>4839</v>
      </c>
      <c r="E325" s="234" t="s">
        <v>19</v>
      </c>
      <c r="F325" s="234" t="s">
        <v>19</v>
      </c>
      <c r="G325" s="234" t="s">
        <v>19</v>
      </c>
      <c r="H325" s="234" t="s">
        <v>4840</v>
      </c>
      <c r="I325" s="234" t="s">
        <v>19</v>
      </c>
      <c r="J325" s="234" t="s">
        <v>4841</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4842</v>
      </c>
      <c r="B326" s="241" t="s">
        <v>4843</v>
      </c>
      <c r="C326" s="241" t="s">
        <v>4844</v>
      </c>
      <c r="D326" s="241" t="s">
        <v>4845</v>
      </c>
      <c r="E326" s="241" t="s">
        <v>19</v>
      </c>
      <c r="F326" s="241" t="s">
        <v>19</v>
      </c>
      <c r="G326" s="241" t="s">
        <v>19</v>
      </c>
      <c r="H326" s="241" t="s">
        <v>4846</v>
      </c>
      <c r="I326" s="241" t="s">
        <v>3625</v>
      </c>
      <c r="J326" s="241" t="s">
        <v>4847</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118</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IFERROR(INDEX('Recommendations'!$G$2:$G$21, MATCH(L2,'Recommendations'!$A$2:$A$21,0))="Implemented", FALSE))</xm:f>
            <x14:dxf>
              <font>
                <color rgb="FF000000"/>
              </font>
              <fill>
                <patternFill>
                  <bgColor rgb="FF3C7D22"/>
                </patternFill>
              </fill>
            </x14:dxf>
          </x14:cfRule>
          <x14:cfRule type="expression" priority="2" id="{00000000-000E-0000-0A00-000002000000}">
            <xm:f>AND(L2&lt;&gt;"", IFERROR(INDEX('Recommendations'!$G$2:$G$21, MATCH(L2,'Recommendations'!$A$2:$A$21,0))="Compensated", FALSE))</xm:f>
            <x14:dxf>
              <font>
                <color rgb="FF000000"/>
              </font>
              <fill>
                <patternFill>
                  <bgColor rgb="FFC6E0B4"/>
                </patternFill>
              </fill>
            </x14:dxf>
          </x14:cfRule>
          <x14:cfRule type="expression" priority="3" id="{00000000-000E-0000-0A00-000003000000}">
            <xm:f>AND(L2&lt;&gt;"", IFERROR(INDEX('Recommendations'!$G$2:$G$21, MATCH(L2,'Recommendations'!$A$2:$A$21,0))="Testing", FALSE))</xm:f>
            <x14:dxf>
              <font>
                <color rgb="FF000000"/>
              </font>
              <fill>
                <patternFill>
                  <bgColor rgb="FFFFC000"/>
                </patternFill>
              </fill>
            </x14:dxf>
          </x14:cfRule>
          <x14:cfRule type="expression" priority="4" id="{00000000-000E-0000-0A00-000004000000}">
            <xm:f>AND(L2&lt;&gt;"", IFERROR(INDEX('Recommendations'!$G$2:$G$21, MATCH(L2,'Recommendations'!$A$2:$A$21,0))="Failed", FALSE))</xm:f>
            <x14:dxf>
              <font>
                <color rgb="FF000000"/>
              </font>
              <fill>
                <patternFill>
                  <bgColor rgb="FFD82891"/>
                </patternFill>
              </fill>
            </x14:dxf>
          </x14:cfRule>
          <x14:cfRule type="expression" priority="5" id="{00000000-000E-0000-0A00-000005000000}">
            <xm:f>AND(L2&lt;&gt;"", IFERROR(INDEX('Recommendations'!$G$2:$G$21, MATCH(L2,'Recommendations'!$A$2:$A$21,0))="Risk Accepted", FALSE))</xm:f>
            <x14:dxf>
              <font>
                <color rgb="FF000000"/>
              </font>
              <fill>
                <patternFill>
                  <bgColor rgb="FFD9D9D9"/>
                </patternFill>
              </fill>
            </x14:dxf>
          </x14:cfRule>
          <x14:cfRule type="expression" priority="6" id="{00000000-000E-0000-0A00-000006000000}">
            <xm:f>AND(L2&lt;&gt;"", IFERROR(INDEX('Recommendations'!$G$2:$G$21, MATCH(L2,'Recommendations'!$A$2:$A$21,0))="N/A",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1996</v>
      </c>
      <c r="B1" s="286" t="s">
        <v>2881</v>
      </c>
      <c r="C1" s="286" t="s">
        <v>0</v>
      </c>
      <c r="D1" s="286" t="s">
        <v>359</v>
      </c>
      <c r="E1" s="286" t="s">
        <v>4848</v>
      </c>
      <c r="F1" s="286" t="s">
        <v>4849</v>
      </c>
      <c r="G1" s="286" t="s">
        <v>364</v>
      </c>
      <c r="H1" s="286" t="s">
        <v>365</v>
      </c>
      <c r="I1" s="286" t="s">
        <v>366</v>
      </c>
      <c r="J1" s="286" t="s">
        <v>367</v>
      </c>
      <c r="K1" s="286" t="s">
        <v>368</v>
      </c>
      <c r="L1" s="286" t="s">
        <v>369</v>
      </c>
      <c r="M1" s="286" t="s">
        <v>370</v>
      </c>
      <c r="N1" s="286" t="s">
        <v>371</v>
      </c>
      <c r="O1" s="286" t="s">
        <v>372</v>
      </c>
      <c r="P1" s="286" t="s">
        <v>373</v>
      </c>
      <c r="Q1" s="286" t="s">
        <v>374</v>
      </c>
      <c r="R1" s="286" t="s">
        <v>375</v>
      </c>
      <c r="S1" s="286" t="s">
        <v>376</v>
      </c>
      <c r="T1" s="286" t="s">
        <v>377</v>
      </c>
      <c r="U1" s="286" t="s">
        <v>378</v>
      </c>
      <c r="V1" s="286" t="s">
        <v>379</v>
      </c>
      <c r="W1" s="286" t="s">
        <v>380</v>
      </c>
      <c r="X1" s="286" t="s">
        <v>381</v>
      </c>
      <c r="Y1" s="286" t="s">
        <v>382</v>
      </c>
      <c r="Z1" s="286" t="s">
        <v>383</v>
      </c>
      <c r="AA1" s="286" t="s">
        <v>384</v>
      </c>
      <c r="AB1" s="286" t="s">
        <v>385</v>
      </c>
      <c r="AC1" s="286" t="s">
        <v>386</v>
      </c>
      <c r="AD1" s="286" t="s">
        <v>387</v>
      </c>
      <c r="AE1" s="286" t="s">
        <v>388</v>
      </c>
      <c r="AF1" s="286" t="s">
        <v>389</v>
      </c>
      <c r="AG1" s="286" t="s">
        <v>390</v>
      </c>
      <c r="AH1" s="286" t="s">
        <v>391</v>
      </c>
      <c r="AI1" s="286" t="s">
        <v>392</v>
      </c>
      <c r="AJ1" s="286" t="s">
        <v>393</v>
      </c>
      <c r="AK1" s="286" t="s">
        <v>394</v>
      </c>
      <c r="AL1" s="286" t="s">
        <v>395</v>
      </c>
      <c r="AM1" s="286" t="s">
        <v>396</v>
      </c>
      <c r="AN1" s="286" t="s">
        <v>397</v>
      </c>
      <c r="AO1" s="286" t="s">
        <v>398</v>
      </c>
      <c r="AP1" s="286" t="s">
        <v>399</v>
      </c>
      <c r="AQ1" s="286" t="s">
        <v>400</v>
      </c>
      <c r="AR1" s="286" t="s">
        <v>401</v>
      </c>
      <c r="AS1" s="286" t="s">
        <v>402</v>
      </c>
      <c r="AT1" s="286" t="s">
        <v>403</v>
      </c>
      <c r="AU1" s="287" t="s">
        <v>404</v>
      </c>
    </row>
    <row r="2" spans="1:47" ht="60" customHeight="1" outlineLevel="1" x14ac:dyDescent="0.35">
      <c r="A2" s="277" t="s">
        <v>4850</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4850</v>
      </c>
      <c r="B3" s="256" t="s">
        <v>4851</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4850</v>
      </c>
      <c r="B4" s="257" t="s">
        <v>4851</v>
      </c>
      <c r="C4" s="258" t="s">
        <v>4852</v>
      </c>
      <c r="D4" s="261" t="s">
        <v>4853</v>
      </c>
      <c r="E4" s="262" t="s">
        <v>4854</v>
      </c>
      <c r="F4" s="265" t="s">
        <v>4855</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4850</v>
      </c>
      <c r="B5" s="257" t="s">
        <v>4851</v>
      </c>
      <c r="C5" s="258" t="s">
        <v>4856</v>
      </c>
      <c r="D5" s="261" t="s">
        <v>4857</v>
      </c>
      <c r="E5" s="262" t="s">
        <v>4854</v>
      </c>
      <c r="F5" s="265" t="s">
        <v>4855</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4850</v>
      </c>
      <c r="B6" s="257" t="s">
        <v>4851</v>
      </c>
      <c r="C6" s="258" t="s">
        <v>4858</v>
      </c>
      <c r="D6" s="261" t="s">
        <v>4859</v>
      </c>
      <c r="E6" s="262" t="s">
        <v>4854</v>
      </c>
      <c r="F6" s="265" t="s">
        <v>4855</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4850</v>
      </c>
      <c r="B7" s="257" t="s">
        <v>4851</v>
      </c>
      <c r="C7" s="258" t="s">
        <v>4860</v>
      </c>
      <c r="D7" s="261" t="s">
        <v>4861</v>
      </c>
      <c r="E7" s="262" t="s">
        <v>4854</v>
      </c>
      <c r="F7" s="265" t="s">
        <v>4855</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4850</v>
      </c>
      <c r="B8" s="257" t="s">
        <v>4851</v>
      </c>
      <c r="C8" s="258" t="s">
        <v>4862</v>
      </c>
      <c r="D8" s="261" t="s">
        <v>4863</v>
      </c>
      <c r="E8" s="262" t="s">
        <v>4854</v>
      </c>
      <c r="F8" s="265" t="s">
        <v>4855</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4850</v>
      </c>
      <c r="B9" s="257" t="s">
        <v>4851</v>
      </c>
      <c r="C9" s="258" t="s">
        <v>4864</v>
      </c>
      <c r="D9" s="261" t="s">
        <v>4865</v>
      </c>
      <c r="E9" s="262" t="s">
        <v>4854</v>
      </c>
      <c r="F9" s="265" t="s">
        <v>4855</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4850</v>
      </c>
      <c r="B10" s="257" t="s">
        <v>4851</v>
      </c>
      <c r="C10" s="258" t="s">
        <v>4866</v>
      </c>
      <c r="D10" s="261" t="s">
        <v>4867</v>
      </c>
      <c r="E10" s="262" t="s">
        <v>4854</v>
      </c>
      <c r="F10" s="265" t="s">
        <v>4855</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4850</v>
      </c>
      <c r="B11" s="257" t="s">
        <v>4851</v>
      </c>
      <c r="C11" s="258" t="s">
        <v>4868</v>
      </c>
      <c r="D11" s="261" t="s">
        <v>4869</v>
      </c>
      <c r="E11" s="262" t="s">
        <v>4854</v>
      </c>
      <c r="F11" s="265" t="s">
        <v>4855</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4850</v>
      </c>
      <c r="B12" s="257" t="s">
        <v>4851</v>
      </c>
      <c r="C12" s="258" t="s">
        <v>4870</v>
      </c>
      <c r="D12" s="261" t="s">
        <v>4871</v>
      </c>
      <c r="E12" s="262" t="s">
        <v>4854</v>
      </c>
      <c r="F12" s="265" t="s">
        <v>4855</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4850</v>
      </c>
      <c r="B13" s="257" t="s">
        <v>4851</v>
      </c>
      <c r="C13" s="258" t="s">
        <v>4872</v>
      </c>
      <c r="D13" s="261" t="s">
        <v>4873</v>
      </c>
      <c r="E13" s="262" t="s">
        <v>4854</v>
      </c>
      <c r="F13" s="265" t="s">
        <v>4855</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4850</v>
      </c>
      <c r="B14" s="257" t="s">
        <v>4851</v>
      </c>
      <c r="C14" s="258" t="s">
        <v>4874</v>
      </c>
      <c r="D14" s="261" t="s">
        <v>4875</v>
      </c>
      <c r="E14" s="262" t="s">
        <v>4854</v>
      </c>
      <c r="F14" s="265" t="s">
        <v>4855</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4850</v>
      </c>
      <c r="B15" s="257" t="s">
        <v>4851</v>
      </c>
      <c r="C15" s="258" t="s">
        <v>4876</v>
      </c>
      <c r="D15" s="261" t="s">
        <v>4877</v>
      </c>
      <c r="E15" s="262" t="s">
        <v>4854</v>
      </c>
      <c r="F15" s="265" t="s">
        <v>4855</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4850</v>
      </c>
      <c r="B16" s="257" t="s">
        <v>4851</v>
      </c>
      <c r="C16" s="258" t="s">
        <v>4878</v>
      </c>
      <c r="D16" s="261" t="s">
        <v>4879</v>
      </c>
      <c r="E16" s="262" t="s">
        <v>4854</v>
      </c>
      <c r="F16" s="265" t="s">
        <v>4855</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4850</v>
      </c>
      <c r="B17" s="256" t="s">
        <v>4880</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4850</v>
      </c>
      <c r="B18" s="257" t="s">
        <v>4880</v>
      </c>
      <c r="C18" s="258" t="s">
        <v>4881</v>
      </c>
      <c r="D18" s="261" t="s">
        <v>4882</v>
      </c>
      <c r="E18" s="262" t="s">
        <v>4883</v>
      </c>
      <c r="F18" s="265" t="s">
        <v>4884</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4850</v>
      </c>
      <c r="B19" s="257" t="s">
        <v>4880</v>
      </c>
      <c r="C19" s="258" t="s">
        <v>4885</v>
      </c>
      <c r="D19" s="261" t="s">
        <v>4886</v>
      </c>
      <c r="E19" s="262" t="s">
        <v>4883</v>
      </c>
      <c r="F19" s="265" t="s">
        <v>4884</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4850</v>
      </c>
      <c r="B20" s="257" t="s">
        <v>4880</v>
      </c>
      <c r="C20" s="258" t="s">
        <v>4887</v>
      </c>
      <c r="D20" s="261" t="s">
        <v>4888</v>
      </c>
      <c r="E20" s="262" t="s">
        <v>4883</v>
      </c>
      <c r="F20" s="265" t="s">
        <v>4884</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4850</v>
      </c>
      <c r="B21" s="257" t="s">
        <v>4880</v>
      </c>
      <c r="C21" s="258" t="s">
        <v>4889</v>
      </c>
      <c r="D21" s="261" t="s">
        <v>4890</v>
      </c>
      <c r="E21" s="262" t="s">
        <v>4883</v>
      </c>
      <c r="F21" s="265" t="s">
        <v>4884</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4850</v>
      </c>
      <c r="B22" s="257" t="s">
        <v>4880</v>
      </c>
      <c r="C22" s="258" t="s">
        <v>4891</v>
      </c>
      <c r="D22" s="261" t="s">
        <v>4892</v>
      </c>
      <c r="E22" s="262" t="s">
        <v>4883</v>
      </c>
      <c r="F22" s="265" t="s">
        <v>4884</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4850</v>
      </c>
      <c r="B23" s="257" t="s">
        <v>4880</v>
      </c>
      <c r="C23" s="258" t="s">
        <v>4893</v>
      </c>
      <c r="D23" s="261" t="s">
        <v>4894</v>
      </c>
      <c r="E23" s="262" t="s">
        <v>4854</v>
      </c>
      <c r="F23" s="265" t="s">
        <v>4855</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4850</v>
      </c>
      <c r="B24" s="257" t="s">
        <v>4880</v>
      </c>
      <c r="C24" s="258" t="s">
        <v>4895</v>
      </c>
      <c r="D24" s="261" t="s">
        <v>4896</v>
      </c>
      <c r="E24" s="262" t="s">
        <v>4854</v>
      </c>
      <c r="F24" s="265" t="s">
        <v>4855</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4850</v>
      </c>
      <c r="B25" s="257" t="s">
        <v>4880</v>
      </c>
      <c r="C25" s="258" t="s">
        <v>4897</v>
      </c>
      <c r="D25" s="261" t="s">
        <v>4898</v>
      </c>
      <c r="E25" s="262" t="s">
        <v>4854</v>
      </c>
      <c r="F25" s="265" t="s">
        <v>4899</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4850</v>
      </c>
      <c r="B26" s="257" t="s">
        <v>4880</v>
      </c>
      <c r="C26" s="258" t="s">
        <v>4900</v>
      </c>
      <c r="D26" s="261" t="s">
        <v>4901</v>
      </c>
      <c r="E26" s="262" t="s">
        <v>4854</v>
      </c>
      <c r="F26" s="265" t="s">
        <v>4899</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4850</v>
      </c>
      <c r="B27" s="257" t="s">
        <v>4880</v>
      </c>
      <c r="C27" s="258" t="s">
        <v>4902</v>
      </c>
      <c r="D27" s="261" t="s">
        <v>4903</v>
      </c>
      <c r="E27" s="262" t="s">
        <v>4854</v>
      </c>
      <c r="F27" s="265" t="s">
        <v>4899</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4850</v>
      </c>
      <c r="B28" s="257" t="s">
        <v>4880</v>
      </c>
      <c r="C28" s="258" t="s">
        <v>4904</v>
      </c>
      <c r="D28" s="261" t="s">
        <v>4905</v>
      </c>
      <c r="E28" s="262" t="s">
        <v>4854</v>
      </c>
      <c r="F28" s="265" t="s">
        <v>4899</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4850</v>
      </c>
      <c r="B29" s="257" t="s">
        <v>4880</v>
      </c>
      <c r="C29" s="258" t="s">
        <v>4906</v>
      </c>
      <c r="D29" s="261" t="s">
        <v>4907</v>
      </c>
      <c r="E29" s="262" t="s">
        <v>4854</v>
      </c>
      <c r="F29" s="265" t="s">
        <v>4899</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4850</v>
      </c>
      <c r="B30" s="257" t="s">
        <v>4880</v>
      </c>
      <c r="C30" s="258" t="s">
        <v>4908</v>
      </c>
      <c r="D30" s="261" t="s">
        <v>4909</v>
      </c>
      <c r="E30" s="262" t="s">
        <v>4854</v>
      </c>
      <c r="F30" s="265" t="s">
        <v>4899</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4850</v>
      </c>
      <c r="B31" s="257" t="s">
        <v>4880</v>
      </c>
      <c r="C31" s="258" t="s">
        <v>4910</v>
      </c>
      <c r="D31" s="261" t="s">
        <v>4911</v>
      </c>
      <c r="E31" s="262" t="s">
        <v>4854</v>
      </c>
      <c r="F31" s="265" t="s">
        <v>4899</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4850</v>
      </c>
      <c r="B32" s="257" t="s">
        <v>4880</v>
      </c>
      <c r="C32" s="258" t="s">
        <v>4912</v>
      </c>
      <c r="D32" s="261" t="s">
        <v>4913</v>
      </c>
      <c r="E32" s="262" t="s">
        <v>4854</v>
      </c>
      <c r="F32" s="265" t="s">
        <v>4899</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4850</v>
      </c>
      <c r="B33" s="257" t="s">
        <v>4880</v>
      </c>
      <c r="C33" s="258" t="s">
        <v>4914</v>
      </c>
      <c r="D33" s="261" t="s">
        <v>4915</v>
      </c>
      <c r="E33" s="262" t="s">
        <v>4883</v>
      </c>
      <c r="F33" s="265" t="s">
        <v>4884</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4850</v>
      </c>
      <c r="B34" s="257" t="s">
        <v>4880</v>
      </c>
      <c r="C34" s="258" t="s">
        <v>4916</v>
      </c>
      <c r="D34" s="261" t="s">
        <v>4917</v>
      </c>
      <c r="E34" s="262" t="s">
        <v>4854</v>
      </c>
      <c r="F34" s="265" t="s">
        <v>4899</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4850</v>
      </c>
      <c r="B35" s="256" t="s">
        <v>4918</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4850</v>
      </c>
      <c r="B36" s="257" t="s">
        <v>4918</v>
      </c>
      <c r="C36" s="258" t="s">
        <v>4919</v>
      </c>
      <c r="D36" s="261" t="s">
        <v>4920</v>
      </c>
      <c r="E36" s="262" t="s">
        <v>4854</v>
      </c>
      <c r="F36" s="265" t="s">
        <v>4899</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4850</v>
      </c>
      <c r="B37" s="257" t="s">
        <v>4918</v>
      </c>
      <c r="C37" s="258" t="s">
        <v>4921</v>
      </c>
      <c r="D37" s="261" t="s">
        <v>4922</v>
      </c>
      <c r="E37" s="262" t="s">
        <v>4854</v>
      </c>
      <c r="F37" s="265" t="s">
        <v>4923</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4850</v>
      </c>
      <c r="B38" s="257" t="s">
        <v>4918</v>
      </c>
      <c r="C38" s="258" t="s">
        <v>4924</v>
      </c>
      <c r="D38" s="261" t="s">
        <v>4925</v>
      </c>
      <c r="E38" s="262" t="s">
        <v>4854</v>
      </c>
      <c r="F38" s="265" t="s">
        <v>4923</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4850</v>
      </c>
      <c r="B39" s="257" t="s">
        <v>4918</v>
      </c>
      <c r="C39" s="258" t="s">
        <v>4926</v>
      </c>
      <c r="D39" s="261" t="s">
        <v>4927</v>
      </c>
      <c r="E39" s="262" t="s">
        <v>4854</v>
      </c>
      <c r="F39" s="265" t="s">
        <v>4923</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4850</v>
      </c>
      <c r="B40" s="257" t="s">
        <v>4918</v>
      </c>
      <c r="C40" s="258" t="s">
        <v>4928</v>
      </c>
      <c r="D40" s="261" t="s">
        <v>4929</v>
      </c>
      <c r="E40" s="262" t="s">
        <v>4854</v>
      </c>
      <c r="F40" s="265" t="s">
        <v>4923</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4850</v>
      </c>
      <c r="B41" s="257" t="s">
        <v>4918</v>
      </c>
      <c r="C41" s="258" t="s">
        <v>4930</v>
      </c>
      <c r="D41" s="261" t="s">
        <v>4931</v>
      </c>
      <c r="E41" s="262" t="s">
        <v>4854</v>
      </c>
      <c r="F41" s="265" t="s">
        <v>4923</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4850</v>
      </c>
      <c r="B42" s="257" t="s">
        <v>4918</v>
      </c>
      <c r="C42" s="258" t="s">
        <v>4932</v>
      </c>
      <c r="D42" s="261" t="s">
        <v>4933</v>
      </c>
      <c r="E42" s="262" t="s">
        <v>4854</v>
      </c>
      <c r="F42" s="265" t="s">
        <v>4923</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4850</v>
      </c>
      <c r="B43" s="257" t="s">
        <v>4918</v>
      </c>
      <c r="C43" s="258" t="s">
        <v>4934</v>
      </c>
      <c r="D43" s="261" t="s">
        <v>4935</v>
      </c>
      <c r="E43" s="262" t="s">
        <v>4854</v>
      </c>
      <c r="F43" s="265" t="s">
        <v>4923</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4850</v>
      </c>
      <c r="B44" s="257" t="s">
        <v>4918</v>
      </c>
      <c r="C44" s="258" t="s">
        <v>4936</v>
      </c>
      <c r="D44" s="261" t="s">
        <v>4937</v>
      </c>
      <c r="E44" s="262" t="s">
        <v>4854</v>
      </c>
      <c r="F44" s="265" t="s">
        <v>4923</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4850</v>
      </c>
      <c r="B45" s="257" t="s">
        <v>4918</v>
      </c>
      <c r="C45" s="258" t="s">
        <v>4938</v>
      </c>
      <c r="D45" s="261" t="s">
        <v>4939</v>
      </c>
      <c r="E45" s="262" t="s">
        <v>4854</v>
      </c>
      <c r="F45" s="265" t="s">
        <v>4923</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4850</v>
      </c>
      <c r="B46" s="257" t="s">
        <v>4918</v>
      </c>
      <c r="C46" s="258" t="s">
        <v>4940</v>
      </c>
      <c r="D46" s="261" t="s">
        <v>4941</v>
      </c>
      <c r="E46" s="262" t="s">
        <v>4854</v>
      </c>
      <c r="F46" s="265" t="s">
        <v>4923</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4850</v>
      </c>
      <c r="B47" s="257" t="s">
        <v>4918</v>
      </c>
      <c r="C47" s="258" t="s">
        <v>4942</v>
      </c>
      <c r="D47" s="261" t="s">
        <v>4943</v>
      </c>
      <c r="E47" s="262" t="s">
        <v>4854</v>
      </c>
      <c r="F47" s="265" t="s">
        <v>4923</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4850</v>
      </c>
      <c r="B48" s="257" t="s">
        <v>4918</v>
      </c>
      <c r="C48" s="258" t="s">
        <v>4944</v>
      </c>
      <c r="D48" s="261" t="s">
        <v>4945</v>
      </c>
      <c r="E48" s="262" t="s">
        <v>4854</v>
      </c>
      <c r="F48" s="265" t="s">
        <v>4923</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4850</v>
      </c>
      <c r="B49" s="257" t="s">
        <v>4918</v>
      </c>
      <c r="C49" s="258" t="s">
        <v>4946</v>
      </c>
      <c r="D49" s="261" t="s">
        <v>4947</v>
      </c>
      <c r="E49" s="262" t="s">
        <v>4854</v>
      </c>
      <c r="F49" s="265" t="s">
        <v>4923</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4850</v>
      </c>
      <c r="B50" s="256" t="s">
        <v>2120</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4850</v>
      </c>
      <c r="B51" s="257" t="s">
        <v>2120</v>
      </c>
      <c r="C51" s="258" t="s">
        <v>4948</v>
      </c>
      <c r="D51" s="261" t="s">
        <v>4949</v>
      </c>
      <c r="E51" s="262" t="s">
        <v>4950</v>
      </c>
      <c r="F51" s="265" t="s">
        <v>4951</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4850</v>
      </c>
      <c r="B52" s="257" t="s">
        <v>2120</v>
      </c>
      <c r="C52" s="258" t="s">
        <v>4952</v>
      </c>
      <c r="D52" s="261" t="s">
        <v>4953</v>
      </c>
      <c r="E52" s="262" t="s">
        <v>4950</v>
      </c>
      <c r="F52" s="265" t="s">
        <v>4951</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4850</v>
      </c>
      <c r="B53" s="257" t="s">
        <v>2120</v>
      </c>
      <c r="C53" s="258" t="s">
        <v>4954</v>
      </c>
      <c r="D53" s="261" t="s">
        <v>4955</v>
      </c>
      <c r="E53" s="262" t="s">
        <v>4950</v>
      </c>
      <c r="F53" s="265" t="s">
        <v>4951</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4850</v>
      </c>
      <c r="B54" s="257" t="s">
        <v>2120</v>
      </c>
      <c r="C54" s="258" t="s">
        <v>4956</v>
      </c>
      <c r="D54" s="261" t="s">
        <v>4957</v>
      </c>
      <c r="E54" s="262" t="s">
        <v>4950</v>
      </c>
      <c r="F54" s="265" t="s">
        <v>4951</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4850</v>
      </c>
      <c r="B55" s="257" t="s">
        <v>2120</v>
      </c>
      <c r="C55" s="258" t="s">
        <v>4958</v>
      </c>
      <c r="D55" s="261" t="s">
        <v>4959</v>
      </c>
      <c r="E55" s="262" t="s">
        <v>4950</v>
      </c>
      <c r="F55" s="265" t="s">
        <v>4951</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4850</v>
      </c>
      <c r="B56" s="257" t="s">
        <v>2120</v>
      </c>
      <c r="C56" s="258" t="s">
        <v>4960</v>
      </c>
      <c r="D56" s="261" t="s">
        <v>4961</v>
      </c>
      <c r="E56" s="262" t="s">
        <v>4950</v>
      </c>
      <c r="F56" s="265" t="s">
        <v>4951</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4850</v>
      </c>
      <c r="B57" s="257" t="s">
        <v>2120</v>
      </c>
      <c r="C57" s="258" t="s">
        <v>4962</v>
      </c>
      <c r="D57" s="261" t="s">
        <v>4963</v>
      </c>
      <c r="E57" s="262" t="s">
        <v>4950</v>
      </c>
      <c r="F57" s="265" t="s">
        <v>4951</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4850</v>
      </c>
      <c r="B58" s="257" t="s">
        <v>2120</v>
      </c>
      <c r="C58" s="258" t="s">
        <v>4964</v>
      </c>
      <c r="D58" s="261" t="s">
        <v>4965</v>
      </c>
      <c r="E58" s="262" t="s">
        <v>4854</v>
      </c>
      <c r="F58" s="265" t="s">
        <v>4951</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4850</v>
      </c>
      <c r="B59" s="257" t="s">
        <v>2120</v>
      </c>
      <c r="C59" s="258" t="s">
        <v>4966</v>
      </c>
      <c r="D59" s="261" t="s">
        <v>4967</v>
      </c>
      <c r="E59" s="262" t="s">
        <v>4854</v>
      </c>
      <c r="F59" s="265" t="s">
        <v>4951</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4850</v>
      </c>
      <c r="B60" s="256" t="s">
        <v>4968</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4850</v>
      </c>
      <c r="B61" s="257" t="s">
        <v>4968</v>
      </c>
      <c r="C61" s="258" t="s">
        <v>4969</v>
      </c>
      <c r="D61" s="261" t="s">
        <v>4970</v>
      </c>
      <c r="E61" s="262" t="s">
        <v>4854</v>
      </c>
      <c r="F61" s="265" t="s">
        <v>4971</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4850</v>
      </c>
      <c r="B62" s="257" t="s">
        <v>4968</v>
      </c>
      <c r="C62" s="258" t="s">
        <v>4972</v>
      </c>
      <c r="D62" s="261" t="s">
        <v>4973</v>
      </c>
      <c r="E62" s="262" t="s">
        <v>4854</v>
      </c>
      <c r="F62" s="265" t="s">
        <v>4971</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4850</v>
      </c>
      <c r="B63" s="257" t="s">
        <v>4968</v>
      </c>
      <c r="C63" s="258" t="s">
        <v>4974</v>
      </c>
      <c r="D63" s="261" t="s">
        <v>4975</v>
      </c>
      <c r="E63" s="262" t="s">
        <v>4854</v>
      </c>
      <c r="F63" s="265" t="s">
        <v>4971</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4850</v>
      </c>
      <c r="B64" s="257" t="s">
        <v>4968</v>
      </c>
      <c r="C64" s="258" t="s">
        <v>4976</v>
      </c>
      <c r="D64" s="261" t="s">
        <v>4977</v>
      </c>
      <c r="E64" s="262" t="s">
        <v>4854</v>
      </c>
      <c r="F64" s="265" t="s">
        <v>4971</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4850</v>
      </c>
      <c r="B65" s="257" t="s">
        <v>4968</v>
      </c>
      <c r="C65" s="258" t="s">
        <v>4978</v>
      </c>
      <c r="D65" s="261" t="s">
        <v>4979</v>
      </c>
      <c r="E65" s="262" t="s">
        <v>4854</v>
      </c>
      <c r="F65" s="265" t="s">
        <v>4971</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4850</v>
      </c>
      <c r="B66" s="257" t="s">
        <v>4968</v>
      </c>
      <c r="C66" s="258" t="s">
        <v>4980</v>
      </c>
      <c r="D66" s="261" t="s">
        <v>4981</v>
      </c>
      <c r="E66" s="262" t="s">
        <v>4854</v>
      </c>
      <c r="F66" s="265" t="s">
        <v>4971</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4850</v>
      </c>
      <c r="B67" s="257" t="s">
        <v>4968</v>
      </c>
      <c r="C67" s="258" t="s">
        <v>4982</v>
      </c>
      <c r="D67" s="261" t="s">
        <v>4983</v>
      </c>
      <c r="E67" s="262" t="s">
        <v>4854</v>
      </c>
      <c r="F67" s="265" t="s">
        <v>4971</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4850</v>
      </c>
      <c r="B68" s="257" t="s">
        <v>4968</v>
      </c>
      <c r="C68" s="258" t="s">
        <v>4984</v>
      </c>
      <c r="D68" s="261" t="s">
        <v>4985</v>
      </c>
      <c r="E68" s="262" t="s">
        <v>4854</v>
      </c>
      <c r="F68" s="265" t="s">
        <v>4986</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4850</v>
      </c>
      <c r="B69" s="257" t="s">
        <v>4968</v>
      </c>
      <c r="C69" s="258" t="s">
        <v>4987</v>
      </c>
      <c r="D69" s="261" t="s">
        <v>4988</v>
      </c>
      <c r="E69" s="262" t="s">
        <v>4854</v>
      </c>
      <c r="F69" s="265" t="s">
        <v>4986</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4850</v>
      </c>
      <c r="B70" s="257" t="s">
        <v>4968</v>
      </c>
      <c r="C70" s="258" t="s">
        <v>4989</v>
      </c>
      <c r="D70" s="261" t="s">
        <v>4990</v>
      </c>
      <c r="E70" s="262" t="s">
        <v>4854</v>
      </c>
      <c r="F70" s="265" t="s">
        <v>4986</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4850</v>
      </c>
      <c r="B71" s="257" t="s">
        <v>4968</v>
      </c>
      <c r="C71" s="258" t="s">
        <v>4991</v>
      </c>
      <c r="D71" s="261" t="s">
        <v>4992</v>
      </c>
      <c r="E71" s="262" t="s">
        <v>4854</v>
      </c>
      <c r="F71" s="265" t="s">
        <v>4993</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4850</v>
      </c>
      <c r="B72" s="257" t="s">
        <v>4968</v>
      </c>
      <c r="C72" s="258" t="s">
        <v>4994</v>
      </c>
      <c r="D72" s="261" t="s">
        <v>4995</v>
      </c>
      <c r="E72" s="262" t="s">
        <v>4854</v>
      </c>
      <c r="F72" s="265" t="s">
        <v>4971</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4850</v>
      </c>
      <c r="B73" s="257" t="s">
        <v>4968</v>
      </c>
      <c r="C73" s="258" t="s">
        <v>4996</v>
      </c>
      <c r="D73" s="261" t="s">
        <v>4997</v>
      </c>
      <c r="E73" s="262" t="s">
        <v>4998</v>
      </c>
      <c r="F73" s="265" t="s">
        <v>4971</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4850</v>
      </c>
      <c r="B74" s="256" t="s">
        <v>4999</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4850</v>
      </c>
      <c r="B75" s="257" t="s">
        <v>4999</v>
      </c>
      <c r="C75" s="258" t="s">
        <v>5000</v>
      </c>
      <c r="D75" s="261" t="s">
        <v>5001</v>
      </c>
      <c r="E75" s="262" t="s">
        <v>4998</v>
      </c>
      <c r="F75" s="265" t="s">
        <v>5002</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4850</v>
      </c>
      <c r="B76" s="257" t="s">
        <v>4999</v>
      </c>
      <c r="C76" s="258" t="s">
        <v>5003</v>
      </c>
      <c r="D76" s="261" t="s">
        <v>5004</v>
      </c>
      <c r="E76" s="262" t="s">
        <v>4998</v>
      </c>
      <c r="F76" s="265" t="s">
        <v>5002</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4850</v>
      </c>
      <c r="B77" s="257" t="s">
        <v>4999</v>
      </c>
      <c r="C77" s="258" t="s">
        <v>5005</v>
      </c>
      <c r="D77" s="261" t="s">
        <v>5006</v>
      </c>
      <c r="E77" s="262" t="s">
        <v>4998</v>
      </c>
      <c r="F77" s="265" t="s">
        <v>5002</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4850</v>
      </c>
      <c r="B78" s="257" t="s">
        <v>4999</v>
      </c>
      <c r="C78" s="258" t="s">
        <v>5007</v>
      </c>
      <c r="D78" s="261" t="s">
        <v>5008</v>
      </c>
      <c r="E78" s="262" t="s">
        <v>4998</v>
      </c>
      <c r="F78" s="265" t="s">
        <v>5002</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4850</v>
      </c>
      <c r="B79" s="257" t="s">
        <v>4999</v>
      </c>
      <c r="C79" s="258" t="s">
        <v>5009</v>
      </c>
      <c r="D79" s="261" t="s">
        <v>5010</v>
      </c>
      <c r="E79" s="262" t="s">
        <v>4998</v>
      </c>
      <c r="F79" s="265" t="s">
        <v>5002</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4850</v>
      </c>
      <c r="B80" s="257" t="s">
        <v>4999</v>
      </c>
      <c r="C80" s="258" t="s">
        <v>5011</v>
      </c>
      <c r="D80" s="261" t="s">
        <v>5012</v>
      </c>
      <c r="E80" s="262" t="s">
        <v>4998</v>
      </c>
      <c r="F80" s="265" t="s">
        <v>5002</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4850</v>
      </c>
      <c r="B81" s="257" t="s">
        <v>4999</v>
      </c>
      <c r="C81" s="258" t="s">
        <v>5013</v>
      </c>
      <c r="D81" s="261" t="s">
        <v>5014</v>
      </c>
      <c r="E81" s="262" t="s">
        <v>4998</v>
      </c>
      <c r="F81" s="265" t="s">
        <v>5002</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4850</v>
      </c>
      <c r="B82" s="257" t="s">
        <v>4999</v>
      </c>
      <c r="C82" s="258" t="s">
        <v>5015</v>
      </c>
      <c r="D82" s="261" t="s">
        <v>5016</v>
      </c>
      <c r="E82" s="262" t="s">
        <v>4998</v>
      </c>
      <c r="F82" s="265" t="s">
        <v>5002</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4850</v>
      </c>
      <c r="B83" s="257" t="s">
        <v>4999</v>
      </c>
      <c r="C83" s="258" t="s">
        <v>5017</v>
      </c>
      <c r="D83" s="261" t="s">
        <v>5018</v>
      </c>
      <c r="E83" s="262" t="s">
        <v>4998</v>
      </c>
      <c r="F83" s="265" t="s">
        <v>5002</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4850</v>
      </c>
      <c r="B84" s="257" t="s">
        <v>4999</v>
      </c>
      <c r="C84" s="258" t="s">
        <v>5019</v>
      </c>
      <c r="D84" s="261" t="s">
        <v>5020</v>
      </c>
      <c r="E84" s="262" t="s">
        <v>4998</v>
      </c>
      <c r="F84" s="265" t="s">
        <v>5002</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4850</v>
      </c>
      <c r="B85" s="257" t="s">
        <v>4999</v>
      </c>
      <c r="C85" s="258" t="s">
        <v>5021</v>
      </c>
      <c r="D85" s="261" t="s">
        <v>5022</v>
      </c>
      <c r="E85" s="262" t="s">
        <v>4998</v>
      </c>
      <c r="F85" s="265" t="s">
        <v>5002</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4850</v>
      </c>
      <c r="B86" s="257" t="s">
        <v>4999</v>
      </c>
      <c r="C86" s="258" t="s">
        <v>5023</v>
      </c>
      <c r="D86" s="261" t="s">
        <v>5024</v>
      </c>
      <c r="E86" s="262" t="s">
        <v>4998</v>
      </c>
      <c r="F86" s="265" t="s">
        <v>5002</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4850</v>
      </c>
      <c r="B87" s="257" t="s">
        <v>4999</v>
      </c>
      <c r="C87" s="258" t="s">
        <v>5025</v>
      </c>
      <c r="D87" s="261" t="s">
        <v>5026</v>
      </c>
      <c r="E87" s="262" t="s">
        <v>4998</v>
      </c>
      <c r="F87" s="265" t="s">
        <v>5002</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4850</v>
      </c>
      <c r="B88" s="257" t="s">
        <v>4999</v>
      </c>
      <c r="C88" s="258" t="s">
        <v>5027</v>
      </c>
      <c r="D88" s="261" t="s">
        <v>5028</v>
      </c>
      <c r="E88" s="262" t="s">
        <v>4998</v>
      </c>
      <c r="F88" s="265" t="s">
        <v>4986</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4850</v>
      </c>
      <c r="B89" s="257" t="s">
        <v>4999</v>
      </c>
      <c r="C89" s="258" t="s">
        <v>5029</v>
      </c>
      <c r="D89" s="261" t="s">
        <v>5030</v>
      </c>
      <c r="E89" s="262" t="s">
        <v>4998</v>
      </c>
      <c r="F89" s="265" t="s">
        <v>4986</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4850</v>
      </c>
      <c r="B90" s="257" t="s">
        <v>4999</v>
      </c>
      <c r="C90" s="258" t="s">
        <v>5031</v>
      </c>
      <c r="D90" s="261" t="s">
        <v>5032</v>
      </c>
      <c r="E90" s="262" t="s">
        <v>4998</v>
      </c>
      <c r="F90" s="265" t="s">
        <v>4986</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4850</v>
      </c>
      <c r="B91" s="256" t="s">
        <v>5033</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4850</v>
      </c>
      <c r="B92" s="257" t="s">
        <v>5033</v>
      </c>
      <c r="C92" s="258" t="s">
        <v>5034</v>
      </c>
      <c r="D92" s="261" t="s">
        <v>5035</v>
      </c>
      <c r="E92" s="262" t="s">
        <v>4854</v>
      </c>
      <c r="F92" s="265" t="s">
        <v>4986</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4850</v>
      </c>
      <c r="B93" s="257" t="s">
        <v>5033</v>
      </c>
      <c r="C93" s="258" t="s">
        <v>5036</v>
      </c>
      <c r="D93" s="261" t="s">
        <v>5037</v>
      </c>
      <c r="E93" s="262" t="s">
        <v>4854</v>
      </c>
      <c r="F93" s="265" t="s">
        <v>4986</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4850</v>
      </c>
      <c r="B94" s="257" t="s">
        <v>5033</v>
      </c>
      <c r="C94" s="258" t="s">
        <v>5038</v>
      </c>
      <c r="D94" s="261" t="s">
        <v>5039</v>
      </c>
      <c r="E94" s="262" t="s">
        <v>4854</v>
      </c>
      <c r="F94" s="265" t="s">
        <v>4986</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4850</v>
      </c>
      <c r="B95" s="257" t="s">
        <v>5033</v>
      </c>
      <c r="C95" s="258" t="s">
        <v>5040</v>
      </c>
      <c r="D95" s="261" t="s">
        <v>5041</v>
      </c>
      <c r="E95" s="262" t="s">
        <v>4854</v>
      </c>
      <c r="F95" s="265" t="s">
        <v>4986</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4850</v>
      </c>
      <c r="B96" s="257" t="s">
        <v>5033</v>
      </c>
      <c r="C96" s="258" t="s">
        <v>5042</v>
      </c>
      <c r="D96" s="261" t="s">
        <v>5043</v>
      </c>
      <c r="E96" s="262" t="s">
        <v>4854</v>
      </c>
      <c r="F96" s="265" t="s">
        <v>4986</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4850</v>
      </c>
      <c r="B97" s="257" t="s">
        <v>5033</v>
      </c>
      <c r="C97" s="258" t="s">
        <v>5044</v>
      </c>
      <c r="D97" s="261" t="s">
        <v>5045</v>
      </c>
      <c r="E97" s="262" t="s">
        <v>4854</v>
      </c>
      <c r="F97" s="265" t="s">
        <v>5046</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4850</v>
      </c>
      <c r="B98" s="257" t="s">
        <v>5033</v>
      </c>
      <c r="C98" s="258" t="s">
        <v>5047</v>
      </c>
      <c r="D98" s="261" t="s">
        <v>5048</v>
      </c>
      <c r="E98" s="262" t="s">
        <v>4854</v>
      </c>
      <c r="F98" s="265" t="s">
        <v>5046</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4850</v>
      </c>
      <c r="B99" s="257" t="s">
        <v>5033</v>
      </c>
      <c r="C99" s="258" t="s">
        <v>5049</v>
      </c>
      <c r="D99" s="261" t="s">
        <v>5050</v>
      </c>
      <c r="E99" s="262" t="s">
        <v>4854</v>
      </c>
      <c r="F99" s="265" t="s">
        <v>5046</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4850</v>
      </c>
      <c r="B100" s="257" t="s">
        <v>5033</v>
      </c>
      <c r="C100" s="258" t="s">
        <v>5051</v>
      </c>
      <c r="D100" s="261" t="s">
        <v>5052</v>
      </c>
      <c r="E100" s="262" t="s">
        <v>4854</v>
      </c>
      <c r="F100" s="265" t="s">
        <v>5046</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4850</v>
      </c>
      <c r="B101" s="257" t="s">
        <v>5033</v>
      </c>
      <c r="C101" s="258" t="s">
        <v>5053</v>
      </c>
      <c r="D101" s="261" t="s">
        <v>5054</v>
      </c>
      <c r="E101" s="262" t="s">
        <v>4854</v>
      </c>
      <c r="F101" s="265" t="s">
        <v>4986</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4850</v>
      </c>
      <c r="B102" s="257" t="s">
        <v>5033</v>
      </c>
      <c r="C102" s="258" t="s">
        <v>5055</v>
      </c>
      <c r="D102" s="261" t="s">
        <v>5056</v>
      </c>
      <c r="E102" s="262" t="s">
        <v>4998</v>
      </c>
      <c r="F102" s="265" t="s">
        <v>4986</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4850</v>
      </c>
      <c r="B103" s="257" t="s">
        <v>5033</v>
      </c>
      <c r="C103" s="258" t="s">
        <v>5057</v>
      </c>
      <c r="D103" s="261" t="s">
        <v>5058</v>
      </c>
      <c r="E103" s="262" t="s">
        <v>4998</v>
      </c>
      <c r="F103" s="265" t="s">
        <v>4986</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4850</v>
      </c>
      <c r="B104" s="257" t="s">
        <v>5033</v>
      </c>
      <c r="C104" s="258" t="s">
        <v>5059</v>
      </c>
      <c r="D104" s="261" t="s">
        <v>5060</v>
      </c>
      <c r="E104" s="262" t="s">
        <v>4998</v>
      </c>
      <c r="F104" s="265" t="s">
        <v>4986</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4850</v>
      </c>
      <c r="B105" s="257" t="s">
        <v>5033</v>
      </c>
      <c r="C105" s="258" t="s">
        <v>5061</v>
      </c>
      <c r="D105" s="261" t="s">
        <v>5062</v>
      </c>
      <c r="E105" s="262" t="s">
        <v>4883</v>
      </c>
      <c r="F105" s="265" t="s">
        <v>4986</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4850</v>
      </c>
      <c r="B106" s="256" t="s">
        <v>5063</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4850</v>
      </c>
      <c r="B107" s="257" t="s">
        <v>5063</v>
      </c>
      <c r="C107" s="258" t="s">
        <v>5064</v>
      </c>
      <c r="D107" s="261" t="s">
        <v>5065</v>
      </c>
      <c r="E107" s="262" t="s">
        <v>4998</v>
      </c>
      <c r="F107" s="265" t="s">
        <v>4986</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4850</v>
      </c>
      <c r="B108" s="257" t="s">
        <v>5063</v>
      </c>
      <c r="C108" s="258" t="s">
        <v>5066</v>
      </c>
      <c r="D108" s="261" t="s">
        <v>5067</v>
      </c>
      <c r="E108" s="262" t="s">
        <v>4998</v>
      </c>
      <c r="F108" s="265" t="s">
        <v>4986</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4850</v>
      </c>
      <c r="B109" s="257" t="s">
        <v>5063</v>
      </c>
      <c r="C109" s="258" t="s">
        <v>5068</v>
      </c>
      <c r="D109" s="261" t="s">
        <v>5069</v>
      </c>
      <c r="E109" s="262" t="s">
        <v>4998</v>
      </c>
      <c r="F109" s="265" t="s">
        <v>4986</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4850</v>
      </c>
      <c r="B110" s="257" t="s">
        <v>5063</v>
      </c>
      <c r="C110" s="258" t="s">
        <v>5070</v>
      </c>
      <c r="D110" s="261" t="s">
        <v>5071</v>
      </c>
      <c r="E110" s="262" t="s">
        <v>4998</v>
      </c>
      <c r="F110" s="265" t="s">
        <v>4986</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4850</v>
      </c>
      <c r="B111" s="257" t="s">
        <v>5063</v>
      </c>
      <c r="C111" s="258" t="s">
        <v>5072</v>
      </c>
      <c r="D111" s="261" t="s">
        <v>5073</v>
      </c>
      <c r="E111" s="262" t="s">
        <v>4998</v>
      </c>
      <c r="F111" s="265" t="s">
        <v>4986</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4850</v>
      </c>
      <c r="B112" s="257" t="s">
        <v>5063</v>
      </c>
      <c r="C112" s="258" t="s">
        <v>5074</v>
      </c>
      <c r="D112" s="261" t="s">
        <v>5075</v>
      </c>
      <c r="E112" s="262" t="s">
        <v>4998</v>
      </c>
      <c r="F112" s="265" t="s">
        <v>4986</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4850</v>
      </c>
      <c r="B113" s="257" t="s">
        <v>5063</v>
      </c>
      <c r="C113" s="258" t="s">
        <v>5076</v>
      </c>
      <c r="D113" s="261" t="s">
        <v>5077</v>
      </c>
      <c r="E113" s="262" t="s">
        <v>4998</v>
      </c>
      <c r="F113" s="265" t="s">
        <v>4986</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4850</v>
      </c>
      <c r="B114" s="257" t="s">
        <v>5063</v>
      </c>
      <c r="C114" s="258" t="s">
        <v>5078</v>
      </c>
      <c r="D114" s="261" t="s">
        <v>5079</v>
      </c>
      <c r="E114" s="262" t="s">
        <v>4998</v>
      </c>
      <c r="F114" s="265" t="s">
        <v>4986</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4850</v>
      </c>
      <c r="B115" s="257" t="s">
        <v>5063</v>
      </c>
      <c r="C115" s="258" t="s">
        <v>5080</v>
      </c>
      <c r="D115" s="261" t="s">
        <v>5081</v>
      </c>
      <c r="E115" s="262" t="s">
        <v>4998</v>
      </c>
      <c r="F115" s="265" t="s">
        <v>4986</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4850</v>
      </c>
      <c r="B116" s="257" t="s">
        <v>5063</v>
      </c>
      <c r="C116" s="258" t="s">
        <v>5082</v>
      </c>
      <c r="D116" s="261" t="s">
        <v>5083</v>
      </c>
      <c r="E116" s="262" t="s">
        <v>4998</v>
      </c>
      <c r="F116" s="265" t="s">
        <v>4986</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4850</v>
      </c>
      <c r="B117" s="257" t="s">
        <v>5063</v>
      </c>
      <c r="C117" s="258" t="s">
        <v>5084</v>
      </c>
      <c r="D117" s="261" t="s">
        <v>5085</v>
      </c>
      <c r="E117" s="262" t="s">
        <v>4998</v>
      </c>
      <c r="F117" s="265" t="s">
        <v>4986</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5086</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5086</v>
      </c>
      <c r="B119" s="256" t="s">
        <v>5087</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5086</v>
      </c>
      <c r="B120" s="257" t="s">
        <v>5087</v>
      </c>
      <c r="C120" s="258" t="s">
        <v>5088</v>
      </c>
      <c r="D120" s="261" t="s">
        <v>5089</v>
      </c>
      <c r="E120" s="262" t="s">
        <v>4854</v>
      </c>
      <c r="F120" s="265" t="s">
        <v>5090</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5086</v>
      </c>
      <c r="B121" s="257" t="s">
        <v>5087</v>
      </c>
      <c r="C121" s="258" t="s">
        <v>5091</v>
      </c>
      <c r="D121" s="261" t="s">
        <v>5092</v>
      </c>
      <c r="E121" s="262" t="s">
        <v>4854</v>
      </c>
      <c r="F121" s="265" t="s">
        <v>5090</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5086</v>
      </c>
      <c r="B122" s="257" t="s">
        <v>5087</v>
      </c>
      <c r="C122" s="258" t="s">
        <v>5093</v>
      </c>
      <c r="D122" s="261" t="s">
        <v>5094</v>
      </c>
      <c r="E122" s="262" t="s">
        <v>4854</v>
      </c>
      <c r="F122" s="265" t="s">
        <v>5090</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5086</v>
      </c>
      <c r="B123" s="257" t="s">
        <v>5087</v>
      </c>
      <c r="C123" s="258" t="s">
        <v>5095</v>
      </c>
      <c r="D123" s="261" t="s">
        <v>5096</v>
      </c>
      <c r="E123" s="262" t="s">
        <v>4854</v>
      </c>
      <c r="F123" s="265" t="s">
        <v>5090</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5086</v>
      </c>
      <c r="B124" s="257" t="s">
        <v>5087</v>
      </c>
      <c r="C124" s="258" t="s">
        <v>5097</v>
      </c>
      <c r="D124" s="261" t="s">
        <v>5098</v>
      </c>
      <c r="E124" s="262" t="s">
        <v>4854</v>
      </c>
      <c r="F124" s="265" t="s">
        <v>5090</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5086</v>
      </c>
      <c r="B125" s="257" t="s">
        <v>5087</v>
      </c>
      <c r="C125" s="258" t="s">
        <v>5099</v>
      </c>
      <c r="D125" s="261" t="s">
        <v>5100</v>
      </c>
      <c r="E125" s="262" t="s">
        <v>4854</v>
      </c>
      <c r="F125" s="265" t="s">
        <v>5090</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5086</v>
      </c>
      <c r="B126" s="257" t="s">
        <v>5087</v>
      </c>
      <c r="C126" s="258" t="s">
        <v>5101</v>
      </c>
      <c r="D126" s="261" t="s">
        <v>5102</v>
      </c>
      <c r="E126" s="262" t="s">
        <v>4854</v>
      </c>
      <c r="F126" s="265" t="s">
        <v>5090</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5086</v>
      </c>
      <c r="B127" s="257" t="s">
        <v>5087</v>
      </c>
      <c r="C127" s="258" t="s">
        <v>5103</v>
      </c>
      <c r="D127" s="261" t="s">
        <v>5104</v>
      </c>
      <c r="E127" s="262" t="s">
        <v>4854</v>
      </c>
      <c r="F127" s="265" t="s">
        <v>5090</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5086</v>
      </c>
      <c r="B128" s="257" t="s">
        <v>5087</v>
      </c>
      <c r="C128" s="258" t="s">
        <v>5105</v>
      </c>
      <c r="D128" s="261" t="s">
        <v>5106</v>
      </c>
      <c r="E128" s="262" t="s">
        <v>4854</v>
      </c>
      <c r="F128" s="265" t="s">
        <v>5090</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5086</v>
      </c>
      <c r="B129" s="257" t="s">
        <v>5087</v>
      </c>
      <c r="C129" s="258" t="s">
        <v>5107</v>
      </c>
      <c r="D129" s="261" t="s">
        <v>5108</v>
      </c>
      <c r="E129" s="262" t="s">
        <v>4854</v>
      </c>
      <c r="F129" s="265" t="s">
        <v>5090</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5086</v>
      </c>
      <c r="B130" s="257" t="s">
        <v>5087</v>
      </c>
      <c r="C130" s="258" t="s">
        <v>5109</v>
      </c>
      <c r="D130" s="261" t="s">
        <v>5110</v>
      </c>
      <c r="E130" s="262" t="s">
        <v>4854</v>
      </c>
      <c r="F130" s="265" t="s">
        <v>5090</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5086</v>
      </c>
      <c r="B131" s="257" t="s">
        <v>5087</v>
      </c>
      <c r="C131" s="258" t="s">
        <v>5111</v>
      </c>
      <c r="D131" s="261" t="s">
        <v>5112</v>
      </c>
      <c r="E131" s="262" t="s">
        <v>4854</v>
      </c>
      <c r="F131" s="265" t="s">
        <v>5090</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5086</v>
      </c>
      <c r="B132" s="257" t="s">
        <v>5087</v>
      </c>
      <c r="C132" s="258" t="s">
        <v>5113</v>
      </c>
      <c r="D132" s="261" t="s">
        <v>5114</v>
      </c>
      <c r="E132" s="262" t="s">
        <v>4854</v>
      </c>
      <c r="F132" s="265" t="s">
        <v>5090</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5086</v>
      </c>
      <c r="B133" s="257" t="s">
        <v>5087</v>
      </c>
      <c r="C133" s="258" t="s">
        <v>5115</v>
      </c>
      <c r="D133" s="261" t="s">
        <v>5116</v>
      </c>
      <c r="E133" s="262" t="s">
        <v>4883</v>
      </c>
      <c r="F133" s="265" t="s">
        <v>5090</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5086</v>
      </c>
      <c r="B134" s="257" t="s">
        <v>5087</v>
      </c>
      <c r="C134" s="258" t="s">
        <v>5117</v>
      </c>
      <c r="D134" s="261" t="s">
        <v>5118</v>
      </c>
      <c r="E134" s="262" t="s">
        <v>4883</v>
      </c>
      <c r="F134" s="265" t="s">
        <v>5090</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5086</v>
      </c>
      <c r="B135" s="257" t="s">
        <v>5087</v>
      </c>
      <c r="C135" s="258" t="s">
        <v>5119</v>
      </c>
      <c r="D135" s="261" t="s">
        <v>5120</v>
      </c>
      <c r="E135" s="262" t="s">
        <v>4998</v>
      </c>
      <c r="F135" s="265" t="s">
        <v>5090</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5086</v>
      </c>
      <c r="B136" s="257" t="s">
        <v>5087</v>
      </c>
      <c r="C136" s="258" t="s">
        <v>5121</v>
      </c>
      <c r="D136" s="261" t="s">
        <v>5122</v>
      </c>
      <c r="E136" s="262" t="s">
        <v>4883</v>
      </c>
      <c r="F136" s="265" t="s">
        <v>5090</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5086</v>
      </c>
      <c r="B137" s="257" t="s">
        <v>5087</v>
      </c>
      <c r="C137" s="258" t="s">
        <v>5123</v>
      </c>
      <c r="D137" s="261" t="s">
        <v>5124</v>
      </c>
      <c r="E137" s="262" t="s">
        <v>4883</v>
      </c>
      <c r="F137" s="265" t="s">
        <v>5090</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5086</v>
      </c>
      <c r="B138" s="257" t="s">
        <v>5087</v>
      </c>
      <c r="C138" s="258" t="s">
        <v>5125</v>
      </c>
      <c r="D138" s="261" t="s">
        <v>5126</v>
      </c>
      <c r="E138" s="262" t="s">
        <v>4998</v>
      </c>
      <c r="F138" s="265" t="s">
        <v>5090</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5086</v>
      </c>
      <c r="B139" s="257" t="s">
        <v>5087</v>
      </c>
      <c r="C139" s="258" t="s">
        <v>5127</v>
      </c>
      <c r="D139" s="261" t="s">
        <v>5128</v>
      </c>
      <c r="E139" s="262" t="s">
        <v>4998</v>
      </c>
      <c r="F139" s="265" t="s">
        <v>5090</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5086</v>
      </c>
      <c r="B140" s="257" t="s">
        <v>5087</v>
      </c>
      <c r="C140" s="258" t="s">
        <v>5129</v>
      </c>
      <c r="D140" s="261" t="s">
        <v>5130</v>
      </c>
      <c r="E140" s="262" t="s">
        <v>4854</v>
      </c>
      <c r="F140" s="265" t="s">
        <v>5090</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5086</v>
      </c>
      <c r="B141" s="257" t="s">
        <v>5087</v>
      </c>
      <c r="C141" s="258" t="s">
        <v>5131</v>
      </c>
      <c r="D141" s="261" t="s">
        <v>5132</v>
      </c>
      <c r="E141" s="262" t="s">
        <v>5133</v>
      </c>
      <c r="F141" s="265" t="s">
        <v>5134</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5086</v>
      </c>
      <c r="B142" s="257" t="s">
        <v>5087</v>
      </c>
      <c r="C142" s="258" t="s">
        <v>5135</v>
      </c>
      <c r="D142" s="261" t="s">
        <v>5136</v>
      </c>
      <c r="E142" s="262" t="s">
        <v>5133</v>
      </c>
      <c r="F142" s="265" t="s">
        <v>5134</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5086</v>
      </c>
      <c r="B143" s="257" t="s">
        <v>5087</v>
      </c>
      <c r="C143" s="258" t="s">
        <v>5137</v>
      </c>
      <c r="D143" s="261" t="s">
        <v>5138</v>
      </c>
      <c r="E143" s="262" t="s">
        <v>5133</v>
      </c>
      <c r="F143" s="265" t="s">
        <v>5134</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5086</v>
      </c>
      <c r="B144" s="257" t="s">
        <v>5087</v>
      </c>
      <c r="C144" s="258" t="s">
        <v>5139</v>
      </c>
      <c r="D144" s="261" t="s">
        <v>5140</v>
      </c>
      <c r="E144" s="262" t="s">
        <v>4950</v>
      </c>
      <c r="F144" s="265" t="s">
        <v>5134</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5086</v>
      </c>
      <c r="B145" s="257" t="s">
        <v>5087</v>
      </c>
      <c r="C145" s="258" t="s">
        <v>5141</v>
      </c>
      <c r="D145" s="261" t="s">
        <v>5142</v>
      </c>
      <c r="E145" s="262" t="s">
        <v>4950</v>
      </c>
      <c r="F145" s="265" t="s">
        <v>5134</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5086</v>
      </c>
      <c r="B146" s="257" t="s">
        <v>5087</v>
      </c>
      <c r="C146" s="258" t="s">
        <v>5143</v>
      </c>
      <c r="D146" s="261" t="s">
        <v>5144</v>
      </c>
      <c r="E146" s="262" t="s">
        <v>4950</v>
      </c>
      <c r="F146" s="265" t="s">
        <v>5134</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5086</v>
      </c>
      <c r="B147" s="256" t="s">
        <v>5145</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5086</v>
      </c>
      <c r="B148" s="257" t="s">
        <v>5145</v>
      </c>
      <c r="C148" s="258" t="s">
        <v>5146</v>
      </c>
      <c r="D148" s="261" t="s">
        <v>5147</v>
      </c>
      <c r="E148" s="262" t="s">
        <v>4883</v>
      </c>
      <c r="F148" s="265" t="s">
        <v>5148</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5086</v>
      </c>
      <c r="B149" s="257" t="s">
        <v>5145</v>
      </c>
      <c r="C149" s="258" t="s">
        <v>5149</v>
      </c>
      <c r="D149" s="261" t="s">
        <v>5150</v>
      </c>
      <c r="E149" s="262" t="s">
        <v>4883</v>
      </c>
      <c r="F149" s="265" t="s">
        <v>5148</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5086</v>
      </c>
      <c r="B150" s="257" t="s">
        <v>5145</v>
      </c>
      <c r="C150" s="258" t="s">
        <v>5151</v>
      </c>
      <c r="D150" s="261" t="s">
        <v>5152</v>
      </c>
      <c r="E150" s="262" t="s">
        <v>4883</v>
      </c>
      <c r="F150" s="265" t="s">
        <v>5148</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5086</v>
      </c>
      <c r="B151" s="257" t="s">
        <v>5145</v>
      </c>
      <c r="C151" s="258" t="s">
        <v>5153</v>
      </c>
      <c r="D151" s="261" t="s">
        <v>5154</v>
      </c>
      <c r="E151" s="262" t="s">
        <v>4883</v>
      </c>
      <c r="F151" s="265" t="s">
        <v>5148</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5086</v>
      </c>
      <c r="B152" s="257" t="s">
        <v>5145</v>
      </c>
      <c r="C152" s="258" t="s">
        <v>5155</v>
      </c>
      <c r="D152" s="261" t="s">
        <v>5156</v>
      </c>
      <c r="E152" s="262" t="s">
        <v>4883</v>
      </c>
      <c r="F152" s="265" t="s">
        <v>5148</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5086</v>
      </c>
      <c r="B153" s="257" t="s">
        <v>5145</v>
      </c>
      <c r="C153" s="258" t="s">
        <v>5157</v>
      </c>
      <c r="D153" s="261" t="s">
        <v>5158</v>
      </c>
      <c r="E153" s="262" t="s">
        <v>4883</v>
      </c>
      <c r="F153" s="265" t="s">
        <v>5148</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5086</v>
      </c>
      <c r="B154" s="257" t="s">
        <v>5145</v>
      </c>
      <c r="C154" s="258" t="s">
        <v>5159</v>
      </c>
      <c r="D154" s="261" t="s">
        <v>5160</v>
      </c>
      <c r="E154" s="262" t="s">
        <v>4883</v>
      </c>
      <c r="F154" s="265" t="s">
        <v>5148</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5086</v>
      </c>
      <c r="B155" s="257" t="s">
        <v>5145</v>
      </c>
      <c r="C155" s="258" t="s">
        <v>5161</v>
      </c>
      <c r="D155" s="261" t="s">
        <v>5162</v>
      </c>
      <c r="E155" s="262" t="s">
        <v>4883</v>
      </c>
      <c r="F155" s="265" t="s">
        <v>5148</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5086</v>
      </c>
      <c r="B156" s="257" t="s">
        <v>5145</v>
      </c>
      <c r="C156" s="258" t="s">
        <v>5163</v>
      </c>
      <c r="D156" s="261" t="s">
        <v>5164</v>
      </c>
      <c r="E156" s="262" t="s">
        <v>4883</v>
      </c>
      <c r="F156" s="265" t="s">
        <v>5148</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5086</v>
      </c>
      <c r="B157" s="257" t="s">
        <v>5145</v>
      </c>
      <c r="C157" s="258" t="s">
        <v>5165</v>
      </c>
      <c r="D157" s="261" t="s">
        <v>5166</v>
      </c>
      <c r="E157" s="262" t="s">
        <v>4883</v>
      </c>
      <c r="F157" s="265" t="s">
        <v>5148</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5086</v>
      </c>
      <c r="B158" s="257" t="s">
        <v>5145</v>
      </c>
      <c r="C158" s="258" t="s">
        <v>5167</v>
      </c>
      <c r="D158" s="261" t="s">
        <v>5168</v>
      </c>
      <c r="E158" s="262" t="s">
        <v>4883</v>
      </c>
      <c r="F158" s="265" t="s">
        <v>5148</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5086</v>
      </c>
      <c r="B159" s="257" t="s">
        <v>5145</v>
      </c>
      <c r="C159" s="258" t="s">
        <v>5169</v>
      </c>
      <c r="D159" s="261" t="s">
        <v>5170</v>
      </c>
      <c r="E159" s="262" t="s">
        <v>4883</v>
      </c>
      <c r="F159" s="265" t="s">
        <v>5148</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5086</v>
      </c>
      <c r="B160" s="257" t="s">
        <v>5145</v>
      </c>
      <c r="C160" s="258" t="s">
        <v>5171</v>
      </c>
      <c r="D160" s="261" t="s">
        <v>5172</v>
      </c>
      <c r="E160" s="262" t="s">
        <v>4883</v>
      </c>
      <c r="F160" s="265" t="s">
        <v>5173</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5086</v>
      </c>
      <c r="B161" s="257" t="s">
        <v>5145</v>
      </c>
      <c r="C161" s="258" t="s">
        <v>5174</v>
      </c>
      <c r="D161" s="261" t="s">
        <v>5175</v>
      </c>
      <c r="E161" s="262" t="s">
        <v>4883</v>
      </c>
      <c r="F161" s="265" t="s">
        <v>5173</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5086</v>
      </c>
      <c r="B162" s="257" t="s">
        <v>5145</v>
      </c>
      <c r="C162" s="258" t="s">
        <v>5176</v>
      </c>
      <c r="D162" s="261" t="s">
        <v>5177</v>
      </c>
      <c r="E162" s="262" t="s">
        <v>4883</v>
      </c>
      <c r="F162" s="265" t="s">
        <v>5173</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5086</v>
      </c>
      <c r="B163" s="257" t="s">
        <v>5145</v>
      </c>
      <c r="C163" s="258" t="s">
        <v>5178</v>
      </c>
      <c r="D163" s="261" t="s">
        <v>5179</v>
      </c>
      <c r="E163" s="262" t="s">
        <v>4883</v>
      </c>
      <c r="F163" s="265" t="s">
        <v>5173</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5086</v>
      </c>
      <c r="B164" s="257" t="s">
        <v>5145</v>
      </c>
      <c r="C164" s="258" t="s">
        <v>5180</v>
      </c>
      <c r="D164" s="261" t="s">
        <v>5181</v>
      </c>
      <c r="E164" s="262" t="s">
        <v>4883</v>
      </c>
      <c r="F164" s="265" t="s">
        <v>5173</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5086</v>
      </c>
      <c r="B165" s="256" t="s">
        <v>5182</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5086</v>
      </c>
      <c r="B166" s="257" t="s">
        <v>5182</v>
      </c>
      <c r="C166" s="258" t="s">
        <v>5183</v>
      </c>
      <c r="D166" s="261" t="s">
        <v>5184</v>
      </c>
      <c r="E166" s="262" t="s">
        <v>4854</v>
      </c>
      <c r="F166" s="265" t="s">
        <v>5185</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5086</v>
      </c>
      <c r="B167" s="257" t="s">
        <v>5182</v>
      </c>
      <c r="C167" s="258" t="s">
        <v>5186</v>
      </c>
      <c r="D167" s="261" t="s">
        <v>5187</v>
      </c>
      <c r="E167" s="262" t="s">
        <v>4998</v>
      </c>
      <c r="F167" s="265" t="s">
        <v>5185</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5086</v>
      </c>
      <c r="B168" s="257" t="s">
        <v>5182</v>
      </c>
      <c r="C168" s="258" t="s">
        <v>5188</v>
      </c>
      <c r="D168" s="261" t="s">
        <v>5189</v>
      </c>
      <c r="E168" s="262" t="s">
        <v>4950</v>
      </c>
      <c r="F168" s="265" t="s">
        <v>5185</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5086</v>
      </c>
      <c r="B169" s="257" t="s">
        <v>5182</v>
      </c>
      <c r="C169" s="258" t="s">
        <v>5190</v>
      </c>
      <c r="D169" s="261" t="s">
        <v>5191</v>
      </c>
      <c r="E169" s="262" t="s">
        <v>4950</v>
      </c>
      <c r="F169" s="265" t="s">
        <v>5185</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5086</v>
      </c>
      <c r="B170" s="257" t="s">
        <v>5182</v>
      </c>
      <c r="C170" s="258" t="s">
        <v>5192</v>
      </c>
      <c r="D170" s="261" t="s">
        <v>5193</v>
      </c>
      <c r="E170" s="262" t="s">
        <v>4998</v>
      </c>
      <c r="F170" s="265" t="s">
        <v>5185</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5086</v>
      </c>
      <c r="B171" s="257" t="s">
        <v>5182</v>
      </c>
      <c r="C171" s="258" t="s">
        <v>5194</v>
      </c>
      <c r="D171" s="261" t="s">
        <v>5195</v>
      </c>
      <c r="E171" s="262" t="s">
        <v>4883</v>
      </c>
      <c r="F171" s="265" t="s">
        <v>5185</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5086</v>
      </c>
      <c r="B172" s="257" t="s">
        <v>5182</v>
      </c>
      <c r="C172" s="258" t="s">
        <v>5196</v>
      </c>
      <c r="D172" s="261" t="s">
        <v>5197</v>
      </c>
      <c r="E172" s="262" t="s">
        <v>4950</v>
      </c>
      <c r="F172" s="265" t="s">
        <v>5185</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5086</v>
      </c>
      <c r="B173" s="257" t="s">
        <v>5182</v>
      </c>
      <c r="C173" s="258" t="s">
        <v>5198</v>
      </c>
      <c r="D173" s="261" t="s">
        <v>5199</v>
      </c>
      <c r="E173" s="262" t="s">
        <v>4883</v>
      </c>
      <c r="F173" s="265" t="s">
        <v>5185</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5086</v>
      </c>
      <c r="B174" s="257" t="s">
        <v>5182</v>
      </c>
      <c r="C174" s="258" t="s">
        <v>5200</v>
      </c>
      <c r="D174" s="261" t="s">
        <v>5201</v>
      </c>
      <c r="E174" s="262" t="s">
        <v>4950</v>
      </c>
      <c r="F174" s="265" t="s">
        <v>5185</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5086</v>
      </c>
      <c r="B175" s="257" t="s">
        <v>5182</v>
      </c>
      <c r="C175" s="258" t="s">
        <v>5202</v>
      </c>
      <c r="D175" s="261" t="s">
        <v>5203</v>
      </c>
      <c r="E175" s="262" t="s">
        <v>4883</v>
      </c>
      <c r="F175" s="265" t="s">
        <v>5185</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5086</v>
      </c>
      <c r="B176" s="257" t="s">
        <v>5182</v>
      </c>
      <c r="C176" s="258" t="s">
        <v>5204</v>
      </c>
      <c r="D176" s="261" t="s">
        <v>5205</v>
      </c>
      <c r="E176" s="262" t="s">
        <v>4854</v>
      </c>
      <c r="F176" s="265" t="s">
        <v>5185</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5086</v>
      </c>
      <c r="B177" s="257" t="s">
        <v>5182</v>
      </c>
      <c r="C177" s="258" t="s">
        <v>5206</v>
      </c>
      <c r="D177" s="261" t="s">
        <v>5207</v>
      </c>
      <c r="E177" s="262" t="s">
        <v>4854</v>
      </c>
      <c r="F177" s="265" t="s">
        <v>5185</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5086</v>
      </c>
      <c r="B178" s="257" t="s">
        <v>5182</v>
      </c>
      <c r="C178" s="258" t="s">
        <v>5208</v>
      </c>
      <c r="D178" s="261" t="s">
        <v>5209</v>
      </c>
      <c r="E178" s="262" t="s">
        <v>4883</v>
      </c>
      <c r="F178" s="265" t="s">
        <v>5185</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5086</v>
      </c>
      <c r="B179" s="257" t="s">
        <v>5182</v>
      </c>
      <c r="C179" s="258" t="s">
        <v>5210</v>
      </c>
      <c r="D179" s="261" t="s">
        <v>5211</v>
      </c>
      <c r="E179" s="262" t="s">
        <v>4998</v>
      </c>
      <c r="F179" s="265" t="s">
        <v>5185</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5086</v>
      </c>
      <c r="B180" s="257" t="s">
        <v>5182</v>
      </c>
      <c r="C180" s="258" t="s">
        <v>5212</v>
      </c>
      <c r="D180" s="261" t="s">
        <v>5213</v>
      </c>
      <c r="E180" s="262" t="s">
        <v>4998</v>
      </c>
      <c r="F180" s="265" t="s">
        <v>5185</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5086</v>
      </c>
      <c r="B181" s="256" t="s">
        <v>5214</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5086</v>
      </c>
      <c r="B182" s="257" t="s">
        <v>5214</v>
      </c>
      <c r="C182" s="258" t="s">
        <v>5215</v>
      </c>
      <c r="D182" s="261" t="s">
        <v>5216</v>
      </c>
      <c r="E182" s="262" t="s">
        <v>4854</v>
      </c>
      <c r="F182" s="265" t="s">
        <v>5217</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5086</v>
      </c>
      <c r="B183" s="257" t="s">
        <v>5214</v>
      </c>
      <c r="C183" s="258" t="s">
        <v>5218</v>
      </c>
      <c r="D183" s="261" t="s">
        <v>5219</v>
      </c>
      <c r="E183" s="262" t="s">
        <v>4854</v>
      </c>
      <c r="F183" s="265" t="s">
        <v>5217</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5086</v>
      </c>
      <c r="B184" s="257" t="s">
        <v>5214</v>
      </c>
      <c r="C184" s="258" t="s">
        <v>5220</v>
      </c>
      <c r="D184" s="261" t="s">
        <v>5221</v>
      </c>
      <c r="E184" s="262" t="s">
        <v>4854</v>
      </c>
      <c r="F184" s="265" t="s">
        <v>5217</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5086</v>
      </c>
      <c r="B185" s="257" t="s">
        <v>5214</v>
      </c>
      <c r="C185" s="258" t="s">
        <v>5222</v>
      </c>
      <c r="D185" s="261" t="s">
        <v>5223</v>
      </c>
      <c r="E185" s="262" t="s">
        <v>4854</v>
      </c>
      <c r="F185" s="265" t="s">
        <v>5217</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5086</v>
      </c>
      <c r="B186" s="257" t="s">
        <v>5214</v>
      </c>
      <c r="C186" s="258" t="s">
        <v>5224</v>
      </c>
      <c r="D186" s="261" t="s">
        <v>5225</v>
      </c>
      <c r="E186" s="262" t="s">
        <v>4854</v>
      </c>
      <c r="F186" s="265" t="s">
        <v>5217</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5086</v>
      </c>
      <c r="B187" s="257" t="s">
        <v>5214</v>
      </c>
      <c r="C187" s="258" t="s">
        <v>5226</v>
      </c>
      <c r="D187" s="261" t="s">
        <v>5227</v>
      </c>
      <c r="E187" s="262" t="s">
        <v>4883</v>
      </c>
      <c r="F187" s="265" t="s">
        <v>5217</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5086</v>
      </c>
      <c r="B188" s="257" t="s">
        <v>5214</v>
      </c>
      <c r="C188" s="258" t="s">
        <v>5228</v>
      </c>
      <c r="D188" s="261" t="s">
        <v>5229</v>
      </c>
      <c r="E188" s="262" t="s">
        <v>4883</v>
      </c>
      <c r="F188" s="265" t="s">
        <v>5217</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5086</v>
      </c>
      <c r="B189" s="257" t="s">
        <v>5214</v>
      </c>
      <c r="C189" s="258" t="s">
        <v>5230</v>
      </c>
      <c r="D189" s="261" t="s">
        <v>5231</v>
      </c>
      <c r="E189" s="262" t="s">
        <v>4883</v>
      </c>
      <c r="F189" s="265" t="s">
        <v>5217</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5086</v>
      </c>
      <c r="B190" s="257" t="s">
        <v>5214</v>
      </c>
      <c r="C190" s="258" t="s">
        <v>5232</v>
      </c>
      <c r="D190" s="261" t="s">
        <v>5233</v>
      </c>
      <c r="E190" s="262" t="s">
        <v>4883</v>
      </c>
      <c r="F190" s="265" t="s">
        <v>5217</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5086</v>
      </c>
      <c r="B191" s="257" t="s">
        <v>5214</v>
      </c>
      <c r="C191" s="258" t="s">
        <v>5234</v>
      </c>
      <c r="D191" s="261" t="s">
        <v>5235</v>
      </c>
      <c r="E191" s="262" t="s">
        <v>4854</v>
      </c>
      <c r="F191" s="265" t="s">
        <v>5217</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5086</v>
      </c>
      <c r="B192" s="257" t="s">
        <v>5214</v>
      </c>
      <c r="C192" s="258" t="s">
        <v>5236</v>
      </c>
      <c r="D192" s="261" t="s">
        <v>5237</v>
      </c>
      <c r="E192" s="262" t="s">
        <v>4854</v>
      </c>
      <c r="F192" s="265" t="s">
        <v>5217</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5086</v>
      </c>
      <c r="B193" s="257" t="s">
        <v>5214</v>
      </c>
      <c r="C193" s="258" t="s">
        <v>5238</v>
      </c>
      <c r="D193" s="261" t="s">
        <v>5239</v>
      </c>
      <c r="E193" s="262" t="s">
        <v>4854</v>
      </c>
      <c r="F193" s="265" t="s">
        <v>5217</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5086</v>
      </c>
      <c r="B194" s="257" t="s">
        <v>5214</v>
      </c>
      <c r="C194" s="258" t="s">
        <v>5240</v>
      </c>
      <c r="D194" s="261" t="s">
        <v>5241</v>
      </c>
      <c r="E194" s="262" t="s">
        <v>4854</v>
      </c>
      <c r="F194" s="265" t="s">
        <v>5217</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5086</v>
      </c>
      <c r="B195" s="257" t="s">
        <v>5214</v>
      </c>
      <c r="C195" s="258" t="s">
        <v>5242</v>
      </c>
      <c r="D195" s="261" t="s">
        <v>5243</v>
      </c>
      <c r="E195" s="262" t="s">
        <v>4854</v>
      </c>
      <c r="F195" s="265" t="s">
        <v>5217</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5086</v>
      </c>
      <c r="B196" s="257" t="s">
        <v>5214</v>
      </c>
      <c r="C196" s="258" t="s">
        <v>5244</v>
      </c>
      <c r="D196" s="261" t="s">
        <v>5245</v>
      </c>
      <c r="E196" s="262" t="s">
        <v>4854</v>
      </c>
      <c r="F196" s="265" t="s">
        <v>5246</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5086</v>
      </c>
      <c r="B197" s="257" t="s">
        <v>5214</v>
      </c>
      <c r="C197" s="258" t="s">
        <v>5247</v>
      </c>
      <c r="D197" s="261" t="s">
        <v>5248</v>
      </c>
      <c r="E197" s="262" t="s">
        <v>4854</v>
      </c>
      <c r="F197" s="265" t="s">
        <v>5246</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5086</v>
      </c>
      <c r="B198" s="257" t="s">
        <v>5214</v>
      </c>
      <c r="C198" s="258" t="s">
        <v>5249</v>
      </c>
      <c r="D198" s="261" t="s">
        <v>5250</v>
      </c>
      <c r="E198" s="262" t="s">
        <v>4854</v>
      </c>
      <c r="F198" s="265" t="s">
        <v>5246</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5086</v>
      </c>
      <c r="B199" s="257" t="s">
        <v>5214</v>
      </c>
      <c r="C199" s="258" t="s">
        <v>5251</v>
      </c>
      <c r="D199" s="261" t="s">
        <v>5252</v>
      </c>
      <c r="E199" s="262" t="s">
        <v>4854</v>
      </c>
      <c r="F199" s="265" t="s">
        <v>5246</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5253</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5253</v>
      </c>
      <c r="B201" s="256" t="s">
        <v>5254</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5253</v>
      </c>
      <c r="B202" s="257" t="s">
        <v>5254</v>
      </c>
      <c r="C202" s="258" t="s">
        <v>5255</v>
      </c>
      <c r="D202" s="261" t="s">
        <v>5256</v>
      </c>
      <c r="E202" s="262" t="s">
        <v>5133</v>
      </c>
      <c r="F202" s="265" t="s">
        <v>5257</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5253</v>
      </c>
      <c r="B203" s="257" t="s">
        <v>5254</v>
      </c>
      <c r="C203" s="258" t="s">
        <v>5258</v>
      </c>
      <c r="D203" s="261" t="s">
        <v>5259</v>
      </c>
      <c r="E203" s="262" t="s">
        <v>5133</v>
      </c>
      <c r="F203" s="265" t="s">
        <v>5257</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5253</v>
      </c>
      <c r="B204" s="257" t="s">
        <v>5254</v>
      </c>
      <c r="C204" s="258" t="s">
        <v>5260</v>
      </c>
      <c r="D204" s="261" t="s">
        <v>5261</v>
      </c>
      <c r="E204" s="262" t="s">
        <v>5133</v>
      </c>
      <c r="F204" s="265" t="s">
        <v>5257</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5253</v>
      </c>
      <c r="B205" s="257" t="s">
        <v>5254</v>
      </c>
      <c r="C205" s="258" t="s">
        <v>5262</v>
      </c>
      <c r="D205" s="261" t="s">
        <v>5263</v>
      </c>
      <c r="E205" s="262" t="s">
        <v>5133</v>
      </c>
      <c r="F205" s="265" t="s">
        <v>5257</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5253</v>
      </c>
      <c r="B206" s="257" t="s">
        <v>5254</v>
      </c>
      <c r="C206" s="258" t="s">
        <v>5264</v>
      </c>
      <c r="D206" s="261" t="s">
        <v>5265</v>
      </c>
      <c r="E206" s="262" t="s">
        <v>5133</v>
      </c>
      <c r="F206" s="265" t="s">
        <v>5257</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5253</v>
      </c>
      <c r="B207" s="257" t="s">
        <v>5254</v>
      </c>
      <c r="C207" s="258" t="s">
        <v>5266</v>
      </c>
      <c r="D207" s="261" t="s">
        <v>5267</v>
      </c>
      <c r="E207" s="262" t="s">
        <v>4998</v>
      </c>
      <c r="F207" s="265" t="s">
        <v>5257</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5253</v>
      </c>
      <c r="B208" s="257" t="s">
        <v>5254</v>
      </c>
      <c r="C208" s="258" t="s">
        <v>5268</v>
      </c>
      <c r="D208" s="261" t="s">
        <v>5269</v>
      </c>
      <c r="E208" s="262" t="s">
        <v>4998</v>
      </c>
      <c r="F208" s="265" t="s">
        <v>5257</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5253</v>
      </c>
      <c r="B209" s="257" t="s">
        <v>5254</v>
      </c>
      <c r="C209" s="258" t="s">
        <v>5270</v>
      </c>
      <c r="D209" s="261" t="s">
        <v>5271</v>
      </c>
      <c r="E209" s="262" t="s">
        <v>5133</v>
      </c>
      <c r="F209" s="265" t="s">
        <v>5257</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5253</v>
      </c>
      <c r="B210" s="257" t="s">
        <v>5254</v>
      </c>
      <c r="C210" s="258" t="s">
        <v>5272</v>
      </c>
      <c r="D210" s="261" t="s">
        <v>5273</v>
      </c>
      <c r="E210" s="262" t="s">
        <v>4883</v>
      </c>
      <c r="F210" s="265" t="s">
        <v>5274</v>
      </c>
      <c r="G210" s="268" t="str">
        <f>IF(COUNTIF(H210:AU210,"&lt;&gt;")=0,"",SUMPRODUCT(((Recommendations[ImplStatus]="Implemented")+(Recommendations[ImplStatus]="Compensated"))*ISNUMBER(MATCH(Recommendations[Id],H210:AU210,0)))/COUNTIF(H210:AU210,"&lt;&gt;"))</f>
        <v/>
      </c>
      <c r="H210" s="269"/>
      <c r="I210" s="269"/>
      <c r="J210" s="269"/>
      <c r="K210" s="269"/>
      <c r="L210" s="269"/>
      <c r="M210" s="269"/>
      <c r="N210" s="269"/>
      <c r="O210" s="269"/>
      <c r="P210" s="269"/>
      <c r="Q210" s="269"/>
      <c r="R210" s="269"/>
      <c r="S210" s="269"/>
      <c r="T210" s="269"/>
      <c r="U210" s="269"/>
      <c r="V210" s="269"/>
      <c r="W210" s="269"/>
      <c r="X210" s="269"/>
      <c r="Y210" s="269"/>
      <c r="Z210" s="269"/>
      <c r="AA210" s="269"/>
      <c r="AB210" s="269"/>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5253</v>
      </c>
      <c r="B211" s="257" t="s">
        <v>5254</v>
      </c>
      <c r="C211" s="258" t="s">
        <v>5275</v>
      </c>
      <c r="D211" s="261" t="s">
        <v>5276</v>
      </c>
      <c r="E211" s="262" t="s">
        <v>4883</v>
      </c>
      <c r="F211" s="265" t="s">
        <v>5274</v>
      </c>
      <c r="G211" s="268" t="str">
        <f>IF(COUNTIF(H211:AU211,"&lt;&gt;")=0,"",SUMPRODUCT(((Recommendations[ImplStatus]="Implemented")+(Recommendations[ImplStatus]="Compensated"))*ISNUMBER(MATCH(Recommendations[Id],H211:AU211,0)))/COUNTIF(H211:AU211,"&lt;&gt;"))</f>
        <v/>
      </c>
      <c r="H211" s="269"/>
      <c r="I211" s="269"/>
      <c r="J211" s="269"/>
      <c r="K211" s="269"/>
      <c r="L211" s="269"/>
      <c r="M211" s="269"/>
      <c r="N211" s="269"/>
      <c r="O211" s="269"/>
      <c r="P211" s="269"/>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5253</v>
      </c>
      <c r="B212" s="257" t="s">
        <v>5254</v>
      </c>
      <c r="C212" s="258" t="s">
        <v>5277</v>
      </c>
      <c r="D212" s="261" t="s">
        <v>5278</v>
      </c>
      <c r="E212" s="262" t="s">
        <v>4950</v>
      </c>
      <c r="F212" s="265" t="s">
        <v>5279</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5253</v>
      </c>
      <c r="B213" s="257" t="s">
        <v>5254</v>
      </c>
      <c r="C213" s="258" t="s">
        <v>5280</v>
      </c>
      <c r="D213" s="261" t="s">
        <v>5281</v>
      </c>
      <c r="E213" s="262" t="s">
        <v>4883</v>
      </c>
      <c r="F213" s="265" t="s">
        <v>5282</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5253</v>
      </c>
      <c r="B214" s="257" t="s">
        <v>5254</v>
      </c>
      <c r="C214" s="258" t="s">
        <v>5283</v>
      </c>
      <c r="D214" s="261" t="s">
        <v>5284</v>
      </c>
      <c r="E214" s="262" t="s">
        <v>4950</v>
      </c>
      <c r="F214" s="265" t="s">
        <v>5285</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5253</v>
      </c>
      <c r="B215" s="257" t="s">
        <v>5254</v>
      </c>
      <c r="C215" s="258" t="s">
        <v>5286</v>
      </c>
      <c r="D215" s="261" t="s">
        <v>5287</v>
      </c>
      <c r="E215" s="262" t="s">
        <v>4854</v>
      </c>
      <c r="F215" s="265" t="s">
        <v>5285</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5253</v>
      </c>
      <c r="B216" s="257" t="s">
        <v>5254</v>
      </c>
      <c r="C216" s="258" t="s">
        <v>5288</v>
      </c>
      <c r="D216" s="261" t="s">
        <v>5289</v>
      </c>
      <c r="E216" s="262" t="s">
        <v>4854</v>
      </c>
      <c r="F216" s="265" t="s">
        <v>5285</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5253</v>
      </c>
      <c r="B217" s="257" t="s">
        <v>5254</v>
      </c>
      <c r="C217" s="258" t="s">
        <v>5290</v>
      </c>
      <c r="D217" s="261" t="s">
        <v>5291</v>
      </c>
      <c r="E217" s="262" t="s">
        <v>4883</v>
      </c>
      <c r="F217" s="265" t="s">
        <v>5285</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5253</v>
      </c>
      <c r="B218" s="257" t="s">
        <v>5254</v>
      </c>
      <c r="C218" s="258" t="s">
        <v>5292</v>
      </c>
      <c r="D218" s="261" t="s">
        <v>5293</v>
      </c>
      <c r="E218" s="262" t="s">
        <v>4883</v>
      </c>
      <c r="F218" s="265" t="s">
        <v>5285</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5253</v>
      </c>
      <c r="B219" s="257" t="s">
        <v>5254</v>
      </c>
      <c r="C219" s="258" t="s">
        <v>5294</v>
      </c>
      <c r="D219" s="261" t="s">
        <v>5295</v>
      </c>
      <c r="E219" s="262" t="s">
        <v>4883</v>
      </c>
      <c r="F219" s="265" t="s">
        <v>5285</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5253</v>
      </c>
      <c r="B220" s="257" t="s">
        <v>5254</v>
      </c>
      <c r="C220" s="258" t="s">
        <v>5296</v>
      </c>
      <c r="D220" s="261" t="s">
        <v>5297</v>
      </c>
      <c r="E220" s="262" t="s">
        <v>4883</v>
      </c>
      <c r="F220" s="265" t="s">
        <v>5285</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5253</v>
      </c>
      <c r="B221" s="256" t="s">
        <v>5298</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5253</v>
      </c>
      <c r="B222" s="257" t="s">
        <v>5298</v>
      </c>
      <c r="C222" s="258" t="s">
        <v>5299</v>
      </c>
      <c r="D222" s="261" t="s">
        <v>5300</v>
      </c>
      <c r="E222" s="262" t="s">
        <v>4950</v>
      </c>
      <c r="F222" s="265" t="s">
        <v>5301</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5253</v>
      </c>
      <c r="B223" s="257" t="s">
        <v>5298</v>
      </c>
      <c r="C223" s="258" t="s">
        <v>5302</v>
      </c>
      <c r="D223" s="261" t="s">
        <v>5303</v>
      </c>
      <c r="E223" s="262" t="s">
        <v>4950</v>
      </c>
      <c r="F223" s="265" t="s">
        <v>5301</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5253</v>
      </c>
      <c r="B224" s="257" t="s">
        <v>5298</v>
      </c>
      <c r="C224" s="258" t="s">
        <v>5304</v>
      </c>
      <c r="D224" s="261" t="s">
        <v>5305</v>
      </c>
      <c r="E224" s="262" t="s">
        <v>4950</v>
      </c>
      <c r="F224" s="265" t="s">
        <v>5301</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5253</v>
      </c>
      <c r="B225" s="257" t="s">
        <v>5298</v>
      </c>
      <c r="C225" s="258" t="s">
        <v>5306</v>
      </c>
      <c r="D225" s="261" t="s">
        <v>5307</v>
      </c>
      <c r="E225" s="262" t="s">
        <v>4950</v>
      </c>
      <c r="F225" s="265" t="s">
        <v>5301</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5253</v>
      </c>
      <c r="B226" s="257" t="s">
        <v>5298</v>
      </c>
      <c r="C226" s="258" t="s">
        <v>5308</v>
      </c>
      <c r="D226" s="261" t="s">
        <v>5309</v>
      </c>
      <c r="E226" s="262" t="s">
        <v>4950</v>
      </c>
      <c r="F226" s="265" t="s">
        <v>5301</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5253</v>
      </c>
      <c r="B227" s="257" t="s">
        <v>5298</v>
      </c>
      <c r="C227" s="258" t="s">
        <v>5310</v>
      </c>
      <c r="D227" s="261" t="s">
        <v>5311</v>
      </c>
      <c r="E227" s="262" t="s">
        <v>4950</v>
      </c>
      <c r="F227" s="265" t="s">
        <v>5301</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5253</v>
      </c>
      <c r="B228" s="257" t="s">
        <v>5298</v>
      </c>
      <c r="C228" s="258" t="s">
        <v>5312</v>
      </c>
      <c r="D228" s="261" t="s">
        <v>5313</v>
      </c>
      <c r="E228" s="262" t="s">
        <v>4950</v>
      </c>
      <c r="F228" s="265" t="s">
        <v>5301</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5253</v>
      </c>
      <c r="B229" s="257" t="s">
        <v>5298</v>
      </c>
      <c r="C229" s="258" t="s">
        <v>5314</v>
      </c>
      <c r="D229" s="261" t="s">
        <v>5315</v>
      </c>
      <c r="E229" s="262" t="s">
        <v>4854</v>
      </c>
      <c r="F229" s="265" t="s">
        <v>5301</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5253</v>
      </c>
      <c r="B230" s="257" t="s">
        <v>5298</v>
      </c>
      <c r="C230" s="258" t="s">
        <v>5316</v>
      </c>
      <c r="D230" s="261" t="s">
        <v>5317</v>
      </c>
      <c r="E230" s="262" t="s">
        <v>4854</v>
      </c>
      <c r="F230" s="265" t="s">
        <v>5301</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5253</v>
      </c>
      <c r="B231" s="257" t="s">
        <v>5298</v>
      </c>
      <c r="C231" s="258" t="s">
        <v>5318</v>
      </c>
      <c r="D231" s="261" t="s">
        <v>5319</v>
      </c>
      <c r="E231" s="262" t="s">
        <v>4950</v>
      </c>
      <c r="F231" s="265" t="s">
        <v>5320</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5253</v>
      </c>
      <c r="B232" s="257" t="s">
        <v>5298</v>
      </c>
      <c r="C232" s="258" t="s">
        <v>5321</v>
      </c>
      <c r="D232" s="261" t="s">
        <v>5322</v>
      </c>
      <c r="E232" s="262" t="s">
        <v>4950</v>
      </c>
      <c r="F232" s="265" t="s">
        <v>5320</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5253</v>
      </c>
      <c r="B233" s="257" t="s">
        <v>5298</v>
      </c>
      <c r="C233" s="258" t="s">
        <v>5323</v>
      </c>
      <c r="D233" s="261" t="s">
        <v>5324</v>
      </c>
      <c r="E233" s="262" t="s">
        <v>4883</v>
      </c>
      <c r="F233" s="265" t="s">
        <v>5320</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5253</v>
      </c>
      <c r="B234" s="257" t="s">
        <v>5298</v>
      </c>
      <c r="C234" s="258" t="s">
        <v>5325</v>
      </c>
      <c r="D234" s="261" t="s">
        <v>5326</v>
      </c>
      <c r="E234" s="262" t="s">
        <v>4883</v>
      </c>
      <c r="F234" s="265" t="s">
        <v>5320</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5253</v>
      </c>
      <c r="B235" s="257" t="s">
        <v>5298</v>
      </c>
      <c r="C235" s="258" t="s">
        <v>5327</v>
      </c>
      <c r="D235" s="261" t="s">
        <v>5328</v>
      </c>
      <c r="E235" s="262" t="s">
        <v>4950</v>
      </c>
      <c r="F235" s="265" t="s">
        <v>5320</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5253</v>
      </c>
      <c r="B236" s="257" t="s">
        <v>5298</v>
      </c>
      <c r="C236" s="258" t="s">
        <v>5329</v>
      </c>
      <c r="D236" s="261" t="s">
        <v>5330</v>
      </c>
      <c r="E236" s="262" t="s">
        <v>4883</v>
      </c>
      <c r="F236" s="265" t="s">
        <v>5320</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5253</v>
      </c>
      <c r="B237" s="256" t="s">
        <v>1487</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5253</v>
      </c>
      <c r="B238" s="257" t="s">
        <v>1487</v>
      </c>
      <c r="C238" s="258" t="s">
        <v>5331</v>
      </c>
      <c r="D238" s="261" t="s">
        <v>5332</v>
      </c>
      <c r="E238" s="262" t="s">
        <v>4854</v>
      </c>
      <c r="F238" s="265" t="s">
        <v>5333</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5253</v>
      </c>
      <c r="B239" s="257" t="s">
        <v>1487</v>
      </c>
      <c r="C239" s="258" t="s">
        <v>5334</v>
      </c>
      <c r="D239" s="261" t="s">
        <v>5335</v>
      </c>
      <c r="E239" s="262" t="s">
        <v>4854</v>
      </c>
      <c r="F239" s="265" t="s">
        <v>5333</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5253</v>
      </c>
      <c r="B240" s="257" t="s">
        <v>1487</v>
      </c>
      <c r="C240" s="258" t="s">
        <v>5336</v>
      </c>
      <c r="D240" s="261" t="s">
        <v>5337</v>
      </c>
      <c r="E240" s="262" t="s">
        <v>4854</v>
      </c>
      <c r="F240" s="265" t="s">
        <v>5333</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5253</v>
      </c>
      <c r="B241" s="257" t="s">
        <v>1487</v>
      </c>
      <c r="C241" s="258" t="s">
        <v>5338</v>
      </c>
      <c r="D241" s="261" t="s">
        <v>5339</v>
      </c>
      <c r="E241" s="262" t="s">
        <v>4854</v>
      </c>
      <c r="F241" s="265" t="s">
        <v>5333</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5253</v>
      </c>
      <c r="B242" s="257" t="s">
        <v>1487</v>
      </c>
      <c r="C242" s="258" t="s">
        <v>5340</v>
      </c>
      <c r="D242" s="261" t="s">
        <v>5341</v>
      </c>
      <c r="E242" s="262" t="s">
        <v>4854</v>
      </c>
      <c r="F242" s="265" t="s">
        <v>5333</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5253</v>
      </c>
      <c r="B243" s="257" t="s">
        <v>1487</v>
      </c>
      <c r="C243" s="258" t="s">
        <v>5342</v>
      </c>
      <c r="D243" s="261" t="s">
        <v>5343</v>
      </c>
      <c r="E243" s="262" t="s">
        <v>4854</v>
      </c>
      <c r="F243" s="265" t="s">
        <v>5333</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5253</v>
      </c>
      <c r="B244" s="257" t="s">
        <v>1487</v>
      </c>
      <c r="C244" s="258" t="s">
        <v>5344</v>
      </c>
      <c r="D244" s="261" t="s">
        <v>5345</v>
      </c>
      <c r="E244" s="262" t="s">
        <v>4854</v>
      </c>
      <c r="F244" s="265" t="s">
        <v>5333</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5253</v>
      </c>
      <c r="B245" s="257" t="s">
        <v>1487</v>
      </c>
      <c r="C245" s="258" t="s">
        <v>5346</v>
      </c>
      <c r="D245" s="261" t="s">
        <v>5347</v>
      </c>
      <c r="E245" s="262" t="s">
        <v>4854</v>
      </c>
      <c r="F245" s="265" t="s">
        <v>5333</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5253</v>
      </c>
      <c r="B246" s="257" t="s">
        <v>1487</v>
      </c>
      <c r="C246" s="258" t="s">
        <v>5348</v>
      </c>
      <c r="D246" s="261" t="s">
        <v>5349</v>
      </c>
      <c r="E246" s="262" t="s">
        <v>4854</v>
      </c>
      <c r="F246" s="265" t="s">
        <v>5333</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5253</v>
      </c>
      <c r="B247" s="257" t="s">
        <v>1487</v>
      </c>
      <c r="C247" s="258" t="s">
        <v>5350</v>
      </c>
      <c r="D247" s="261" t="s">
        <v>5351</v>
      </c>
      <c r="E247" s="262" t="s">
        <v>4854</v>
      </c>
      <c r="F247" s="265" t="s">
        <v>5333</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5253</v>
      </c>
      <c r="B248" s="257" t="s">
        <v>1487</v>
      </c>
      <c r="C248" s="258" t="s">
        <v>5352</v>
      </c>
      <c r="D248" s="261" t="s">
        <v>5353</v>
      </c>
      <c r="E248" s="262" t="s">
        <v>4883</v>
      </c>
      <c r="F248" s="265" t="s">
        <v>5333</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5253</v>
      </c>
      <c r="B249" s="257" t="s">
        <v>1487</v>
      </c>
      <c r="C249" s="258" t="s">
        <v>5354</v>
      </c>
      <c r="D249" s="261" t="s">
        <v>5355</v>
      </c>
      <c r="E249" s="262" t="s">
        <v>4883</v>
      </c>
      <c r="F249" s="265" t="s">
        <v>5356</v>
      </c>
      <c r="G249" s="268" t="str">
        <f>IF(COUNTIF(H249:AU249,"&lt;&gt;")=0,"",SUMPRODUCT(((Recommendations[ImplStatus]="Implemented")+(Recommendations[ImplStatus]="Compensated"))*ISNUMBER(MATCH(Recommendations[Id],H249:AU249,0)))/COUNTIF(H249:AU249,"&lt;&gt;"))</f>
        <v/>
      </c>
      <c r="H249" s="269"/>
      <c r="I249" s="269"/>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5253</v>
      </c>
      <c r="B250" s="257" t="s">
        <v>1487</v>
      </c>
      <c r="C250" s="258" t="s">
        <v>5357</v>
      </c>
      <c r="D250" s="261" t="s">
        <v>5358</v>
      </c>
      <c r="E250" s="262" t="s">
        <v>4883</v>
      </c>
      <c r="F250" s="265" t="s">
        <v>5356</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5253</v>
      </c>
      <c r="B251" s="256" t="s">
        <v>5359</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5253</v>
      </c>
      <c r="B252" s="257" t="s">
        <v>5359</v>
      </c>
      <c r="C252" s="258" t="s">
        <v>5360</v>
      </c>
      <c r="D252" s="261" t="s">
        <v>5361</v>
      </c>
      <c r="E252" s="262" t="s">
        <v>4950</v>
      </c>
      <c r="F252" s="265" t="s">
        <v>5362</v>
      </c>
      <c r="G252" s="268">
        <f>IF(COUNTIF(H252:AU252,"&lt;&gt;")=0,"",SUMPRODUCT(((Recommendations[ImplStatus]="Implemented")+(Recommendations[ImplStatus]="Compensated"))*ISNUMBER(MATCH(Recommendations[Id],H252:AU252,0)))/COUNTIF(H252:AU252,"&lt;&gt;"))</f>
        <v>0</v>
      </c>
      <c r="H252" s="269" t="s">
        <v>38</v>
      </c>
      <c r="I252" s="269" t="s">
        <v>57</v>
      </c>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5253</v>
      </c>
      <c r="B253" s="257" t="s">
        <v>5359</v>
      </c>
      <c r="C253" s="258" t="s">
        <v>5363</v>
      </c>
      <c r="D253" s="261" t="s">
        <v>5364</v>
      </c>
      <c r="E253" s="262" t="s">
        <v>4950</v>
      </c>
      <c r="F253" s="265" t="s">
        <v>5362</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5253</v>
      </c>
      <c r="B254" s="257" t="s">
        <v>5359</v>
      </c>
      <c r="C254" s="258" t="s">
        <v>5365</v>
      </c>
      <c r="D254" s="261" t="s">
        <v>5366</v>
      </c>
      <c r="E254" s="262" t="s">
        <v>4950</v>
      </c>
      <c r="F254" s="265" t="s">
        <v>5362</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5253</v>
      </c>
      <c r="B255" s="257" t="s">
        <v>5359</v>
      </c>
      <c r="C255" s="258" t="s">
        <v>5367</v>
      </c>
      <c r="D255" s="261" t="s">
        <v>5368</v>
      </c>
      <c r="E255" s="262" t="s">
        <v>4950</v>
      </c>
      <c r="F255" s="265" t="s">
        <v>5362</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5253</v>
      </c>
      <c r="B256" s="257" t="s">
        <v>5359</v>
      </c>
      <c r="C256" s="258" t="s">
        <v>5369</v>
      </c>
      <c r="D256" s="261" t="s">
        <v>5370</v>
      </c>
      <c r="E256" s="262" t="s">
        <v>4950</v>
      </c>
      <c r="F256" s="265" t="s">
        <v>5362</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5253</v>
      </c>
      <c r="B257" s="257" t="s">
        <v>5359</v>
      </c>
      <c r="C257" s="258" t="s">
        <v>5371</v>
      </c>
      <c r="D257" s="261" t="s">
        <v>5372</v>
      </c>
      <c r="E257" s="262" t="s">
        <v>4854</v>
      </c>
      <c r="F257" s="265" t="s">
        <v>5362</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5253</v>
      </c>
      <c r="B258" s="257" t="s">
        <v>5359</v>
      </c>
      <c r="C258" s="258" t="s">
        <v>5373</v>
      </c>
      <c r="D258" s="261" t="s">
        <v>5374</v>
      </c>
      <c r="E258" s="262" t="s">
        <v>4854</v>
      </c>
      <c r="F258" s="265" t="s">
        <v>5362</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5253</v>
      </c>
      <c r="B259" s="257" t="s">
        <v>5359</v>
      </c>
      <c r="C259" s="258" t="s">
        <v>5375</v>
      </c>
      <c r="D259" s="261" t="s">
        <v>5376</v>
      </c>
      <c r="E259" s="262" t="s">
        <v>4854</v>
      </c>
      <c r="F259" s="265" t="s">
        <v>5362</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5253</v>
      </c>
      <c r="B260" s="257" t="s">
        <v>5359</v>
      </c>
      <c r="C260" s="258" t="s">
        <v>5377</v>
      </c>
      <c r="D260" s="261" t="s">
        <v>5378</v>
      </c>
      <c r="E260" s="262" t="s">
        <v>4854</v>
      </c>
      <c r="F260" s="265" t="s">
        <v>5362</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5253</v>
      </c>
      <c r="B261" s="257" t="s">
        <v>5359</v>
      </c>
      <c r="C261" s="258" t="s">
        <v>5379</v>
      </c>
      <c r="D261" s="261" t="s">
        <v>5380</v>
      </c>
      <c r="E261" s="262" t="s">
        <v>4998</v>
      </c>
      <c r="F261" s="265" t="s">
        <v>5362</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5253</v>
      </c>
      <c r="B262" s="257" t="s">
        <v>5359</v>
      </c>
      <c r="C262" s="258" t="s">
        <v>5381</v>
      </c>
      <c r="D262" s="261" t="s">
        <v>5382</v>
      </c>
      <c r="E262" s="262" t="s">
        <v>4998</v>
      </c>
      <c r="F262" s="265" t="s">
        <v>5362</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5253</v>
      </c>
      <c r="B263" s="257" t="s">
        <v>5359</v>
      </c>
      <c r="C263" s="258" t="s">
        <v>5383</v>
      </c>
      <c r="D263" s="261" t="s">
        <v>5384</v>
      </c>
      <c r="E263" s="262" t="s">
        <v>4998</v>
      </c>
      <c r="F263" s="265" t="s">
        <v>5362</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5253</v>
      </c>
      <c r="B264" s="256" t="s">
        <v>5385</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5253</v>
      </c>
      <c r="B265" s="257" t="s">
        <v>5385</v>
      </c>
      <c r="C265" s="258" t="s">
        <v>5386</v>
      </c>
      <c r="D265" s="261" t="s">
        <v>5387</v>
      </c>
      <c r="E265" s="262" t="s">
        <v>4883</v>
      </c>
      <c r="F265" s="265" t="s">
        <v>5388</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5253</v>
      </c>
      <c r="B266" s="257" t="s">
        <v>5385</v>
      </c>
      <c r="C266" s="258" t="s">
        <v>5389</v>
      </c>
      <c r="D266" s="261" t="s">
        <v>5390</v>
      </c>
      <c r="E266" s="262" t="s">
        <v>4883</v>
      </c>
      <c r="F266" s="265" t="s">
        <v>5388</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5253</v>
      </c>
      <c r="B267" s="257" t="s">
        <v>5385</v>
      </c>
      <c r="C267" s="258" t="s">
        <v>5391</v>
      </c>
      <c r="D267" s="261" t="s">
        <v>5392</v>
      </c>
      <c r="E267" s="262" t="s">
        <v>4883</v>
      </c>
      <c r="F267" s="265" t="s">
        <v>5388</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5253</v>
      </c>
      <c r="B268" s="257" t="s">
        <v>5385</v>
      </c>
      <c r="C268" s="258" t="s">
        <v>5393</v>
      </c>
      <c r="D268" s="261" t="s">
        <v>5394</v>
      </c>
      <c r="E268" s="262" t="s">
        <v>4883</v>
      </c>
      <c r="F268" s="265" t="s">
        <v>5388</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5253</v>
      </c>
      <c r="B269" s="257" t="s">
        <v>5385</v>
      </c>
      <c r="C269" s="258" t="s">
        <v>5395</v>
      </c>
      <c r="D269" s="261" t="s">
        <v>5396</v>
      </c>
      <c r="E269" s="262" t="s">
        <v>4883</v>
      </c>
      <c r="F269" s="265" t="s">
        <v>5388</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5253</v>
      </c>
      <c r="B270" s="257" t="s">
        <v>5385</v>
      </c>
      <c r="C270" s="258" t="s">
        <v>5397</v>
      </c>
      <c r="D270" s="261" t="s">
        <v>5398</v>
      </c>
      <c r="E270" s="262" t="s">
        <v>4883</v>
      </c>
      <c r="F270" s="265" t="s">
        <v>5388</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5253</v>
      </c>
      <c r="B271" s="257" t="s">
        <v>5385</v>
      </c>
      <c r="C271" s="258" t="s">
        <v>5399</v>
      </c>
      <c r="D271" s="261" t="s">
        <v>5400</v>
      </c>
      <c r="E271" s="262" t="s">
        <v>4883</v>
      </c>
      <c r="F271" s="265" t="s">
        <v>5388</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5253</v>
      </c>
      <c r="B272" s="257" t="s">
        <v>5385</v>
      </c>
      <c r="C272" s="258" t="s">
        <v>5401</v>
      </c>
      <c r="D272" s="261" t="s">
        <v>5402</v>
      </c>
      <c r="E272" s="262" t="s">
        <v>4883</v>
      </c>
      <c r="F272" s="265" t="s">
        <v>5388</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5253</v>
      </c>
      <c r="B273" s="257" t="s">
        <v>5385</v>
      </c>
      <c r="C273" s="258" t="s">
        <v>5403</v>
      </c>
      <c r="D273" s="261" t="s">
        <v>5404</v>
      </c>
      <c r="E273" s="262" t="s">
        <v>4883</v>
      </c>
      <c r="F273" s="265" t="s">
        <v>5388</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5405</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5405</v>
      </c>
      <c r="B275" s="256" t="s">
        <v>5406</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5405</v>
      </c>
      <c r="B276" s="257" t="s">
        <v>5406</v>
      </c>
      <c r="C276" s="258" t="s">
        <v>5407</v>
      </c>
      <c r="D276" s="261" t="s">
        <v>5408</v>
      </c>
      <c r="E276" s="262" t="s">
        <v>4854</v>
      </c>
      <c r="F276" s="265" t="s">
        <v>5409</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5405</v>
      </c>
      <c r="B277" s="257" t="s">
        <v>5406</v>
      </c>
      <c r="C277" s="258" t="s">
        <v>5410</v>
      </c>
      <c r="D277" s="261" t="s">
        <v>5411</v>
      </c>
      <c r="E277" s="262" t="s">
        <v>4854</v>
      </c>
      <c r="F277" s="265" t="s">
        <v>5409</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5405</v>
      </c>
      <c r="B278" s="257" t="s">
        <v>5406</v>
      </c>
      <c r="C278" s="258" t="s">
        <v>5412</v>
      </c>
      <c r="D278" s="261" t="s">
        <v>5413</v>
      </c>
      <c r="E278" s="262" t="s">
        <v>4854</v>
      </c>
      <c r="F278" s="265" t="s">
        <v>5409</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5405</v>
      </c>
      <c r="B279" s="257" t="s">
        <v>5406</v>
      </c>
      <c r="C279" s="258" t="s">
        <v>5414</v>
      </c>
      <c r="D279" s="261" t="s">
        <v>5415</v>
      </c>
      <c r="E279" s="262" t="s">
        <v>4854</v>
      </c>
      <c r="F279" s="265" t="s">
        <v>5409</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5405</v>
      </c>
      <c r="B280" s="257" t="s">
        <v>5406</v>
      </c>
      <c r="C280" s="258" t="s">
        <v>5416</v>
      </c>
      <c r="D280" s="261" t="s">
        <v>5417</v>
      </c>
      <c r="E280" s="262" t="s">
        <v>4854</v>
      </c>
      <c r="F280" s="265" t="s">
        <v>5409</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5405</v>
      </c>
      <c r="B281" s="257" t="s">
        <v>5406</v>
      </c>
      <c r="C281" s="258" t="s">
        <v>5418</v>
      </c>
      <c r="D281" s="261" t="s">
        <v>5419</v>
      </c>
      <c r="E281" s="262" t="s">
        <v>4854</v>
      </c>
      <c r="F281" s="265" t="s">
        <v>5409</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5405</v>
      </c>
      <c r="B282" s="257" t="s">
        <v>5406</v>
      </c>
      <c r="C282" s="258" t="s">
        <v>5420</v>
      </c>
      <c r="D282" s="261" t="s">
        <v>5421</v>
      </c>
      <c r="E282" s="262" t="s">
        <v>4854</v>
      </c>
      <c r="F282" s="265" t="s">
        <v>5409</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5405</v>
      </c>
      <c r="B283" s="257" t="s">
        <v>5406</v>
      </c>
      <c r="C283" s="258" t="s">
        <v>5422</v>
      </c>
      <c r="D283" s="261" t="s">
        <v>5423</v>
      </c>
      <c r="E283" s="262" t="s">
        <v>4950</v>
      </c>
      <c r="F283" s="265" t="s">
        <v>5424</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5405</v>
      </c>
      <c r="B284" s="257" t="s">
        <v>5406</v>
      </c>
      <c r="C284" s="258" t="s">
        <v>5425</v>
      </c>
      <c r="D284" s="261" t="s">
        <v>5426</v>
      </c>
      <c r="E284" s="262" t="s">
        <v>4950</v>
      </c>
      <c r="F284" s="265" t="s">
        <v>5424</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5405</v>
      </c>
      <c r="B285" s="257" t="s">
        <v>5406</v>
      </c>
      <c r="C285" s="258" t="s">
        <v>5427</v>
      </c>
      <c r="D285" s="261" t="s">
        <v>5428</v>
      </c>
      <c r="E285" s="262" t="s">
        <v>4854</v>
      </c>
      <c r="F285" s="265" t="s">
        <v>5424</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5405</v>
      </c>
      <c r="B286" s="257" t="s">
        <v>5406</v>
      </c>
      <c r="C286" s="258" t="s">
        <v>5429</v>
      </c>
      <c r="D286" s="261" t="s">
        <v>5430</v>
      </c>
      <c r="E286" s="262" t="s">
        <v>4883</v>
      </c>
      <c r="F286" s="265" t="s">
        <v>5424</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5405</v>
      </c>
      <c r="B287" s="257" t="s">
        <v>5406</v>
      </c>
      <c r="C287" s="258" t="s">
        <v>5431</v>
      </c>
      <c r="D287" s="261" t="s">
        <v>5432</v>
      </c>
      <c r="E287" s="262" t="s">
        <v>4883</v>
      </c>
      <c r="F287" s="265" t="s">
        <v>5424</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5405</v>
      </c>
      <c r="B288" s="257" t="s">
        <v>5406</v>
      </c>
      <c r="C288" s="258" t="s">
        <v>5433</v>
      </c>
      <c r="D288" s="261" t="s">
        <v>5434</v>
      </c>
      <c r="E288" s="262" t="s">
        <v>4883</v>
      </c>
      <c r="F288" s="265" t="s">
        <v>5424</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5405</v>
      </c>
      <c r="B289" s="257" t="s">
        <v>5406</v>
      </c>
      <c r="C289" s="258" t="s">
        <v>5435</v>
      </c>
      <c r="D289" s="261" t="s">
        <v>5436</v>
      </c>
      <c r="E289" s="262" t="s">
        <v>4883</v>
      </c>
      <c r="F289" s="265" t="s">
        <v>5424</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5405</v>
      </c>
      <c r="B290" s="257" t="s">
        <v>5406</v>
      </c>
      <c r="C290" s="258" t="s">
        <v>5437</v>
      </c>
      <c r="D290" s="261" t="s">
        <v>5438</v>
      </c>
      <c r="E290" s="262" t="s">
        <v>4854</v>
      </c>
      <c r="F290" s="265" t="s">
        <v>5424</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5405</v>
      </c>
      <c r="B291" s="257" t="s">
        <v>5406</v>
      </c>
      <c r="C291" s="258" t="s">
        <v>5439</v>
      </c>
      <c r="D291" s="261" t="s">
        <v>5440</v>
      </c>
      <c r="E291" s="262" t="s">
        <v>4883</v>
      </c>
      <c r="F291" s="265" t="s">
        <v>5441</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5405</v>
      </c>
      <c r="B292" s="257" t="s">
        <v>5406</v>
      </c>
      <c r="C292" s="258" t="s">
        <v>5442</v>
      </c>
      <c r="D292" s="261" t="s">
        <v>5443</v>
      </c>
      <c r="E292" s="262" t="s">
        <v>4883</v>
      </c>
      <c r="F292" s="265" t="s">
        <v>5441</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5405</v>
      </c>
      <c r="B293" s="257" t="s">
        <v>5406</v>
      </c>
      <c r="C293" s="258" t="s">
        <v>5444</v>
      </c>
      <c r="D293" s="261" t="s">
        <v>5445</v>
      </c>
      <c r="E293" s="262" t="s">
        <v>5133</v>
      </c>
      <c r="F293" s="265" t="s">
        <v>5424</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5405</v>
      </c>
      <c r="B294" s="257" t="s">
        <v>5406</v>
      </c>
      <c r="C294" s="258" t="s">
        <v>5446</v>
      </c>
      <c r="D294" s="261" t="s">
        <v>5447</v>
      </c>
      <c r="E294" s="262" t="s">
        <v>5133</v>
      </c>
      <c r="F294" s="265" t="s">
        <v>5424</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5405</v>
      </c>
      <c r="B295" s="257" t="s">
        <v>5406</v>
      </c>
      <c r="C295" s="258" t="s">
        <v>5448</v>
      </c>
      <c r="D295" s="261" t="s">
        <v>5449</v>
      </c>
      <c r="E295" s="262" t="s">
        <v>4950</v>
      </c>
      <c r="F295" s="265" t="s">
        <v>5424</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5405</v>
      </c>
      <c r="B296" s="257" t="s">
        <v>5406</v>
      </c>
      <c r="C296" s="258" t="s">
        <v>5450</v>
      </c>
      <c r="D296" s="261" t="s">
        <v>5451</v>
      </c>
      <c r="E296" s="262" t="s">
        <v>4950</v>
      </c>
      <c r="F296" s="265" t="s">
        <v>5424</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5405</v>
      </c>
      <c r="B297" s="257" t="s">
        <v>5406</v>
      </c>
      <c r="C297" s="258" t="s">
        <v>5452</v>
      </c>
      <c r="D297" s="261" t="s">
        <v>5453</v>
      </c>
      <c r="E297" s="262" t="s">
        <v>4854</v>
      </c>
      <c r="F297" s="265" t="s">
        <v>5424</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5405</v>
      </c>
      <c r="B298" s="257" t="s">
        <v>5406</v>
      </c>
      <c r="C298" s="258" t="s">
        <v>5454</v>
      </c>
      <c r="D298" s="261" t="s">
        <v>5455</v>
      </c>
      <c r="E298" s="262" t="s">
        <v>4950</v>
      </c>
      <c r="F298" s="265" t="s">
        <v>5424</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5405</v>
      </c>
      <c r="B299" s="257" t="s">
        <v>5406</v>
      </c>
      <c r="C299" s="258" t="s">
        <v>5456</v>
      </c>
      <c r="D299" s="261" t="s">
        <v>5457</v>
      </c>
      <c r="E299" s="262" t="s">
        <v>4883</v>
      </c>
      <c r="F299" s="265" t="s">
        <v>5424</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5405</v>
      </c>
      <c r="B300" s="257" t="s">
        <v>5406</v>
      </c>
      <c r="C300" s="258" t="s">
        <v>5458</v>
      </c>
      <c r="D300" s="261" t="s">
        <v>5459</v>
      </c>
      <c r="E300" s="262" t="s">
        <v>4950</v>
      </c>
      <c r="F300" s="265" t="s">
        <v>5424</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5405</v>
      </c>
      <c r="B301" s="257" t="s">
        <v>5406</v>
      </c>
      <c r="C301" s="258" t="s">
        <v>5460</v>
      </c>
      <c r="D301" s="261" t="s">
        <v>5461</v>
      </c>
      <c r="E301" s="262" t="s">
        <v>4998</v>
      </c>
      <c r="F301" s="265" t="s">
        <v>5424</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5405</v>
      </c>
      <c r="B302" s="257" t="s">
        <v>5406</v>
      </c>
      <c r="C302" s="258" t="s">
        <v>5462</v>
      </c>
      <c r="D302" s="261" t="s">
        <v>5463</v>
      </c>
      <c r="E302" s="262" t="s">
        <v>4998</v>
      </c>
      <c r="F302" s="265" t="s">
        <v>5424</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5405</v>
      </c>
      <c r="B303" s="256" t="s">
        <v>1220</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5405</v>
      </c>
      <c r="B304" s="257" t="s">
        <v>1220</v>
      </c>
      <c r="C304" s="258" t="s">
        <v>5464</v>
      </c>
      <c r="D304" s="261" t="s">
        <v>5465</v>
      </c>
      <c r="E304" s="262" t="s">
        <v>4854</v>
      </c>
      <c r="F304" s="265" t="s">
        <v>5466</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5405</v>
      </c>
      <c r="B305" s="257" t="s">
        <v>1220</v>
      </c>
      <c r="C305" s="258" t="s">
        <v>5467</v>
      </c>
      <c r="D305" s="261" t="s">
        <v>5468</v>
      </c>
      <c r="E305" s="262" t="s">
        <v>4854</v>
      </c>
      <c r="F305" s="265" t="s">
        <v>5466</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5405</v>
      </c>
      <c r="B306" s="257" t="s">
        <v>1220</v>
      </c>
      <c r="C306" s="258" t="s">
        <v>5469</v>
      </c>
      <c r="D306" s="261" t="s">
        <v>5470</v>
      </c>
      <c r="E306" s="262" t="s">
        <v>4854</v>
      </c>
      <c r="F306" s="265" t="s">
        <v>5466</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5405</v>
      </c>
      <c r="B307" s="257" t="s">
        <v>1220</v>
      </c>
      <c r="C307" s="258" t="s">
        <v>5471</v>
      </c>
      <c r="D307" s="261" t="s">
        <v>5472</v>
      </c>
      <c r="E307" s="262" t="s">
        <v>4854</v>
      </c>
      <c r="F307" s="265" t="s">
        <v>5466</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5405</v>
      </c>
      <c r="B308" s="257" t="s">
        <v>1220</v>
      </c>
      <c r="C308" s="258" t="s">
        <v>5473</v>
      </c>
      <c r="D308" s="261" t="s">
        <v>5474</v>
      </c>
      <c r="E308" s="262" t="s">
        <v>4950</v>
      </c>
      <c r="F308" s="265" t="s">
        <v>5466</v>
      </c>
      <c r="G308" s="268">
        <f>IF(COUNTIF(H308:AU308,"&lt;&gt;")=0,"",SUMPRODUCT(((Recommendations[ImplStatus]="Implemented")+(Recommendations[ImplStatus]="Compensated"))*ISNUMBER(MATCH(Recommendations[Id],H308:AU308,0)))/COUNTIF(H308:AU308,"&lt;&gt;"))</f>
        <v>0</v>
      </c>
      <c r="H308" s="269" t="s">
        <v>43</v>
      </c>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5405</v>
      </c>
      <c r="B309" s="257" t="s">
        <v>1220</v>
      </c>
      <c r="C309" s="258" t="s">
        <v>5475</v>
      </c>
      <c r="D309" s="261" t="s">
        <v>5476</v>
      </c>
      <c r="E309" s="262" t="s">
        <v>4950</v>
      </c>
      <c r="F309" s="265" t="s">
        <v>5466</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5405</v>
      </c>
      <c r="B310" s="257" t="s">
        <v>1220</v>
      </c>
      <c r="C310" s="258" t="s">
        <v>5477</v>
      </c>
      <c r="D310" s="261" t="s">
        <v>5478</v>
      </c>
      <c r="E310" s="262" t="s">
        <v>4950</v>
      </c>
      <c r="F310" s="265" t="s">
        <v>5466</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5405</v>
      </c>
      <c r="B311" s="257" t="s">
        <v>1220</v>
      </c>
      <c r="C311" s="258" t="s">
        <v>5479</v>
      </c>
      <c r="D311" s="261" t="s">
        <v>5480</v>
      </c>
      <c r="E311" s="262" t="s">
        <v>4950</v>
      </c>
      <c r="F311" s="265" t="s">
        <v>5466</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5405</v>
      </c>
      <c r="B312" s="257" t="s">
        <v>1220</v>
      </c>
      <c r="C312" s="258" t="s">
        <v>5481</v>
      </c>
      <c r="D312" s="261" t="s">
        <v>5482</v>
      </c>
      <c r="E312" s="262" t="s">
        <v>4950</v>
      </c>
      <c r="F312" s="265" t="s">
        <v>5466</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5405</v>
      </c>
      <c r="B313" s="257" t="s">
        <v>1220</v>
      </c>
      <c r="C313" s="258" t="s">
        <v>5483</v>
      </c>
      <c r="D313" s="261" t="s">
        <v>5484</v>
      </c>
      <c r="E313" s="262" t="s">
        <v>4883</v>
      </c>
      <c r="F313" s="265" t="s">
        <v>5466</v>
      </c>
      <c r="G313" s="268">
        <f>IF(COUNTIF(H313:AU313,"&lt;&gt;")=0,"",SUMPRODUCT(((Recommendations[ImplStatus]="Implemented")+(Recommendations[ImplStatus]="Compensated"))*ISNUMBER(MATCH(Recommendations[Id],H313:AU313,0)))/COUNTIF(H313:AU313,"&lt;&gt;"))</f>
        <v>0</v>
      </c>
      <c r="H313" s="269" t="s">
        <v>78</v>
      </c>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5405</v>
      </c>
      <c r="B314" s="257" t="s">
        <v>1220</v>
      </c>
      <c r="C314" s="258" t="s">
        <v>5485</v>
      </c>
      <c r="D314" s="261" t="s">
        <v>5486</v>
      </c>
      <c r="E314" s="262" t="s">
        <v>4883</v>
      </c>
      <c r="F314" s="265" t="s">
        <v>5466</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5405</v>
      </c>
      <c r="B315" s="257" t="s">
        <v>1220</v>
      </c>
      <c r="C315" s="258" t="s">
        <v>5487</v>
      </c>
      <c r="D315" s="261" t="s">
        <v>5488</v>
      </c>
      <c r="E315" s="262" t="s">
        <v>4883</v>
      </c>
      <c r="F315" s="265" t="s">
        <v>5466</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5405</v>
      </c>
      <c r="B316" s="257" t="s">
        <v>1220</v>
      </c>
      <c r="C316" s="258" t="s">
        <v>5489</v>
      </c>
      <c r="D316" s="261" t="s">
        <v>5490</v>
      </c>
      <c r="E316" s="262" t="s">
        <v>4883</v>
      </c>
      <c r="F316" s="265" t="s">
        <v>5466</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5405</v>
      </c>
      <c r="B317" s="257" t="s">
        <v>1220</v>
      </c>
      <c r="C317" s="258" t="s">
        <v>5491</v>
      </c>
      <c r="D317" s="261" t="s">
        <v>5492</v>
      </c>
      <c r="E317" s="262" t="s">
        <v>4950</v>
      </c>
      <c r="F317" s="265" t="s">
        <v>5424</v>
      </c>
      <c r="G317" s="268">
        <f>IF(COUNTIF(H317:AU317,"&lt;&gt;")=0,"",SUMPRODUCT(((Recommendations[ImplStatus]="Implemented")+(Recommendations[ImplStatus]="Compensated"))*ISNUMBER(MATCH(Recommendations[Id],H317:AU317,0)))/COUNTIF(H317:AU317,"&lt;&gt;"))</f>
        <v>0</v>
      </c>
      <c r="H317" s="269" t="s">
        <v>53</v>
      </c>
      <c r="I317" s="269" t="s">
        <v>113</v>
      </c>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5405</v>
      </c>
      <c r="B318" s="257" t="s">
        <v>1220</v>
      </c>
      <c r="C318" s="258" t="s">
        <v>5493</v>
      </c>
      <c r="D318" s="261" t="s">
        <v>5494</v>
      </c>
      <c r="E318" s="262" t="s">
        <v>4998</v>
      </c>
      <c r="F318" s="265" t="s">
        <v>5424</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5405</v>
      </c>
      <c r="B319" s="257" t="s">
        <v>1220</v>
      </c>
      <c r="C319" s="258" t="s">
        <v>5495</v>
      </c>
      <c r="D319" s="261" t="s">
        <v>5496</v>
      </c>
      <c r="E319" s="262" t="s">
        <v>4998</v>
      </c>
      <c r="F319" s="265" t="s">
        <v>5424</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5405</v>
      </c>
      <c r="B320" s="256" t="s">
        <v>5497</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5405</v>
      </c>
      <c r="B321" s="257" t="s">
        <v>5497</v>
      </c>
      <c r="C321" s="258" t="s">
        <v>5498</v>
      </c>
      <c r="D321" s="261" t="s">
        <v>5499</v>
      </c>
      <c r="E321" s="262" t="s">
        <v>4883</v>
      </c>
      <c r="F321" s="265" t="s">
        <v>5500</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5405</v>
      </c>
      <c r="B322" s="257" t="s">
        <v>5497</v>
      </c>
      <c r="C322" s="258" t="s">
        <v>5501</v>
      </c>
      <c r="D322" s="261" t="s">
        <v>5502</v>
      </c>
      <c r="E322" s="262" t="s">
        <v>4883</v>
      </c>
      <c r="F322" s="265" t="s">
        <v>5500</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5405</v>
      </c>
      <c r="B323" s="257" t="s">
        <v>5497</v>
      </c>
      <c r="C323" s="258" t="s">
        <v>5503</v>
      </c>
      <c r="D323" s="261" t="s">
        <v>5504</v>
      </c>
      <c r="E323" s="262" t="s">
        <v>4883</v>
      </c>
      <c r="F323" s="265" t="s">
        <v>5500</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5405</v>
      </c>
      <c r="B324" s="257" t="s">
        <v>5497</v>
      </c>
      <c r="C324" s="258" t="s">
        <v>5505</v>
      </c>
      <c r="D324" s="261" t="s">
        <v>5506</v>
      </c>
      <c r="E324" s="262" t="s">
        <v>4883</v>
      </c>
      <c r="F324" s="265" t="s">
        <v>5500</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5405</v>
      </c>
      <c r="B325" s="257" t="s">
        <v>5497</v>
      </c>
      <c r="C325" s="258" t="s">
        <v>5507</v>
      </c>
      <c r="D325" s="261" t="s">
        <v>5508</v>
      </c>
      <c r="E325" s="262" t="s">
        <v>4883</v>
      </c>
      <c r="F325" s="265" t="s">
        <v>5500</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5405</v>
      </c>
      <c r="B326" s="257" t="s">
        <v>5497</v>
      </c>
      <c r="C326" s="258" t="s">
        <v>5509</v>
      </c>
      <c r="D326" s="261" t="s">
        <v>5510</v>
      </c>
      <c r="E326" s="262" t="s">
        <v>4883</v>
      </c>
      <c r="F326" s="265" t="s">
        <v>5500</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5405</v>
      </c>
      <c r="B327" s="257" t="s">
        <v>5497</v>
      </c>
      <c r="C327" s="258" t="s">
        <v>5511</v>
      </c>
      <c r="D327" s="261" t="s">
        <v>5512</v>
      </c>
      <c r="E327" s="262" t="s">
        <v>4883</v>
      </c>
      <c r="F327" s="265" t="s">
        <v>5500</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5405</v>
      </c>
      <c r="B328" s="257" t="s">
        <v>5497</v>
      </c>
      <c r="C328" s="258" t="s">
        <v>5513</v>
      </c>
      <c r="D328" s="261" t="s">
        <v>5514</v>
      </c>
      <c r="E328" s="262" t="s">
        <v>4883</v>
      </c>
      <c r="F328" s="265" t="s">
        <v>5500</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5405</v>
      </c>
      <c r="B329" s="257" t="s">
        <v>5497</v>
      </c>
      <c r="C329" s="258" t="s">
        <v>5515</v>
      </c>
      <c r="D329" s="261" t="s">
        <v>5516</v>
      </c>
      <c r="E329" s="262" t="s">
        <v>4883</v>
      </c>
      <c r="F329" s="265" t="s">
        <v>5500</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5405</v>
      </c>
      <c r="B330" s="257" t="s">
        <v>5497</v>
      </c>
      <c r="C330" s="258" t="s">
        <v>5517</v>
      </c>
      <c r="D330" s="261" t="s">
        <v>5518</v>
      </c>
      <c r="E330" s="262" t="s">
        <v>4883</v>
      </c>
      <c r="F330" s="265" t="s">
        <v>5500</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5405</v>
      </c>
      <c r="B331" s="257" t="s">
        <v>5497</v>
      </c>
      <c r="C331" s="258" t="s">
        <v>5519</v>
      </c>
      <c r="D331" s="261" t="s">
        <v>5520</v>
      </c>
      <c r="E331" s="262" t="s">
        <v>4883</v>
      </c>
      <c r="F331" s="265" t="s">
        <v>5500</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5405</v>
      </c>
      <c r="B332" s="257" t="s">
        <v>5497</v>
      </c>
      <c r="C332" s="258" t="s">
        <v>5521</v>
      </c>
      <c r="D332" s="261" t="s">
        <v>5522</v>
      </c>
      <c r="E332" s="262" t="s">
        <v>4883</v>
      </c>
      <c r="F332" s="265" t="s">
        <v>5500</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5405</v>
      </c>
      <c r="B333" s="257" t="s">
        <v>5497</v>
      </c>
      <c r="C333" s="258" t="s">
        <v>5523</v>
      </c>
      <c r="D333" s="261" t="s">
        <v>5524</v>
      </c>
      <c r="E333" s="262" t="s">
        <v>4883</v>
      </c>
      <c r="F333" s="265" t="s">
        <v>5500</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5405</v>
      </c>
      <c r="B334" s="257" t="s">
        <v>5497</v>
      </c>
      <c r="C334" s="258" t="s">
        <v>5525</v>
      </c>
      <c r="D334" s="261" t="s">
        <v>5526</v>
      </c>
      <c r="E334" s="262" t="s">
        <v>4883</v>
      </c>
      <c r="F334" s="265" t="s">
        <v>5500</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5405</v>
      </c>
      <c r="B335" s="257" t="s">
        <v>5497</v>
      </c>
      <c r="C335" s="258" t="s">
        <v>5527</v>
      </c>
      <c r="D335" s="261" t="s">
        <v>5528</v>
      </c>
      <c r="E335" s="262" t="s">
        <v>4883</v>
      </c>
      <c r="F335" s="265" t="s">
        <v>5500</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5405</v>
      </c>
      <c r="B336" s="257" t="s">
        <v>5497</v>
      </c>
      <c r="C336" s="258" t="s">
        <v>5529</v>
      </c>
      <c r="D336" s="261" t="s">
        <v>5530</v>
      </c>
      <c r="E336" s="262" t="s">
        <v>4998</v>
      </c>
      <c r="F336" s="265" t="s">
        <v>5500</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5405</v>
      </c>
      <c r="B337" s="257" t="s">
        <v>5497</v>
      </c>
      <c r="C337" s="258" t="s">
        <v>5531</v>
      </c>
      <c r="D337" s="261" t="s">
        <v>5532</v>
      </c>
      <c r="E337" s="262" t="s">
        <v>4998</v>
      </c>
      <c r="F337" s="265" t="s">
        <v>5500</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5405</v>
      </c>
      <c r="B338" s="257" t="s">
        <v>5497</v>
      </c>
      <c r="C338" s="258" t="s">
        <v>5533</v>
      </c>
      <c r="D338" s="261" t="s">
        <v>5534</v>
      </c>
      <c r="E338" s="262" t="s">
        <v>4883</v>
      </c>
      <c r="F338" s="265" t="s">
        <v>5500</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5405</v>
      </c>
      <c r="B339" s="257" t="s">
        <v>5497</v>
      </c>
      <c r="C339" s="258" t="s">
        <v>5535</v>
      </c>
      <c r="D339" s="261" t="s">
        <v>5536</v>
      </c>
      <c r="E339" s="262" t="s">
        <v>4883</v>
      </c>
      <c r="F339" s="265" t="s">
        <v>5500</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5405</v>
      </c>
      <c r="B340" s="256" t="s">
        <v>5537</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5405</v>
      </c>
      <c r="B341" s="257" t="s">
        <v>5537</v>
      </c>
      <c r="C341" s="258" t="s">
        <v>5538</v>
      </c>
      <c r="D341" s="261" t="s">
        <v>5539</v>
      </c>
      <c r="E341" s="262" t="s">
        <v>4854</v>
      </c>
      <c r="F341" s="265" t="s">
        <v>5424</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5405</v>
      </c>
      <c r="B342" s="257" t="s">
        <v>5537</v>
      </c>
      <c r="C342" s="258" t="s">
        <v>5540</v>
      </c>
      <c r="D342" s="261" t="s">
        <v>5541</v>
      </c>
      <c r="E342" s="262" t="s">
        <v>4854</v>
      </c>
      <c r="F342" s="265" t="s">
        <v>5424</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5405</v>
      </c>
      <c r="B343" s="257" t="s">
        <v>5537</v>
      </c>
      <c r="C343" s="258" t="s">
        <v>5542</v>
      </c>
      <c r="D343" s="261" t="s">
        <v>5543</v>
      </c>
      <c r="E343" s="262" t="s">
        <v>4950</v>
      </c>
      <c r="F343" s="265" t="s">
        <v>5544</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5405</v>
      </c>
      <c r="B344" s="257" t="s">
        <v>5537</v>
      </c>
      <c r="C344" s="258" t="s">
        <v>5545</v>
      </c>
      <c r="D344" s="261" t="s">
        <v>5546</v>
      </c>
      <c r="E344" s="262" t="s">
        <v>4883</v>
      </c>
      <c r="F344" s="265" t="s">
        <v>5544</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5405</v>
      </c>
      <c r="B345" s="257" t="s">
        <v>5537</v>
      </c>
      <c r="C345" s="258" t="s">
        <v>5547</v>
      </c>
      <c r="D345" s="261" t="s">
        <v>5548</v>
      </c>
      <c r="E345" s="262" t="s">
        <v>4883</v>
      </c>
      <c r="F345" s="265" t="s">
        <v>5544</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5405</v>
      </c>
      <c r="B346" s="257" t="s">
        <v>5537</v>
      </c>
      <c r="C346" s="258" t="s">
        <v>5549</v>
      </c>
      <c r="D346" s="261" t="s">
        <v>5550</v>
      </c>
      <c r="E346" s="262" t="s">
        <v>4883</v>
      </c>
      <c r="F346" s="265" t="s">
        <v>5544</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5405</v>
      </c>
      <c r="B347" s="257" t="s">
        <v>5537</v>
      </c>
      <c r="C347" s="258" t="s">
        <v>5551</v>
      </c>
      <c r="D347" s="261" t="s">
        <v>5552</v>
      </c>
      <c r="E347" s="262" t="s">
        <v>4883</v>
      </c>
      <c r="F347" s="265" t="s">
        <v>5544</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5405</v>
      </c>
      <c r="B348" s="257" t="s">
        <v>5537</v>
      </c>
      <c r="C348" s="258" t="s">
        <v>5553</v>
      </c>
      <c r="D348" s="261" t="s">
        <v>5554</v>
      </c>
      <c r="E348" s="262" t="s">
        <v>4883</v>
      </c>
      <c r="F348" s="265" t="s">
        <v>5544</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5405</v>
      </c>
      <c r="B349" s="257" t="s">
        <v>5537</v>
      </c>
      <c r="C349" s="258" t="s">
        <v>5555</v>
      </c>
      <c r="D349" s="261" t="s">
        <v>5556</v>
      </c>
      <c r="E349" s="262" t="s">
        <v>4883</v>
      </c>
      <c r="F349" s="265" t="s">
        <v>5544</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5405</v>
      </c>
      <c r="B350" s="257" t="s">
        <v>5537</v>
      </c>
      <c r="C350" s="258" t="s">
        <v>5557</v>
      </c>
      <c r="D350" s="261" t="s">
        <v>5558</v>
      </c>
      <c r="E350" s="262" t="s">
        <v>4854</v>
      </c>
      <c r="F350" s="265" t="s">
        <v>5544</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5405</v>
      </c>
      <c r="B351" s="257" t="s">
        <v>5537</v>
      </c>
      <c r="C351" s="258" t="s">
        <v>5559</v>
      </c>
      <c r="D351" s="261" t="s">
        <v>5560</v>
      </c>
      <c r="E351" s="262" t="s">
        <v>4854</v>
      </c>
      <c r="F351" s="265" t="s">
        <v>5544</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5405</v>
      </c>
      <c r="B352" s="257" t="s">
        <v>5537</v>
      </c>
      <c r="C352" s="258" t="s">
        <v>5561</v>
      </c>
      <c r="D352" s="261" t="s">
        <v>5562</v>
      </c>
      <c r="E352" s="262" t="s">
        <v>4854</v>
      </c>
      <c r="F352" s="265" t="s">
        <v>5544</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5405</v>
      </c>
      <c r="B353" s="257" t="s">
        <v>5537</v>
      </c>
      <c r="C353" s="258" t="s">
        <v>5563</v>
      </c>
      <c r="D353" s="261" t="s">
        <v>5564</v>
      </c>
      <c r="E353" s="262" t="s">
        <v>4950</v>
      </c>
      <c r="F353" s="265" t="s">
        <v>5424</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5405</v>
      </c>
      <c r="B354" s="256" t="s">
        <v>5565</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5405</v>
      </c>
      <c r="B355" s="257" t="s">
        <v>5565</v>
      </c>
      <c r="C355" s="258" t="s">
        <v>5566</v>
      </c>
      <c r="D355" s="261" t="s">
        <v>5567</v>
      </c>
      <c r="E355" s="262" t="s">
        <v>4950</v>
      </c>
      <c r="F355" s="265" t="s">
        <v>5568</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5405</v>
      </c>
      <c r="B356" s="257" t="s">
        <v>5565</v>
      </c>
      <c r="C356" s="258" t="s">
        <v>5569</v>
      </c>
      <c r="D356" s="261" t="s">
        <v>5570</v>
      </c>
      <c r="E356" s="262" t="s">
        <v>4950</v>
      </c>
      <c r="F356" s="265" t="s">
        <v>5568</v>
      </c>
      <c r="G356" s="268" t="str">
        <f>IF(COUNTIF(H356:AU356,"&lt;&gt;")=0,"",SUMPRODUCT(((Recommendations[ImplStatus]="Implemented")+(Recommendations[ImplStatus]="Compensated"))*ISNUMBER(MATCH(Recommendations[Id],H356:AU356,0)))/COUNTIF(H356:AU356,"&lt;&gt;"))</f>
        <v/>
      </c>
      <c r="H356" s="269"/>
      <c r="I356" s="269"/>
      <c r="J356" s="269"/>
      <c r="K356" s="269"/>
      <c r="L356" s="269"/>
      <c r="M356" s="269"/>
      <c r="N356" s="269"/>
      <c r="O356" s="269"/>
      <c r="P356" s="269"/>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5405</v>
      </c>
      <c r="B357" s="257" t="s">
        <v>5565</v>
      </c>
      <c r="C357" s="258" t="s">
        <v>5571</v>
      </c>
      <c r="D357" s="261" t="s">
        <v>5572</v>
      </c>
      <c r="E357" s="262" t="s">
        <v>4998</v>
      </c>
      <c r="F357" s="265" t="s">
        <v>5568</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5405</v>
      </c>
      <c r="B358" s="257" t="s">
        <v>5565</v>
      </c>
      <c r="C358" s="258" t="s">
        <v>5573</v>
      </c>
      <c r="D358" s="261" t="s">
        <v>5574</v>
      </c>
      <c r="E358" s="262" t="s">
        <v>4998</v>
      </c>
      <c r="F358" s="265" t="s">
        <v>5568</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5405</v>
      </c>
      <c r="B359" s="257" t="s">
        <v>5565</v>
      </c>
      <c r="C359" s="258" t="s">
        <v>5575</v>
      </c>
      <c r="D359" s="261" t="s">
        <v>5576</v>
      </c>
      <c r="E359" s="262" t="s">
        <v>4998</v>
      </c>
      <c r="F359" s="265" t="s">
        <v>5568</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5405</v>
      </c>
      <c r="B360" s="257" t="s">
        <v>5565</v>
      </c>
      <c r="C360" s="258" t="s">
        <v>5577</v>
      </c>
      <c r="D360" s="261" t="s">
        <v>5578</v>
      </c>
      <c r="E360" s="262" t="s">
        <v>4950</v>
      </c>
      <c r="F360" s="265" t="s">
        <v>5568</v>
      </c>
      <c r="G360" s="268">
        <f>IF(COUNTIF(H360:AU360,"&lt;&gt;")=0,"",SUMPRODUCT(((Recommendations[ImplStatus]="Implemented")+(Recommendations[ImplStatus]="Compensated"))*ISNUMBER(MATCH(Recommendations[Id],H360:AU360,0)))/COUNTIF(H360:AU360,"&lt;&gt;"))</f>
        <v>0</v>
      </c>
      <c r="H360" s="269" t="s">
        <v>28</v>
      </c>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5405</v>
      </c>
      <c r="B361" s="257" t="s">
        <v>5565</v>
      </c>
      <c r="C361" s="258" t="s">
        <v>5579</v>
      </c>
      <c r="D361" s="261" t="s">
        <v>5580</v>
      </c>
      <c r="E361" s="262" t="s">
        <v>4883</v>
      </c>
      <c r="F361" s="265" t="s">
        <v>5568</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5405</v>
      </c>
      <c r="B362" s="257" t="s">
        <v>5565</v>
      </c>
      <c r="C362" s="258" t="s">
        <v>5581</v>
      </c>
      <c r="D362" s="261" t="s">
        <v>5582</v>
      </c>
      <c r="E362" s="262" t="s">
        <v>4998</v>
      </c>
      <c r="F362" s="265" t="s">
        <v>5568</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5405</v>
      </c>
      <c r="B363" s="257" t="s">
        <v>5565</v>
      </c>
      <c r="C363" s="258" t="s">
        <v>5583</v>
      </c>
      <c r="D363" s="261" t="s">
        <v>5584</v>
      </c>
      <c r="E363" s="262" t="s">
        <v>4998</v>
      </c>
      <c r="F363" s="265" t="s">
        <v>5568</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5405</v>
      </c>
      <c r="B364" s="257" t="s">
        <v>5565</v>
      </c>
      <c r="C364" s="258" t="s">
        <v>5585</v>
      </c>
      <c r="D364" s="261" t="s">
        <v>5586</v>
      </c>
      <c r="E364" s="262" t="s">
        <v>4998</v>
      </c>
      <c r="F364" s="265" t="s">
        <v>5568</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5405</v>
      </c>
      <c r="B365" s="257" t="s">
        <v>5565</v>
      </c>
      <c r="C365" s="258" t="s">
        <v>5587</v>
      </c>
      <c r="D365" s="261" t="s">
        <v>5588</v>
      </c>
      <c r="E365" s="262" t="s">
        <v>4998</v>
      </c>
      <c r="F365" s="265" t="s">
        <v>5568</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5405</v>
      </c>
      <c r="B366" s="257" t="s">
        <v>5565</v>
      </c>
      <c r="C366" s="258" t="s">
        <v>5589</v>
      </c>
      <c r="D366" s="261" t="s">
        <v>5590</v>
      </c>
      <c r="E366" s="262" t="s">
        <v>4998</v>
      </c>
      <c r="F366" s="265" t="s">
        <v>5568</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5405</v>
      </c>
      <c r="B367" s="257" t="s">
        <v>5565</v>
      </c>
      <c r="C367" s="258" t="s">
        <v>5591</v>
      </c>
      <c r="D367" s="261" t="s">
        <v>5592</v>
      </c>
      <c r="E367" s="262" t="s">
        <v>4998</v>
      </c>
      <c r="F367" s="265" t="s">
        <v>5568</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5405</v>
      </c>
      <c r="B368" s="257" t="s">
        <v>5565</v>
      </c>
      <c r="C368" s="258" t="s">
        <v>5593</v>
      </c>
      <c r="D368" s="261" t="s">
        <v>5594</v>
      </c>
      <c r="E368" s="262" t="s">
        <v>4998</v>
      </c>
      <c r="F368" s="265" t="s">
        <v>5568</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5405</v>
      </c>
      <c r="B369" s="257" t="s">
        <v>5565</v>
      </c>
      <c r="C369" s="258" t="s">
        <v>5595</v>
      </c>
      <c r="D369" s="261" t="s">
        <v>5596</v>
      </c>
      <c r="E369" s="262" t="s">
        <v>4998</v>
      </c>
      <c r="F369" s="265" t="s">
        <v>5568</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5597</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5597</v>
      </c>
      <c r="B371" s="256" t="s">
        <v>5598</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5597</v>
      </c>
      <c r="B372" s="257" t="s">
        <v>5598</v>
      </c>
      <c r="C372" s="258" t="s">
        <v>5599</v>
      </c>
      <c r="D372" s="261" t="s">
        <v>5600</v>
      </c>
      <c r="E372" s="262" t="s">
        <v>4854</v>
      </c>
      <c r="F372" s="265" t="s">
        <v>5601</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5597</v>
      </c>
      <c r="B373" s="257" t="s">
        <v>5598</v>
      </c>
      <c r="C373" s="258" t="s">
        <v>5602</v>
      </c>
      <c r="D373" s="261" t="s">
        <v>5603</v>
      </c>
      <c r="E373" s="262" t="s">
        <v>4854</v>
      </c>
      <c r="F373" s="265" t="s">
        <v>5604</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5597</v>
      </c>
      <c r="B374" s="257" t="s">
        <v>5598</v>
      </c>
      <c r="C374" s="258" t="s">
        <v>5605</v>
      </c>
      <c r="D374" s="261" t="s">
        <v>5606</v>
      </c>
      <c r="E374" s="262" t="s">
        <v>4883</v>
      </c>
      <c r="F374" s="265" t="s">
        <v>5604</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5597</v>
      </c>
      <c r="B375" s="257" t="s">
        <v>5598</v>
      </c>
      <c r="C375" s="258" t="s">
        <v>5607</v>
      </c>
      <c r="D375" s="261" t="s">
        <v>5608</v>
      </c>
      <c r="E375" s="262" t="s">
        <v>4883</v>
      </c>
      <c r="F375" s="265" t="s">
        <v>5604</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5597</v>
      </c>
      <c r="B376" s="257" t="s">
        <v>5598</v>
      </c>
      <c r="C376" s="258" t="s">
        <v>5609</v>
      </c>
      <c r="D376" s="261" t="s">
        <v>5610</v>
      </c>
      <c r="E376" s="262" t="s">
        <v>4883</v>
      </c>
      <c r="F376" s="265" t="s">
        <v>5466</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5597</v>
      </c>
      <c r="B377" s="257" t="s">
        <v>5598</v>
      </c>
      <c r="C377" s="258" t="s">
        <v>5611</v>
      </c>
      <c r="D377" s="261" t="s">
        <v>5612</v>
      </c>
      <c r="E377" s="262" t="s">
        <v>4950</v>
      </c>
      <c r="F377" s="265" t="s">
        <v>5424</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5597</v>
      </c>
      <c r="B378" s="257" t="s">
        <v>5598</v>
      </c>
      <c r="C378" s="258" t="s">
        <v>5613</v>
      </c>
      <c r="D378" s="261" t="s">
        <v>5614</v>
      </c>
      <c r="E378" s="262" t="s">
        <v>4950</v>
      </c>
      <c r="F378" s="265" t="s">
        <v>5604</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5597</v>
      </c>
      <c r="B379" s="257" t="s">
        <v>5598</v>
      </c>
      <c r="C379" s="258" t="s">
        <v>5615</v>
      </c>
      <c r="D379" s="261" t="s">
        <v>5616</v>
      </c>
      <c r="E379" s="262" t="s">
        <v>4950</v>
      </c>
      <c r="F379" s="265" t="s">
        <v>5601</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5597</v>
      </c>
      <c r="B380" s="257" t="s">
        <v>5598</v>
      </c>
      <c r="C380" s="258" t="s">
        <v>5617</v>
      </c>
      <c r="D380" s="261" t="s">
        <v>5618</v>
      </c>
      <c r="E380" s="262" t="s">
        <v>4950</v>
      </c>
      <c r="F380" s="265" t="s">
        <v>5601</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5597</v>
      </c>
      <c r="B381" s="257" t="s">
        <v>5598</v>
      </c>
      <c r="C381" s="258" t="s">
        <v>5619</v>
      </c>
      <c r="D381" s="261" t="s">
        <v>5620</v>
      </c>
      <c r="E381" s="262" t="s">
        <v>4950</v>
      </c>
      <c r="F381" s="265" t="s">
        <v>5601</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5597</v>
      </c>
      <c r="B382" s="257" t="s">
        <v>5598</v>
      </c>
      <c r="C382" s="258" t="s">
        <v>5621</v>
      </c>
      <c r="D382" s="261" t="s">
        <v>5622</v>
      </c>
      <c r="E382" s="262" t="s">
        <v>4998</v>
      </c>
      <c r="F382" s="265" t="s">
        <v>5601</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5597</v>
      </c>
      <c r="B383" s="257" t="s">
        <v>5598</v>
      </c>
      <c r="C383" s="258" t="s">
        <v>5623</v>
      </c>
      <c r="D383" s="261" t="s">
        <v>5624</v>
      </c>
      <c r="E383" s="262" t="s">
        <v>4998</v>
      </c>
      <c r="F383" s="265" t="s">
        <v>5601</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5597</v>
      </c>
      <c r="B384" s="257" t="s">
        <v>5598</v>
      </c>
      <c r="C384" s="258" t="s">
        <v>5625</v>
      </c>
      <c r="D384" s="261" t="s">
        <v>5626</v>
      </c>
      <c r="E384" s="262" t="s">
        <v>4998</v>
      </c>
      <c r="F384" s="265" t="s">
        <v>5601</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5597</v>
      </c>
      <c r="B385" s="257" t="s">
        <v>5598</v>
      </c>
      <c r="C385" s="258" t="s">
        <v>5627</v>
      </c>
      <c r="D385" s="261" t="s">
        <v>5628</v>
      </c>
      <c r="E385" s="262" t="s">
        <v>4950</v>
      </c>
      <c r="F385" s="265" t="s">
        <v>5601</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5597</v>
      </c>
      <c r="B386" s="256" t="s">
        <v>5629</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5597</v>
      </c>
      <c r="B387" s="257" t="s">
        <v>5629</v>
      </c>
      <c r="C387" s="258" t="s">
        <v>5630</v>
      </c>
      <c r="D387" s="261" t="s">
        <v>5631</v>
      </c>
      <c r="E387" s="262" t="s">
        <v>4854</v>
      </c>
      <c r="F387" s="265" t="s">
        <v>5632</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5597</v>
      </c>
      <c r="B388" s="257" t="s">
        <v>5629</v>
      </c>
      <c r="C388" s="258" t="s">
        <v>5633</v>
      </c>
      <c r="D388" s="261" t="s">
        <v>5634</v>
      </c>
      <c r="E388" s="262" t="s">
        <v>4854</v>
      </c>
      <c r="F388" s="265" t="s">
        <v>5632</v>
      </c>
      <c r="G388" s="268" t="str">
        <f>IF(COUNTIF(H388:AU388,"&lt;&gt;")=0,"",SUMPRODUCT(((Recommendations[ImplStatus]="Implemented")+(Recommendations[ImplStatus]="Compensated"))*ISNUMBER(MATCH(Recommendations[Id],H388:AU388,0)))/COUNTIF(H388:AU388,"&lt;&gt;"))</f>
        <v/>
      </c>
      <c r="H388" s="269"/>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5597</v>
      </c>
      <c r="B389" s="257" t="s">
        <v>5629</v>
      </c>
      <c r="C389" s="258" t="s">
        <v>5635</v>
      </c>
      <c r="D389" s="261" t="s">
        <v>5636</v>
      </c>
      <c r="E389" s="262" t="s">
        <v>5133</v>
      </c>
      <c r="F389" s="265" t="s">
        <v>5632</v>
      </c>
      <c r="G389" s="268" t="str">
        <f>IF(COUNTIF(H389:AU389,"&lt;&gt;")=0,"",SUMPRODUCT(((Recommendations[ImplStatus]="Implemented")+(Recommendations[ImplStatus]="Compensated"))*ISNUMBER(MATCH(Recommendations[Id],H389:AU389,0)))/COUNTIF(H389:AU389,"&lt;&gt;"))</f>
        <v/>
      </c>
      <c r="H389" s="269"/>
      <c r="I389" s="269"/>
      <c r="J389" s="269"/>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5597</v>
      </c>
      <c r="B390" s="257" t="s">
        <v>5629</v>
      </c>
      <c r="C390" s="258" t="s">
        <v>5637</v>
      </c>
      <c r="D390" s="261" t="s">
        <v>5638</v>
      </c>
      <c r="E390" s="262" t="s">
        <v>4950</v>
      </c>
      <c r="F390" s="265" t="s">
        <v>5632</v>
      </c>
      <c r="G390" s="268" t="str">
        <f>IF(COUNTIF(H390:AU390,"&lt;&gt;")=0,"",SUMPRODUCT(((Recommendations[ImplStatus]="Implemented")+(Recommendations[ImplStatus]="Compensated"))*ISNUMBER(MATCH(Recommendations[Id],H390:AU390,0)))/COUNTIF(H390:AU390,"&lt;&gt;"))</f>
        <v/>
      </c>
      <c r="H390" s="269"/>
      <c r="I390" s="269"/>
      <c r="J390" s="269"/>
      <c r="K390" s="269"/>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5597</v>
      </c>
      <c r="B391" s="257" t="s">
        <v>5629</v>
      </c>
      <c r="C391" s="258" t="s">
        <v>5639</v>
      </c>
      <c r="D391" s="261" t="s">
        <v>5640</v>
      </c>
      <c r="E391" s="262" t="s">
        <v>5133</v>
      </c>
      <c r="F391" s="265" t="s">
        <v>5632</v>
      </c>
      <c r="G391" s="268" t="str">
        <f>IF(COUNTIF(H391:AU391,"&lt;&gt;")=0,"",SUMPRODUCT(((Recommendations[ImplStatus]="Implemented")+(Recommendations[ImplStatus]="Compensated"))*ISNUMBER(MATCH(Recommendations[Id],H391:AU391,0)))/COUNTIF(H391:AU391,"&lt;&gt;"))</f>
        <v/>
      </c>
      <c r="H391" s="269"/>
      <c r="I391" s="269"/>
      <c r="J391" s="269"/>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5597</v>
      </c>
      <c r="B392" s="257" t="s">
        <v>5629</v>
      </c>
      <c r="C392" s="258" t="s">
        <v>5641</v>
      </c>
      <c r="D392" s="261" t="s">
        <v>5642</v>
      </c>
      <c r="E392" s="262" t="s">
        <v>4883</v>
      </c>
      <c r="F392" s="265" t="s">
        <v>5632</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5597</v>
      </c>
      <c r="B393" s="257" t="s">
        <v>5629</v>
      </c>
      <c r="C393" s="258" t="s">
        <v>5643</v>
      </c>
      <c r="D393" s="261" t="s">
        <v>5644</v>
      </c>
      <c r="E393" s="262" t="s">
        <v>4883</v>
      </c>
      <c r="F393" s="265" t="s">
        <v>5632</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5597</v>
      </c>
      <c r="B394" s="257" t="s">
        <v>5629</v>
      </c>
      <c r="C394" s="258" t="s">
        <v>5645</v>
      </c>
      <c r="D394" s="261" t="s">
        <v>5646</v>
      </c>
      <c r="E394" s="262" t="s">
        <v>5133</v>
      </c>
      <c r="F394" s="265" t="s">
        <v>5632</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5597</v>
      </c>
      <c r="B395" s="257" t="s">
        <v>5629</v>
      </c>
      <c r="C395" s="258" t="s">
        <v>5647</v>
      </c>
      <c r="D395" s="261" t="s">
        <v>5648</v>
      </c>
      <c r="E395" s="262" t="s">
        <v>4950</v>
      </c>
      <c r="F395" s="265" t="s">
        <v>5632</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5597</v>
      </c>
      <c r="B396" s="257" t="s">
        <v>5629</v>
      </c>
      <c r="C396" s="258" t="s">
        <v>5649</v>
      </c>
      <c r="D396" s="261" t="s">
        <v>5650</v>
      </c>
      <c r="E396" s="262" t="s">
        <v>5133</v>
      </c>
      <c r="F396" s="265" t="s">
        <v>5632</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5597</v>
      </c>
      <c r="B397" s="257" t="s">
        <v>5629</v>
      </c>
      <c r="C397" s="258" t="s">
        <v>5651</v>
      </c>
      <c r="D397" s="261" t="s">
        <v>5652</v>
      </c>
      <c r="E397" s="262" t="s">
        <v>4883</v>
      </c>
      <c r="F397" s="265" t="s">
        <v>5632</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5597</v>
      </c>
      <c r="B398" s="257" t="s">
        <v>5629</v>
      </c>
      <c r="C398" s="258" t="s">
        <v>5653</v>
      </c>
      <c r="D398" s="261" t="s">
        <v>5654</v>
      </c>
      <c r="E398" s="262" t="s">
        <v>4998</v>
      </c>
      <c r="F398" s="265" t="s">
        <v>5632</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5597</v>
      </c>
      <c r="B399" s="257" t="s">
        <v>5629</v>
      </c>
      <c r="C399" s="258" t="s">
        <v>5655</v>
      </c>
      <c r="D399" s="261" t="s">
        <v>5656</v>
      </c>
      <c r="E399" s="262" t="s">
        <v>5133</v>
      </c>
      <c r="F399" s="265" t="s">
        <v>5632</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5597</v>
      </c>
      <c r="B400" s="257" t="s">
        <v>5629</v>
      </c>
      <c r="C400" s="258" t="s">
        <v>5657</v>
      </c>
      <c r="D400" s="261" t="s">
        <v>5658</v>
      </c>
      <c r="E400" s="262" t="s">
        <v>5133</v>
      </c>
      <c r="F400" s="265" t="s">
        <v>5632</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5597</v>
      </c>
      <c r="B401" s="257" t="s">
        <v>5629</v>
      </c>
      <c r="C401" s="258" t="s">
        <v>5659</v>
      </c>
      <c r="D401" s="261" t="s">
        <v>5660</v>
      </c>
      <c r="E401" s="262" t="s">
        <v>4883</v>
      </c>
      <c r="F401" s="265" t="s">
        <v>5632</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5597</v>
      </c>
      <c r="B402" s="257" t="s">
        <v>5629</v>
      </c>
      <c r="C402" s="258" t="s">
        <v>5661</v>
      </c>
      <c r="D402" s="261" t="s">
        <v>5662</v>
      </c>
      <c r="E402" s="262" t="s">
        <v>4883</v>
      </c>
      <c r="F402" s="265" t="s">
        <v>5632</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5597</v>
      </c>
      <c r="B403" s="257" t="s">
        <v>5629</v>
      </c>
      <c r="C403" s="258" t="s">
        <v>5663</v>
      </c>
      <c r="D403" s="261" t="s">
        <v>5664</v>
      </c>
      <c r="E403" s="262" t="s">
        <v>4883</v>
      </c>
      <c r="F403" s="265" t="s">
        <v>5632</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5597</v>
      </c>
      <c r="B404" s="257" t="s">
        <v>5629</v>
      </c>
      <c r="C404" s="258" t="s">
        <v>5665</v>
      </c>
      <c r="D404" s="261" t="s">
        <v>5666</v>
      </c>
      <c r="E404" s="262" t="s">
        <v>4998</v>
      </c>
      <c r="F404" s="265" t="s">
        <v>5632</v>
      </c>
      <c r="G404" s="268" t="str">
        <f>IF(COUNTIF(H404:AU404,"&lt;&gt;")=0,"",SUMPRODUCT(((Recommendations[ImplStatus]="Implemented")+(Recommendations[ImplStatus]="Compensated"))*ISNUMBER(MATCH(Recommendations[Id],H404:AU404,0)))/COUNTIF(H404:AU404,"&lt;&gt;"))</f>
        <v/>
      </c>
      <c r="H404" s="269"/>
      <c r="I404" s="269"/>
      <c r="J404" s="269"/>
      <c r="K404" s="269"/>
      <c r="L404" s="269"/>
      <c r="M404" s="269"/>
      <c r="N404" s="269"/>
      <c r="O404" s="269"/>
      <c r="P404" s="269"/>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5597</v>
      </c>
      <c r="B405" s="257" t="s">
        <v>5629</v>
      </c>
      <c r="C405" s="258" t="s">
        <v>5667</v>
      </c>
      <c r="D405" s="261" t="s">
        <v>5668</v>
      </c>
      <c r="E405" s="262" t="s">
        <v>4998</v>
      </c>
      <c r="F405" s="265" t="s">
        <v>5632</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5597</v>
      </c>
      <c r="B406" s="257" t="s">
        <v>5629</v>
      </c>
      <c r="C406" s="258" t="s">
        <v>5669</v>
      </c>
      <c r="D406" s="261" t="s">
        <v>5670</v>
      </c>
      <c r="E406" s="262" t="s">
        <v>4998</v>
      </c>
      <c r="F406" s="265" t="s">
        <v>5671</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5597</v>
      </c>
      <c r="B407" s="257" t="s">
        <v>5629</v>
      </c>
      <c r="C407" s="258" t="s">
        <v>5672</v>
      </c>
      <c r="D407" s="261" t="s">
        <v>5673</v>
      </c>
      <c r="E407" s="262" t="s">
        <v>4998</v>
      </c>
      <c r="F407" s="265" t="s">
        <v>5632</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5597</v>
      </c>
      <c r="B408" s="257" t="s">
        <v>5629</v>
      </c>
      <c r="C408" s="258" t="s">
        <v>5674</v>
      </c>
      <c r="D408" s="261" t="s">
        <v>5675</v>
      </c>
      <c r="E408" s="262" t="s">
        <v>4998</v>
      </c>
      <c r="F408" s="265" t="s">
        <v>5632</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5597</v>
      </c>
      <c r="B409" s="257" t="s">
        <v>5629</v>
      </c>
      <c r="C409" s="258" t="s">
        <v>5676</v>
      </c>
      <c r="D409" s="261" t="s">
        <v>5677</v>
      </c>
      <c r="E409" s="262" t="s">
        <v>4998</v>
      </c>
      <c r="F409" s="265" t="s">
        <v>5678</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5597</v>
      </c>
      <c r="B410" s="256" t="s">
        <v>5679</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5597</v>
      </c>
      <c r="B411" s="257" t="s">
        <v>5679</v>
      </c>
      <c r="C411" s="258" t="s">
        <v>5680</v>
      </c>
      <c r="D411" s="261" t="s">
        <v>5681</v>
      </c>
      <c r="E411" s="262" t="s">
        <v>4854</v>
      </c>
      <c r="F411" s="265" t="s">
        <v>5604</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5597</v>
      </c>
      <c r="B412" s="257" t="s">
        <v>5679</v>
      </c>
      <c r="C412" s="258" t="s">
        <v>5682</v>
      </c>
      <c r="D412" s="261" t="s">
        <v>5683</v>
      </c>
      <c r="E412" s="262" t="s">
        <v>4854</v>
      </c>
      <c r="F412" s="265" t="s">
        <v>5604</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5597</v>
      </c>
      <c r="B413" s="257" t="s">
        <v>5679</v>
      </c>
      <c r="C413" s="258" t="s">
        <v>5684</v>
      </c>
      <c r="D413" s="261" t="s">
        <v>5685</v>
      </c>
      <c r="E413" s="262" t="s">
        <v>4854</v>
      </c>
      <c r="F413" s="265" t="s">
        <v>5604</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5597</v>
      </c>
      <c r="B414" s="257" t="s">
        <v>5679</v>
      </c>
      <c r="C414" s="258" t="s">
        <v>5686</v>
      </c>
      <c r="D414" s="261" t="s">
        <v>5687</v>
      </c>
      <c r="E414" s="262" t="s">
        <v>4854</v>
      </c>
      <c r="F414" s="265" t="s">
        <v>5604</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5597</v>
      </c>
      <c r="B415" s="257" t="s">
        <v>5679</v>
      </c>
      <c r="C415" s="258" t="s">
        <v>5688</v>
      </c>
      <c r="D415" s="261" t="s">
        <v>5689</v>
      </c>
      <c r="E415" s="262" t="s">
        <v>4883</v>
      </c>
      <c r="F415" s="265" t="s">
        <v>5604</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5597</v>
      </c>
      <c r="B416" s="257" t="s">
        <v>5679</v>
      </c>
      <c r="C416" s="258" t="s">
        <v>5690</v>
      </c>
      <c r="D416" s="261" t="s">
        <v>5691</v>
      </c>
      <c r="E416" s="262" t="s">
        <v>4883</v>
      </c>
      <c r="F416" s="265" t="s">
        <v>5692</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5597</v>
      </c>
      <c r="B417" s="257" t="s">
        <v>5679</v>
      </c>
      <c r="C417" s="258" t="s">
        <v>5693</v>
      </c>
      <c r="D417" s="261" t="s">
        <v>5694</v>
      </c>
      <c r="E417" s="262" t="s">
        <v>4883</v>
      </c>
      <c r="F417" s="265" t="s">
        <v>5692</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5597</v>
      </c>
      <c r="B418" s="257" t="s">
        <v>5679</v>
      </c>
      <c r="C418" s="258" t="s">
        <v>5695</v>
      </c>
      <c r="D418" s="261" t="s">
        <v>5696</v>
      </c>
      <c r="E418" s="262" t="s">
        <v>5133</v>
      </c>
      <c r="F418" s="265" t="s">
        <v>5692</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5597</v>
      </c>
      <c r="B419" s="257" t="s">
        <v>5679</v>
      </c>
      <c r="C419" s="258" t="s">
        <v>5697</v>
      </c>
      <c r="D419" s="261" t="s">
        <v>5698</v>
      </c>
      <c r="E419" s="262" t="s">
        <v>4883</v>
      </c>
      <c r="F419" s="265" t="s">
        <v>5692</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5597</v>
      </c>
      <c r="B420" s="257" t="s">
        <v>5679</v>
      </c>
      <c r="C420" s="258" t="s">
        <v>5699</v>
      </c>
      <c r="D420" s="261" t="s">
        <v>5700</v>
      </c>
      <c r="E420" s="262" t="s">
        <v>5133</v>
      </c>
      <c r="F420" s="265" t="s">
        <v>5692</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5597</v>
      </c>
      <c r="B421" s="257" t="s">
        <v>5679</v>
      </c>
      <c r="C421" s="258" t="s">
        <v>5701</v>
      </c>
      <c r="D421" s="261" t="s">
        <v>5702</v>
      </c>
      <c r="E421" s="262" t="s">
        <v>5133</v>
      </c>
      <c r="F421" s="265" t="s">
        <v>5692</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5597</v>
      </c>
      <c r="B422" s="257" t="s">
        <v>5679</v>
      </c>
      <c r="C422" s="258" t="s">
        <v>5703</v>
      </c>
      <c r="D422" s="261" t="s">
        <v>5704</v>
      </c>
      <c r="E422" s="262" t="s">
        <v>4883</v>
      </c>
      <c r="F422" s="265" t="s">
        <v>5692</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5597</v>
      </c>
      <c r="B423" s="257" t="s">
        <v>5679</v>
      </c>
      <c r="C423" s="258" t="s">
        <v>5705</v>
      </c>
      <c r="D423" s="261" t="s">
        <v>5706</v>
      </c>
      <c r="E423" s="262" t="s">
        <v>4883</v>
      </c>
      <c r="F423" s="265" t="s">
        <v>5692</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5707</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5707</v>
      </c>
      <c r="B425" s="256" t="s">
        <v>5708</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5707</v>
      </c>
      <c r="B426" s="257" t="s">
        <v>5708</v>
      </c>
      <c r="C426" s="258" t="s">
        <v>5709</v>
      </c>
      <c r="D426" s="261" t="s">
        <v>5710</v>
      </c>
      <c r="E426" s="262" t="s">
        <v>4854</v>
      </c>
      <c r="F426" s="265" t="s">
        <v>5671</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5707</v>
      </c>
      <c r="B427" s="257" t="s">
        <v>5708</v>
      </c>
      <c r="C427" s="258" t="s">
        <v>5711</v>
      </c>
      <c r="D427" s="261" t="s">
        <v>5712</v>
      </c>
      <c r="E427" s="262" t="s">
        <v>4854</v>
      </c>
      <c r="F427" s="265" t="s">
        <v>5671</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5707</v>
      </c>
      <c r="B428" s="257" t="s">
        <v>5708</v>
      </c>
      <c r="C428" s="258" t="s">
        <v>5713</v>
      </c>
      <c r="D428" s="261" t="s">
        <v>5714</v>
      </c>
      <c r="E428" s="262" t="s">
        <v>5133</v>
      </c>
      <c r="F428" s="265" t="s">
        <v>5671</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5707</v>
      </c>
      <c r="B429" s="257" t="s">
        <v>5708</v>
      </c>
      <c r="C429" s="258" t="s">
        <v>5715</v>
      </c>
      <c r="D429" s="261" t="s">
        <v>5716</v>
      </c>
      <c r="E429" s="262" t="s">
        <v>4883</v>
      </c>
      <c r="F429" s="265" t="s">
        <v>5671</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5707</v>
      </c>
      <c r="B430" s="257" t="s">
        <v>5708</v>
      </c>
      <c r="C430" s="258" t="s">
        <v>5717</v>
      </c>
      <c r="D430" s="261" t="s">
        <v>5718</v>
      </c>
      <c r="E430" s="262" t="s">
        <v>4883</v>
      </c>
      <c r="F430" s="265" t="s">
        <v>5671</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5707</v>
      </c>
      <c r="B431" s="257" t="s">
        <v>5708</v>
      </c>
      <c r="C431" s="258" t="s">
        <v>5719</v>
      </c>
      <c r="D431" s="261" t="s">
        <v>5720</v>
      </c>
      <c r="E431" s="262" t="s">
        <v>5133</v>
      </c>
      <c r="F431" s="265" t="s">
        <v>5671</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5707</v>
      </c>
      <c r="B432" s="257" t="s">
        <v>5708</v>
      </c>
      <c r="C432" s="258" t="s">
        <v>5721</v>
      </c>
      <c r="D432" s="261" t="s">
        <v>5722</v>
      </c>
      <c r="E432" s="262" t="s">
        <v>5133</v>
      </c>
      <c r="F432" s="265" t="s">
        <v>5671</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5707</v>
      </c>
      <c r="B433" s="257" t="s">
        <v>5708</v>
      </c>
      <c r="C433" s="258" t="s">
        <v>5723</v>
      </c>
      <c r="D433" s="261" t="s">
        <v>5724</v>
      </c>
      <c r="E433" s="262" t="s">
        <v>4950</v>
      </c>
      <c r="F433" s="265" t="s">
        <v>5671</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5707</v>
      </c>
      <c r="B434" s="257" t="s">
        <v>5708</v>
      </c>
      <c r="C434" s="258" t="s">
        <v>5725</v>
      </c>
      <c r="D434" s="261" t="s">
        <v>5726</v>
      </c>
      <c r="E434" s="262" t="s">
        <v>4950</v>
      </c>
      <c r="F434" s="265" t="s">
        <v>5671</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5707</v>
      </c>
      <c r="B435" s="257" t="s">
        <v>5708</v>
      </c>
      <c r="C435" s="258" t="s">
        <v>5727</v>
      </c>
      <c r="D435" s="261" t="s">
        <v>5728</v>
      </c>
      <c r="E435" s="262" t="s">
        <v>4883</v>
      </c>
      <c r="F435" s="265" t="s">
        <v>5671</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5707</v>
      </c>
      <c r="B436" s="257" t="s">
        <v>5708</v>
      </c>
      <c r="C436" s="258" t="s">
        <v>5729</v>
      </c>
      <c r="D436" s="261" t="s">
        <v>5730</v>
      </c>
      <c r="E436" s="262" t="s">
        <v>4950</v>
      </c>
      <c r="F436" s="265" t="s">
        <v>5671</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5707</v>
      </c>
      <c r="B437" s="257" t="s">
        <v>5708</v>
      </c>
      <c r="C437" s="258" t="s">
        <v>5731</v>
      </c>
      <c r="D437" s="261" t="s">
        <v>5732</v>
      </c>
      <c r="E437" s="262" t="s">
        <v>4883</v>
      </c>
      <c r="F437" s="265" t="s">
        <v>5671</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5707</v>
      </c>
      <c r="B438" s="256" t="s">
        <v>5733</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5707</v>
      </c>
      <c r="B439" s="257" t="s">
        <v>5733</v>
      </c>
      <c r="C439" s="258" t="s">
        <v>5734</v>
      </c>
      <c r="D439" s="261" t="s">
        <v>5735</v>
      </c>
      <c r="E439" s="262" t="s">
        <v>4854</v>
      </c>
      <c r="F439" s="265" t="s">
        <v>5736</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5707</v>
      </c>
      <c r="B440" s="257" t="s">
        <v>5733</v>
      </c>
      <c r="C440" s="258" t="s">
        <v>5737</v>
      </c>
      <c r="D440" s="261" t="s">
        <v>5738</v>
      </c>
      <c r="E440" s="262" t="s">
        <v>4854</v>
      </c>
      <c r="F440" s="265" t="s">
        <v>5736</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5707</v>
      </c>
      <c r="B441" s="257" t="s">
        <v>5733</v>
      </c>
      <c r="C441" s="258" t="s">
        <v>5739</v>
      </c>
      <c r="D441" s="261" t="s">
        <v>5740</v>
      </c>
      <c r="E441" s="262" t="s">
        <v>4854</v>
      </c>
      <c r="F441" s="265" t="s">
        <v>5736</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5707</v>
      </c>
      <c r="B442" s="257" t="s">
        <v>5733</v>
      </c>
      <c r="C442" s="258" t="s">
        <v>5741</v>
      </c>
      <c r="D442" s="261" t="s">
        <v>5742</v>
      </c>
      <c r="E442" s="262" t="s">
        <v>4854</v>
      </c>
      <c r="F442" s="265" t="s">
        <v>5736</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5707</v>
      </c>
      <c r="B443" s="257" t="s">
        <v>5733</v>
      </c>
      <c r="C443" s="258" t="s">
        <v>5743</v>
      </c>
      <c r="D443" s="261" t="s">
        <v>5744</v>
      </c>
      <c r="E443" s="262" t="s">
        <v>4883</v>
      </c>
      <c r="F443" s="265" t="s">
        <v>5736</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5707</v>
      </c>
      <c r="B444" s="257" t="s">
        <v>5733</v>
      </c>
      <c r="C444" s="258" t="s">
        <v>5745</v>
      </c>
      <c r="D444" s="261" t="s">
        <v>5746</v>
      </c>
      <c r="E444" s="262" t="s">
        <v>4883</v>
      </c>
      <c r="F444" s="265" t="s">
        <v>5736</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5707</v>
      </c>
      <c r="B445" s="257" t="s">
        <v>5733</v>
      </c>
      <c r="C445" s="258" t="s">
        <v>5747</v>
      </c>
      <c r="D445" s="261" t="s">
        <v>5748</v>
      </c>
      <c r="E445" s="262" t="s">
        <v>4883</v>
      </c>
      <c r="F445" s="265" t="s">
        <v>5736</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5707</v>
      </c>
      <c r="B446" s="257" t="s">
        <v>5733</v>
      </c>
      <c r="C446" s="258" t="s">
        <v>5749</v>
      </c>
      <c r="D446" s="261" t="s">
        <v>5750</v>
      </c>
      <c r="E446" s="262" t="s">
        <v>4998</v>
      </c>
      <c r="F446" s="265" t="s">
        <v>5736</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5707</v>
      </c>
      <c r="B447" s="257" t="s">
        <v>5733</v>
      </c>
      <c r="C447" s="258" t="s">
        <v>5751</v>
      </c>
      <c r="D447" s="261" t="s">
        <v>5752</v>
      </c>
      <c r="E447" s="262" t="s">
        <v>4883</v>
      </c>
      <c r="F447" s="265" t="s">
        <v>5736</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5707</v>
      </c>
      <c r="B448" s="257" t="s">
        <v>5733</v>
      </c>
      <c r="C448" s="258" t="s">
        <v>5753</v>
      </c>
      <c r="D448" s="261" t="s">
        <v>5754</v>
      </c>
      <c r="E448" s="262" t="s">
        <v>4998</v>
      </c>
      <c r="F448" s="265" t="s">
        <v>5736</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5707</v>
      </c>
      <c r="B449" s="257" t="s">
        <v>5733</v>
      </c>
      <c r="C449" s="258" t="s">
        <v>5755</v>
      </c>
      <c r="D449" s="261" t="s">
        <v>5756</v>
      </c>
      <c r="E449" s="262" t="s">
        <v>4998</v>
      </c>
      <c r="F449" s="265" t="s">
        <v>5736</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5757</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5757</v>
      </c>
      <c r="B451" s="256" t="s">
        <v>5758</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5757</v>
      </c>
      <c r="B452" s="257" t="s">
        <v>5758</v>
      </c>
      <c r="C452" s="258" t="s">
        <v>5759</v>
      </c>
      <c r="D452" s="261" t="s">
        <v>5760</v>
      </c>
      <c r="E452" s="262" t="s">
        <v>4854</v>
      </c>
      <c r="F452" s="265" t="s">
        <v>5761</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5757</v>
      </c>
      <c r="B453" s="257" t="s">
        <v>5758</v>
      </c>
      <c r="C453" s="258" t="s">
        <v>5762</v>
      </c>
      <c r="D453" s="261" t="s">
        <v>5763</v>
      </c>
      <c r="E453" s="262" t="s">
        <v>4854</v>
      </c>
      <c r="F453" s="265" t="s">
        <v>5761</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5757</v>
      </c>
      <c r="B454" s="257" t="s">
        <v>5758</v>
      </c>
      <c r="C454" s="258" t="s">
        <v>5764</v>
      </c>
      <c r="D454" s="261" t="s">
        <v>5765</v>
      </c>
      <c r="E454" s="262" t="s">
        <v>4854</v>
      </c>
      <c r="F454" s="265" t="s">
        <v>5761</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5757</v>
      </c>
      <c r="B455" s="257" t="s">
        <v>5758</v>
      </c>
      <c r="C455" s="258" t="s">
        <v>5766</v>
      </c>
      <c r="D455" s="261" t="s">
        <v>5767</v>
      </c>
      <c r="E455" s="262" t="s">
        <v>4854</v>
      </c>
      <c r="F455" s="265" t="s">
        <v>5761</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5757</v>
      </c>
      <c r="B456" s="257" t="s">
        <v>5758</v>
      </c>
      <c r="C456" s="258" t="s">
        <v>5768</v>
      </c>
      <c r="D456" s="261" t="s">
        <v>5769</v>
      </c>
      <c r="E456" s="262" t="s">
        <v>4854</v>
      </c>
      <c r="F456" s="265" t="s">
        <v>5761</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5757</v>
      </c>
      <c r="B457" s="257" t="s">
        <v>5758</v>
      </c>
      <c r="C457" s="258" t="s">
        <v>5770</v>
      </c>
      <c r="D457" s="261" t="s">
        <v>5771</v>
      </c>
      <c r="E457" s="262" t="s">
        <v>4883</v>
      </c>
      <c r="F457" s="265" t="s">
        <v>5761</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5757</v>
      </c>
      <c r="B458" s="257" t="s">
        <v>5758</v>
      </c>
      <c r="C458" s="258" t="s">
        <v>5772</v>
      </c>
      <c r="D458" s="261" t="s">
        <v>5773</v>
      </c>
      <c r="E458" s="262" t="s">
        <v>4883</v>
      </c>
      <c r="F458" s="265" t="s">
        <v>5761</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5757</v>
      </c>
      <c r="B459" s="257" t="s">
        <v>5758</v>
      </c>
      <c r="C459" s="258" t="s">
        <v>5774</v>
      </c>
      <c r="D459" s="261" t="s">
        <v>5775</v>
      </c>
      <c r="E459" s="262" t="s">
        <v>4883</v>
      </c>
      <c r="F459" s="265" t="s">
        <v>5761</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5757</v>
      </c>
      <c r="B460" s="257" t="s">
        <v>5758</v>
      </c>
      <c r="C460" s="258" t="s">
        <v>5776</v>
      </c>
      <c r="D460" s="261" t="s">
        <v>5777</v>
      </c>
      <c r="E460" s="262" t="s">
        <v>4883</v>
      </c>
      <c r="F460" s="265" t="s">
        <v>5761</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5757</v>
      </c>
      <c r="B461" s="257" t="s">
        <v>5758</v>
      </c>
      <c r="C461" s="258" t="s">
        <v>5778</v>
      </c>
      <c r="D461" s="261" t="s">
        <v>5779</v>
      </c>
      <c r="E461" s="262" t="s">
        <v>4883</v>
      </c>
      <c r="F461" s="265" t="s">
        <v>5761</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5757</v>
      </c>
      <c r="B462" s="257" t="s">
        <v>5758</v>
      </c>
      <c r="C462" s="258" t="s">
        <v>5780</v>
      </c>
      <c r="D462" s="261" t="s">
        <v>5781</v>
      </c>
      <c r="E462" s="262" t="s">
        <v>4883</v>
      </c>
      <c r="F462" s="265" t="s">
        <v>5761</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5757</v>
      </c>
      <c r="B463" s="257" t="s">
        <v>5758</v>
      </c>
      <c r="C463" s="258" t="s">
        <v>5782</v>
      </c>
      <c r="D463" s="261" t="s">
        <v>5783</v>
      </c>
      <c r="E463" s="262" t="s">
        <v>4883</v>
      </c>
      <c r="F463" s="265" t="s">
        <v>5761</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5757</v>
      </c>
      <c r="B464" s="257" t="s">
        <v>5758</v>
      </c>
      <c r="C464" s="258" t="s">
        <v>5784</v>
      </c>
      <c r="D464" s="261" t="s">
        <v>5785</v>
      </c>
      <c r="E464" s="262" t="s">
        <v>4883</v>
      </c>
      <c r="F464" s="265" t="s">
        <v>5761</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5757</v>
      </c>
      <c r="B465" s="257" t="s">
        <v>5758</v>
      </c>
      <c r="C465" s="258" t="s">
        <v>5786</v>
      </c>
      <c r="D465" s="261" t="s">
        <v>5787</v>
      </c>
      <c r="E465" s="262" t="s">
        <v>4883</v>
      </c>
      <c r="F465" s="265" t="s">
        <v>5761</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5757</v>
      </c>
      <c r="B466" s="256" t="s">
        <v>5788</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5757</v>
      </c>
      <c r="B467" s="257" t="s">
        <v>5788</v>
      </c>
      <c r="C467" s="258" t="s">
        <v>5789</v>
      </c>
      <c r="D467" s="261" t="s">
        <v>5790</v>
      </c>
      <c r="E467" s="262" t="s">
        <v>4854</v>
      </c>
      <c r="F467" s="265" t="s">
        <v>4993</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5757</v>
      </c>
      <c r="B468" s="257" t="s">
        <v>5788</v>
      </c>
      <c r="C468" s="258" t="s">
        <v>5791</v>
      </c>
      <c r="D468" s="261" t="s">
        <v>5792</v>
      </c>
      <c r="E468" s="262" t="s">
        <v>4854</v>
      </c>
      <c r="F468" s="265" t="s">
        <v>4993</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5757</v>
      </c>
      <c r="B469" s="257" t="s">
        <v>5788</v>
      </c>
      <c r="C469" s="258" t="s">
        <v>5793</v>
      </c>
      <c r="D469" s="261" t="s">
        <v>5794</v>
      </c>
      <c r="E469" s="262" t="s">
        <v>4854</v>
      </c>
      <c r="F469" s="265" t="s">
        <v>4993</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5757</v>
      </c>
      <c r="B470" s="257" t="s">
        <v>5788</v>
      </c>
      <c r="C470" s="258" t="s">
        <v>5795</v>
      </c>
      <c r="D470" s="261" t="s">
        <v>5796</v>
      </c>
      <c r="E470" s="262" t="s">
        <v>4950</v>
      </c>
      <c r="F470" s="265" t="s">
        <v>5362</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5757</v>
      </c>
      <c r="B471" s="257" t="s">
        <v>5788</v>
      </c>
      <c r="C471" s="258" t="s">
        <v>5797</v>
      </c>
      <c r="D471" s="261" t="s">
        <v>5798</v>
      </c>
      <c r="E471" s="262" t="s">
        <v>4950</v>
      </c>
      <c r="F471" s="265" t="s">
        <v>5362</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5757</v>
      </c>
      <c r="B472" s="257" t="s">
        <v>5788</v>
      </c>
      <c r="C472" s="258" t="s">
        <v>5799</v>
      </c>
      <c r="D472" s="261" t="s">
        <v>5800</v>
      </c>
      <c r="E472" s="262" t="s">
        <v>4854</v>
      </c>
      <c r="F472" s="265" t="s">
        <v>5362</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5757</v>
      </c>
      <c r="B473" s="257" t="s">
        <v>5788</v>
      </c>
      <c r="C473" s="258" t="s">
        <v>5801</v>
      </c>
      <c r="D473" s="261" t="s">
        <v>5802</v>
      </c>
      <c r="E473" s="262" t="s">
        <v>4854</v>
      </c>
      <c r="F473" s="265" t="s">
        <v>5301</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5757</v>
      </c>
      <c r="B474" s="257" t="s">
        <v>5788</v>
      </c>
      <c r="C474" s="258" t="s">
        <v>5803</v>
      </c>
      <c r="D474" s="261" t="s">
        <v>5804</v>
      </c>
      <c r="E474" s="262" t="s">
        <v>4883</v>
      </c>
      <c r="F474" s="265" t="s">
        <v>5301</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5757</v>
      </c>
      <c r="B475" s="257" t="s">
        <v>5788</v>
      </c>
      <c r="C475" s="258" t="s">
        <v>5805</v>
      </c>
      <c r="D475" s="261" t="s">
        <v>5806</v>
      </c>
      <c r="E475" s="262" t="s">
        <v>4883</v>
      </c>
      <c r="F475" s="265" t="s">
        <v>5301</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5757</v>
      </c>
      <c r="B476" s="257" t="s">
        <v>5788</v>
      </c>
      <c r="C476" s="258" t="s">
        <v>5807</v>
      </c>
      <c r="D476" s="261" t="s">
        <v>5808</v>
      </c>
      <c r="E476" s="262" t="s">
        <v>4883</v>
      </c>
      <c r="F476" s="265" t="s">
        <v>5301</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5757</v>
      </c>
      <c r="B477" s="257" t="s">
        <v>5788</v>
      </c>
      <c r="C477" s="258" t="s">
        <v>5809</v>
      </c>
      <c r="D477" s="261" t="s">
        <v>5810</v>
      </c>
      <c r="E477" s="262" t="s">
        <v>4883</v>
      </c>
      <c r="F477" s="265" t="s">
        <v>5301</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5757</v>
      </c>
      <c r="B478" s="257" t="s">
        <v>5788</v>
      </c>
      <c r="C478" s="258" t="s">
        <v>5811</v>
      </c>
      <c r="D478" s="261" t="s">
        <v>5812</v>
      </c>
      <c r="E478" s="262" t="s">
        <v>4883</v>
      </c>
      <c r="F478" s="265" t="s">
        <v>5362</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5757</v>
      </c>
      <c r="B479" s="257" t="s">
        <v>5788</v>
      </c>
      <c r="C479" s="258" t="s">
        <v>5813</v>
      </c>
      <c r="D479" s="261" t="s">
        <v>5814</v>
      </c>
      <c r="E479" s="262" t="s">
        <v>4998</v>
      </c>
      <c r="F479" s="265" t="s">
        <v>5362</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5757</v>
      </c>
      <c r="B480" s="257" t="s">
        <v>5788</v>
      </c>
      <c r="C480" s="258" t="s">
        <v>5815</v>
      </c>
      <c r="D480" s="261" t="s">
        <v>5816</v>
      </c>
      <c r="E480" s="262" t="s">
        <v>4998</v>
      </c>
      <c r="F480" s="265" t="s">
        <v>5362</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5757</v>
      </c>
      <c r="B481" s="270" t="s">
        <v>5788</v>
      </c>
      <c r="C481" s="271" t="s">
        <v>5817</v>
      </c>
      <c r="D481" s="272" t="s">
        <v>5818</v>
      </c>
      <c r="E481" s="273" t="s">
        <v>4998</v>
      </c>
      <c r="F481" s="274" t="s">
        <v>4993</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118</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IFERROR(INDEX('Recommendations'!$G$2:$G$21, MATCH(H2,'Recommendations'!$A$2:$A$21,0))="Implemented", FALSE))</xm:f>
            <x14:dxf>
              <font>
                <color rgb="FF000000"/>
              </font>
              <fill>
                <patternFill>
                  <bgColor rgb="FF3C7D22"/>
                </patternFill>
              </fill>
            </x14:dxf>
          </x14:cfRule>
          <x14:cfRule type="expression" priority="2" id="{00000000-000E-0000-0B00-000002000000}">
            <xm:f>AND(H2&lt;&gt;"", IFERROR(INDEX('Recommendations'!$G$2:$G$21, MATCH(H2,'Recommendations'!$A$2:$A$21,0))="Compensated", FALSE))</xm:f>
            <x14:dxf>
              <font>
                <color rgb="FF000000"/>
              </font>
              <fill>
                <patternFill>
                  <bgColor rgb="FFC6E0B4"/>
                </patternFill>
              </fill>
            </x14:dxf>
          </x14:cfRule>
          <x14:cfRule type="expression" priority="3" id="{00000000-000E-0000-0B00-000003000000}">
            <xm:f>AND(H2&lt;&gt;"", IFERROR(INDEX('Recommendations'!$G$2:$G$21, MATCH(H2,'Recommendations'!$A$2:$A$21,0))="Testing", FALSE))</xm:f>
            <x14:dxf>
              <font>
                <color rgb="FF000000"/>
              </font>
              <fill>
                <patternFill>
                  <bgColor rgb="FFFFC000"/>
                </patternFill>
              </fill>
            </x14:dxf>
          </x14:cfRule>
          <x14:cfRule type="expression" priority="4" id="{00000000-000E-0000-0B00-000004000000}">
            <xm:f>AND(H2&lt;&gt;"", IFERROR(INDEX('Recommendations'!$G$2:$G$21, MATCH(H2,'Recommendations'!$A$2:$A$21,0))="Failed", FALSE))</xm:f>
            <x14:dxf>
              <font>
                <color rgb="FF000000"/>
              </font>
              <fill>
                <patternFill>
                  <bgColor rgb="FFD82891"/>
                </patternFill>
              </fill>
            </x14:dxf>
          </x14:cfRule>
          <x14:cfRule type="expression" priority="5" id="{00000000-000E-0000-0B00-000005000000}">
            <xm:f>AND(H2&lt;&gt;"", IFERROR(INDEX('Recommendations'!$G$2:$G$21, MATCH(H2,'Recommendations'!$A$2:$A$21,0))="Risk Accepted", FALSE))</xm:f>
            <x14:dxf>
              <font>
                <color rgb="FF000000"/>
              </font>
              <fill>
                <patternFill>
                  <bgColor rgb="FFD9D9D9"/>
                </patternFill>
              </fill>
            </x14:dxf>
          </x14:cfRule>
          <x14:cfRule type="expression" priority="6" id="{00000000-000E-0000-0B00-000006000000}">
            <xm:f>AND(H2&lt;&gt;"", IFERROR(INDEX('Recommendations'!$G$2:$G$21, MATCH(H2,'Recommendations'!$A$2:$A$21,0))="N/A",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89"/>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199</v>
      </c>
      <c r="C2" s="290"/>
      <c r="D2" s="290"/>
      <c r="E2" s="290"/>
      <c r="F2" s="290"/>
      <c r="G2" s="290"/>
      <c r="H2" s="290"/>
      <c r="I2" s="290"/>
    </row>
    <row r="4" spans="2:15" ht="18.5" x14ac:dyDescent="0.45">
      <c r="B4" s="39" t="s">
        <v>200</v>
      </c>
    </row>
    <row r="5" spans="2:15" x14ac:dyDescent="0.35">
      <c r="B5" s="41" t="s">
        <v>19</v>
      </c>
      <c r="C5" s="41" t="s">
        <v>201</v>
      </c>
      <c r="D5" s="41" t="s">
        <v>202</v>
      </c>
      <c r="F5" s="291" t="s">
        <v>203</v>
      </c>
      <c r="G5" s="291"/>
      <c r="H5" s="291"/>
      <c r="I5" s="292" t="s">
        <v>204</v>
      </c>
      <c r="J5" s="292"/>
      <c r="K5" s="292"/>
      <c r="L5" s="292"/>
      <c r="M5" s="292"/>
      <c r="N5" s="292"/>
      <c r="O5" s="292"/>
    </row>
    <row r="6" spans="2:15" x14ac:dyDescent="0.35">
      <c r="B6" s="47" t="s">
        <v>205</v>
      </c>
      <c r="C6" s="48">
        <v>20</v>
      </c>
      <c r="D6" s="49" t="s">
        <v>19</v>
      </c>
      <c r="F6" s="291" t="s">
        <v>206</v>
      </c>
      <c r="G6" s="291"/>
      <c r="H6" s="291"/>
      <c r="I6" s="293" t="s">
        <v>207</v>
      </c>
      <c r="J6" s="293"/>
      <c r="K6" s="293"/>
      <c r="L6" s="293"/>
      <c r="M6" s="293"/>
      <c r="N6" s="293"/>
      <c r="O6" s="293"/>
    </row>
    <row r="7" spans="2:15" x14ac:dyDescent="0.35">
      <c r="B7" s="50" t="s">
        <v>208</v>
      </c>
      <c r="C7" s="51">
        <f>C6-C8-C9</f>
        <v>20</v>
      </c>
      <c r="D7" s="52">
        <f>IF(C6&gt;0,C7/C6,0)</f>
        <v>1</v>
      </c>
      <c r="F7" s="291" t="s">
        <v>209</v>
      </c>
      <c r="G7" s="291"/>
      <c r="H7" s="291"/>
      <c r="I7" s="293" t="s">
        <v>207</v>
      </c>
      <c r="J7" s="293"/>
      <c r="K7" s="293"/>
      <c r="L7" s="293"/>
      <c r="M7" s="293"/>
      <c r="N7" s="293"/>
      <c r="O7" s="293"/>
    </row>
    <row r="8" spans="2:15" x14ac:dyDescent="0.35">
      <c r="B8" s="43" t="s">
        <v>210</v>
      </c>
      <c r="C8" s="44">
        <f>COUNTIF('Recommendations'!G:G,"Risk Accepted")</f>
        <v>0</v>
      </c>
      <c r="D8" s="45">
        <f>IF(C6&gt;0,C8/C6,0)</f>
        <v>0</v>
      </c>
      <c r="F8" s="291" t="s">
        <v>211</v>
      </c>
      <c r="G8" s="291"/>
      <c r="H8" s="291"/>
      <c r="I8" s="293" t="s">
        <v>207</v>
      </c>
      <c r="J8" s="293"/>
      <c r="K8" s="293"/>
      <c r="L8" s="293"/>
      <c r="M8" s="293"/>
      <c r="N8" s="293"/>
      <c r="O8" s="293"/>
    </row>
    <row r="9" spans="2:15" x14ac:dyDescent="0.35">
      <c r="B9" s="43" t="s">
        <v>212</v>
      </c>
      <c r="C9" s="44">
        <f>COUNTIF('Recommendations'!G:G,"N/A")</f>
        <v>0</v>
      </c>
      <c r="D9" s="45">
        <f>IF(C6&gt;0,C9/C6,0)</f>
        <v>0</v>
      </c>
      <c r="F9" s="291" t="s">
        <v>213</v>
      </c>
      <c r="G9" s="291"/>
      <c r="H9" s="291"/>
      <c r="I9" s="293" t="s">
        <v>207</v>
      </c>
      <c r="J9" s="293"/>
      <c r="K9" s="293"/>
      <c r="L9" s="293"/>
      <c r="M9" s="293"/>
      <c r="N9" s="293"/>
      <c r="O9" s="293"/>
    </row>
    <row r="12" spans="2:15" ht="18.5" x14ac:dyDescent="0.45">
      <c r="B12" s="39" t="s">
        <v>214</v>
      </c>
    </row>
    <row r="14" spans="2:15" x14ac:dyDescent="0.35">
      <c r="B14" s="53" t="s">
        <v>215</v>
      </c>
    </row>
    <row r="15" spans="2:15" x14ac:dyDescent="0.35">
      <c r="B15" s="41" t="s">
        <v>19</v>
      </c>
      <c r="C15" s="41" t="s">
        <v>216</v>
      </c>
      <c r="D15" s="41" t="s">
        <v>217</v>
      </c>
      <c r="E15" s="41" t="s">
        <v>218</v>
      </c>
      <c r="F15" s="41" t="s">
        <v>219</v>
      </c>
    </row>
    <row r="16" spans="2:15" x14ac:dyDescent="0.35">
      <c r="B16" s="43" t="s">
        <v>220</v>
      </c>
      <c r="C16" s="44">
        <f>COUNTIF('Recommendations'!L:L,"Resolved")</f>
        <v>0</v>
      </c>
      <c r="D16" s="44">
        <f>COUNTIF('Recommendations'!L:L,"Testing")</f>
        <v>0</v>
      </c>
      <c r="E16" s="44">
        <f>COUNTIF('Recommendations'!L:L,"Outstanding")</f>
        <v>20</v>
      </c>
      <c r="F16" s="44">
        <f>SUM(C16:E16)</f>
        <v>20</v>
      </c>
    </row>
    <row r="18" spans="2:6" x14ac:dyDescent="0.35">
      <c r="B18" s="53" t="s">
        <v>221</v>
      </c>
    </row>
    <row r="19" spans="2:6" x14ac:dyDescent="0.35">
      <c r="B19" s="54" t="s">
        <v>19</v>
      </c>
      <c r="C19" s="54" t="s">
        <v>216</v>
      </c>
      <c r="D19" s="54" t="s">
        <v>217</v>
      </c>
      <c r="E19" s="54" t="s">
        <v>218</v>
      </c>
      <c r="F19" s="54" t="s">
        <v>19</v>
      </c>
    </row>
    <row r="20" spans="2:6" x14ac:dyDescent="0.35">
      <c r="B20" s="43" t="s">
        <v>220</v>
      </c>
      <c r="C20" s="45">
        <f>IF(F16&gt;0, C16/F16, 0)</f>
        <v>0</v>
      </c>
      <c r="D20" s="45">
        <f>IF(F16&gt;0, D16/F16, 0)</f>
        <v>0</v>
      </c>
      <c r="E20" s="45">
        <f>IF(F16&gt;0, E16/F16, 0)</f>
        <v>1</v>
      </c>
      <c r="F20" s="46" t="s">
        <v>19</v>
      </c>
    </row>
    <row r="25" spans="2:6" ht="18.5" x14ac:dyDescent="0.45">
      <c r="B25" s="39" t="s">
        <v>222</v>
      </c>
    </row>
    <row r="27" spans="2:6" x14ac:dyDescent="0.35">
      <c r="B27" s="53" t="s">
        <v>215</v>
      </c>
    </row>
    <row r="28" spans="2:6" x14ac:dyDescent="0.35">
      <c r="B28" s="41" t="s">
        <v>5</v>
      </c>
      <c r="C28" s="41" t="s">
        <v>216</v>
      </c>
      <c r="D28" s="41" t="s">
        <v>217</v>
      </c>
      <c r="E28" s="41" t="s">
        <v>218</v>
      </c>
      <c r="F28" s="41" t="s">
        <v>219</v>
      </c>
    </row>
    <row r="29" spans="2:6" x14ac:dyDescent="0.35">
      <c r="B29" s="43" t="s">
        <v>223</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224</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225</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226</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227</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20</v>
      </c>
      <c r="F34" s="44">
        <f t="shared" si="0"/>
        <v>20</v>
      </c>
    </row>
    <row r="36" spans="2:6" x14ac:dyDescent="0.35">
      <c r="B36" s="53" t="s">
        <v>221</v>
      </c>
    </row>
    <row r="37" spans="2:6" x14ac:dyDescent="0.35">
      <c r="B37" s="54" t="s">
        <v>5</v>
      </c>
      <c r="C37" s="54" t="s">
        <v>216</v>
      </c>
      <c r="D37" s="54" t="s">
        <v>217</v>
      </c>
      <c r="E37" s="54" t="s">
        <v>218</v>
      </c>
      <c r="F37" s="54" t="s">
        <v>19</v>
      </c>
    </row>
    <row r="38" spans="2:6" x14ac:dyDescent="0.35">
      <c r="B38" s="43" t="s">
        <v>223</v>
      </c>
      <c r="C38" s="45">
        <f t="shared" ref="C38:C43" si="1">IF(F29&gt;0, C29/F29, 0)</f>
        <v>0</v>
      </c>
      <c r="D38" s="45">
        <f t="shared" ref="D38:D43" si="2">IF(F29&gt;0, D29/F29, 0)</f>
        <v>0</v>
      </c>
      <c r="E38" s="45">
        <f t="shared" ref="E38:E43" si="3">IF(F29&gt;0, E29/F29, 0)</f>
        <v>0</v>
      </c>
      <c r="F38" s="46" t="s">
        <v>19</v>
      </c>
    </row>
    <row r="39" spans="2:6" x14ac:dyDescent="0.35">
      <c r="B39" s="43" t="s">
        <v>224</v>
      </c>
      <c r="C39" s="45">
        <f t="shared" si="1"/>
        <v>0</v>
      </c>
      <c r="D39" s="45">
        <f t="shared" si="2"/>
        <v>0</v>
      </c>
      <c r="E39" s="45">
        <f t="shared" si="3"/>
        <v>0</v>
      </c>
      <c r="F39" s="46" t="s">
        <v>19</v>
      </c>
    </row>
    <row r="40" spans="2:6" x14ac:dyDescent="0.35">
      <c r="B40" s="43" t="s">
        <v>225</v>
      </c>
      <c r="C40" s="45">
        <f t="shared" si="1"/>
        <v>0</v>
      </c>
      <c r="D40" s="45">
        <f t="shared" si="2"/>
        <v>0</v>
      </c>
      <c r="E40" s="45">
        <f t="shared" si="3"/>
        <v>0</v>
      </c>
      <c r="F40" s="46" t="s">
        <v>19</v>
      </c>
    </row>
    <row r="41" spans="2:6" x14ac:dyDescent="0.35">
      <c r="B41" s="43" t="s">
        <v>226</v>
      </c>
      <c r="C41" s="45">
        <f t="shared" si="1"/>
        <v>0</v>
      </c>
      <c r="D41" s="45">
        <f t="shared" si="2"/>
        <v>0</v>
      </c>
      <c r="E41" s="45">
        <f t="shared" si="3"/>
        <v>0</v>
      </c>
      <c r="F41" s="46" t="s">
        <v>19</v>
      </c>
    </row>
    <row r="42" spans="2:6" x14ac:dyDescent="0.35">
      <c r="B42" s="43" t="s">
        <v>227</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228</v>
      </c>
    </row>
    <row r="50" spans="2:6" x14ac:dyDescent="0.35">
      <c r="B50" s="53" t="s">
        <v>215</v>
      </c>
    </row>
    <row r="51" spans="2:6" x14ac:dyDescent="0.35">
      <c r="B51" s="41" t="s">
        <v>2</v>
      </c>
      <c r="C51" s="41" t="s">
        <v>216</v>
      </c>
      <c r="D51" s="41" t="s">
        <v>217</v>
      </c>
      <c r="E51" s="41" t="s">
        <v>218</v>
      </c>
      <c r="F51" s="41" t="s">
        <v>219</v>
      </c>
    </row>
    <row r="52" spans="2:6" x14ac:dyDescent="0.35">
      <c r="B52" s="43" t="s">
        <v>59</v>
      </c>
      <c r="C52" s="44">
        <f>COUNTIFS('Recommendations'!C:C,"CAT I (High)",'Recommendations'!L:L,"=Resolved")</f>
        <v>0</v>
      </c>
      <c r="D52" s="44">
        <f>COUNTIFS('Recommendations'!C:C,"=CAT I (High)",'Recommendations'!L:L,"=Testing")</f>
        <v>0</v>
      </c>
      <c r="E52" s="44">
        <f>COUNTIFS('Recommendations'!C:C,"=CAT I (High)",'Recommendations'!L:L,"=Outstanding")</f>
        <v>7</v>
      </c>
      <c r="F52" s="44">
        <f>SUM(C52:E52)</f>
        <v>7</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13</v>
      </c>
      <c r="F53" s="44">
        <f>SUM(C53:E53)</f>
        <v>13</v>
      </c>
    </row>
    <row r="55" spans="2:6" x14ac:dyDescent="0.35">
      <c r="B55" s="53" t="s">
        <v>221</v>
      </c>
    </row>
    <row r="56" spans="2:6" x14ac:dyDescent="0.35">
      <c r="B56" s="54" t="s">
        <v>2</v>
      </c>
      <c r="C56" s="54" t="s">
        <v>216</v>
      </c>
      <c r="D56" s="54" t="s">
        <v>217</v>
      </c>
      <c r="E56" s="54" t="s">
        <v>218</v>
      </c>
      <c r="F56" s="54" t="s">
        <v>19</v>
      </c>
    </row>
    <row r="57" spans="2:6" x14ac:dyDescent="0.35">
      <c r="B57" s="43" t="s">
        <v>59</v>
      </c>
      <c r="C57" s="45">
        <f>IF(F52&gt;0, C52/F52, 0)</f>
        <v>0</v>
      </c>
      <c r="D57" s="45">
        <f>IF(F52&gt;0, D52/F52, 0)</f>
        <v>0</v>
      </c>
      <c r="E57" s="45">
        <f>IF(F52&gt;0, E52/F52, 0)</f>
        <v>1</v>
      </c>
      <c r="F57" s="46" t="s">
        <v>19</v>
      </c>
    </row>
    <row r="58" spans="2:6" x14ac:dyDescent="0.35">
      <c r="B58" s="43" t="s">
        <v>15</v>
      </c>
      <c r="C58" s="45">
        <f>IF(F53&gt;0, C53/F53, 0)</f>
        <v>0</v>
      </c>
      <c r="D58" s="45">
        <f>IF(F53&gt;0, D53/F53, 0)</f>
        <v>0</v>
      </c>
      <c r="E58" s="45">
        <f>IF(F53&gt;0, E53/F53, 0)</f>
        <v>1</v>
      </c>
      <c r="F58" s="46" t="s">
        <v>19</v>
      </c>
    </row>
    <row r="63" spans="2:6" ht="18.5" x14ac:dyDescent="0.45">
      <c r="B63" s="39" t="s">
        <v>229</v>
      </c>
    </row>
    <row r="65" spans="2:6" x14ac:dyDescent="0.35">
      <c r="B65" s="53" t="s">
        <v>215</v>
      </c>
    </row>
    <row r="66" spans="2:6" x14ac:dyDescent="0.35">
      <c r="B66" s="41" t="s">
        <v>3</v>
      </c>
      <c r="C66" s="41" t="s">
        <v>216</v>
      </c>
      <c r="D66" s="41" t="s">
        <v>217</v>
      </c>
      <c r="E66" s="41" t="s">
        <v>218</v>
      </c>
      <c r="F66" s="41" t="s">
        <v>219</v>
      </c>
    </row>
    <row r="67" spans="2:6" x14ac:dyDescent="0.35">
      <c r="B67" s="43" t="s">
        <v>230</v>
      </c>
      <c r="C67" s="44">
        <f>COUNTIFS('Recommendations'!D:D,"Must",'Recommendations'!L:L,"=Resolved")</f>
        <v>0</v>
      </c>
      <c r="D67" s="44">
        <f>COUNTIFS('Recommendations'!D:D,"=Must",'Recommendations'!L:L,"=Testing")</f>
        <v>0</v>
      </c>
      <c r="E67" s="44">
        <f>COUNTIFS('Recommendations'!D:D,"=Must",'Recommendations'!L:L,"=Outstanding")</f>
        <v>0</v>
      </c>
      <c r="F67" s="44">
        <f>SUM(C67:E67)</f>
        <v>0</v>
      </c>
    </row>
    <row r="68" spans="2:6" x14ac:dyDescent="0.35">
      <c r="B68" s="43" t="s">
        <v>231</v>
      </c>
      <c r="C68" s="44">
        <f>COUNTIFS('Recommendations'!D:D,"Should",'Recommendations'!L:L,"=Resolved")</f>
        <v>0</v>
      </c>
      <c r="D68" s="44">
        <f>COUNTIFS('Recommendations'!D:D,"=Should",'Recommendations'!L:L,"=Testing")</f>
        <v>0</v>
      </c>
      <c r="E68" s="44">
        <f>COUNTIFS('Recommendations'!D:D,"=Should",'Recommendations'!L:L,"=Outstanding")</f>
        <v>0</v>
      </c>
      <c r="F68" s="44">
        <f>SUM(C68:E68)</f>
        <v>0</v>
      </c>
    </row>
    <row r="69" spans="2:6" x14ac:dyDescent="0.35">
      <c r="B69" s="43" t="s">
        <v>232</v>
      </c>
      <c r="C69" s="44">
        <f>COUNTIFS('Recommendations'!D:D,"Could",'Recommendations'!L:L,"=Resolved")</f>
        <v>0</v>
      </c>
      <c r="D69" s="44">
        <f>COUNTIFS('Recommendations'!D:D,"=Could",'Recommendations'!L:L,"=Testing")</f>
        <v>0</v>
      </c>
      <c r="E69" s="44">
        <f>COUNTIFS('Recommendations'!D:D,"=Could",'Recommendations'!L:L,"=Outstanding")</f>
        <v>0</v>
      </c>
      <c r="F69" s="44">
        <f>SUM(C69:E69)</f>
        <v>0</v>
      </c>
    </row>
    <row r="70" spans="2:6" x14ac:dyDescent="0.35">
      <c r="B70" s="43" t="s">
        <v>233</v>
      </c>
      <c r="C70" s="44">
        <f>COUNTIFS('Recommendations'!D:D,"Won't",'Recommendations'!L:L,"=Resolved")</f>
        <v>0</v>
      </c>
      <c r="D70" s="44">
        <f>COUNTIFS('Recommendations'!D:D,"=Won't",'Recommendations'!L:L,"=Testing")</f>
        <v>0</v>
      </c>
      <c r="E70" s="44">
        <f>COUNTIFS('Recommendations'!D:D,"=Won't",'Recommendations'!L:L,"=Outstanding")</f>
        <v>0</v>
      </c>
      <c r="F70" s="44">
        <f>SUM(C70:E70)</f>
        <v>0</v>
      </c>
    </row>
    <row r="71" spans="2:6" x14ac:dyDescent="0.35">
      <c r="B71" s="43" t="s">
        <v>16</v>
      </c>
      <c r="C71" s="44">
        <f>COUNTIFS('Recommendations'!D:D,"Unassigned",'Recommendations'!L:L,"=Resolved")</f>
        <v>0</v>
      </c>
      <c r="D71" s="44">
        <f>COUNTIFS('Recommendations'!D:D,"=Unassigned",'Recommendations'!L:L,"=Testing")</f>
        <v>0</v>
      </c>
      <c r="E71" s="44">
        <f>COUNTIFS('Recommendations'!D:D,"=Unassigned",'Recommendations'!L:L,"=Outstanding")</f>
        <v>20</v>
      </c>
      <c r="F71" s="44">
        <f>SUM(C71:E71)</f>
        <v>20</v>
      </c>
    </row>
    <row r="73" spans="2:6" x14ac:dyDescent="0.35">
      <c r="B73" s="53" t="s">
        <v>221</v>
      </c>
    </row>
    <row r="74" spans="2:6" x14ac:dyDescent="0.35">
      <c r="B74" s="54" t="s">
        <v>3</v>
      </c>
      <c r="C74" s="54" t="s">
        <v>216</v>
      </c>
      <c r="D74" s="54" t="s">
        <v>217</v>
      </c>
      <c r="E74" s="54" t="s">
        <v>218</v>
      </c>
      <c r="F74" s="54" t="s">
        <v>19</v>
      </c>
    </row>
    <row r="75" spans="2:6" x14ac:dyDescent="0.35">
      <c r="B75" s="43" t="s">
        <v>230</v>
      </c>
      <c r="C75" s="45">
        <f>IF(F67&gt;0, C67/F67, 0)</f>
        <v>0</v>
      </c>
      <c r="D75" s="45">
        <f>IF(F67&gt;0, D67/F67, 0)</f>
        <v>0</v>
      </c>
      <c r="E75" s="45">
        <f>IF(F67&gt;0, E67/F67, 0)</f>
        <v>0</v>
      </c>
      <c r="F75" s="46" t="s">
        <v>19</v>
      </c>
    </row>
    <row r="76" spans="2:6" x14ac:dyDescent="0.35">
      <c r="B76" s="43" t="s">
        <v>231</v>
      </c>
      <c r="C76" s="45">
        <f>IF(F68&gt;0, C68/F68, 0)</f>
        <v>0</v>
      </c>
      <c r="D76" s="45">
        <f>IF(F68&gt;0, D68/F68, 0)</f>
        <v>0</v>
      </c>
      <c r="E76" s="45">
        <f>IF(F68&gt;0, E68/F68, 0)</f>
        <v>0</v>
      </c>
      <c r="F76" s="46" t="s">
        <v>19</v>
      </c>
    </row>
    <row r="77" spans="2:6" x14ac:dyDescent="0.35">
      <c r="B77" s="43" t="s">
        <v>232</v>
      </c>
      <c r="C77" s="45">
        <f>IF(F69&gt;0, C69/F69, 0)</f>
        <v>0</v>
      </c>
      <c r="D77" s="45">
        <f>IF(F69&gt;0, D69/F69, 0)</f>
        <v>0</v>
      </c>
      <c r="E77" s="45">
        <f>IF(F69&gt;0, E69/F69, 0)</f>
        <v>0</v>
      </c>
      <c r="F77" s="46" t="s">
        <v>19</v>
      </c>
    </row>
    <row r="78" spans="2:6" x14ac:dyDescent="0.35">
      <c r="B78" s="43" t="s">
        <v>233</v>
      </c>
      <c r="C78" s="45">
        <f>IF(F70&gt;0, C70/F70, 0)</f>
        <v>0</v>
      </c>
      <c r="D78" s="45">
        <f>IF(F70&gt;0, D70/F70, 0)</f>
        <v>0</v>
      </c>
      <c r="E78" s="45">
        <f>IF(F70&gt;0, E70/F70, 0)</f>
        <v>0</v>
      </c>
      <c r="F78" s="46" t="s">
        <v>19</v>
      </c>
    </row>
    <row r="79" spans="2:6" x14ac:dyDescent="0.35">
      <c r="B79" s="43" t="s">
        <v>16</v>
      </c>
      <c r="C79" s="45">
        <f>IF(F71&gt;0, C71/F71, 0)</f>
        <v>0</v>
      </c>
      <c r="D79" s="45">
        <f>IF(F71&gt;0, D71/F71, 0)</f>
        <v>0</v>
      </c>
      <c r="E79" s="45">
        <f>IF(F71&gt;0, E71/F71, 0)</f>
        <v>1</v>
      </c>
      <c r="F79" s="46" t="s">
        <v>19</v>
      </c>
    </row>
    <row r="84" spans="2:6" ht="18.5" x14ac:dyDescent="0.45">
      <c r="B84" s="39" t="s">
        <v>234</v>
      </c>
    </row>
    <row r="86" spans="2:6" x14ac:dyDescent="0.35">
      <c r="B86" s="53" t="s">
        <v>215</v>
      </c>
    </row>
    <row r="87" spans="2:6" x14ac:dyDescent="0.35">
      <c r="B87" s="41" t="s">
        <v>235</v>
      </c>
      <c r="C87" s="41" t="s">
        <v>216</v>
      </c>
      <c r="D87" s="41" t="s">
        <v>217</v>
      </c>
      <c r="E87" s="41" t="s">
        <v>218</v>
      </c>
      <c r="F87" s="41" t="s">
        <v>219</v>
      </c>
    </row>
    <row r="88" spans="2:6" x14ac:dyDescent="0.35">
      <c r="B88" s="43" t="s">
        <v>236</v>
      </c>
      <c r="C88" s="44">
        <f>COUNTIFS('Recommendations'!E:E,"Low",'Recommendations'!L:L,"=Resolved")</f>
        <v>0</v>
      </c>
      <c r="D88" s="44">
        <f>COUNTIFS('Recommendations'!E:E,"=Low",'Recommendations'!L:L,"=Testing")</f>
        <v>0</v>
      </c>
      <c r="E88" s="44">
        <f>COUNTIFS('Recommendations'!E:E,"=Low",'Recommendations'!L:L,"=Outstanding")</f>
        <v>0</v>
      </c>
      <c r="F88" s="44">
        <f>SUM(C88:E88)</f>
        <v>0</v>
      </c>
    </row>
    <row r="89" spans="2:6" x14ac:dyDescent="0.35">
      <c r="B89" s="43" t="s">
        <v>237</v>
      </c>
      <c r="C89" s="44">
        <f>COUNTIFS('Recommendations'!E:E,"Medium",'Recommendations'!L:L,"=Resolved")</f>
        <v>0</v>
      </c>
      <c r="D89" s="44">
        <f>COUNTIFS('Recommendations'!E:E,"=Medium",'Recommendations'!L:L,"=Testing")</f>
        <v>0</v>
      </c>
      <c r="E89" s="44">
        <f>COUNTIFS('Recommendations'!E:E,"=Medium",'Recommendations'!L:L,"=Outstanding")</f>
        <v>0</v>
      </c>
      <c r="F89" s="44">
        <f>SUM(C89:E89)</f>
        <v>0</v>
      </c>
    </row>
    <row r="90" spans="2:6" x14ac:dyDescent="0.35">
      <c r="B90" s="43" t="s">
        <v>238</v>
      </c>
      <c r="C90" s="44">
        <f>COUNTIFS('Recommendations'!E:E,"High",'Recommendations'!L:L,"=Resolved")</f>
        <v>0</v>
      </c>
      <c r="D90" s="44">
        <f>COUNTIFS('Recommendations'!E:E,"=High",'Recommendations'!L:L,"=Testing")</f>
        <v>0</v>
      </c>
      <c r="E90" s="44">
        <f>COUNTIFS('Recommendations'!E:E,"=High",'Recommendations'!L:L,"=Outstanding")</f>
        <v>0</v>
      </c>
      <c r="F90" s="44">
        <f>SUM(C90:E90)</f>
        <v>0</v>
      </c>
    </row>
    <row r="91" spans="2:6" x14ac:dyDescent="0.35">
      <c r="B91" s="43" t="s">
        <v>17</v>
      </c>
      <c r="C91" s="44">
        <f>COUNTIFS('Recommendations'!E:E,"Unassessed",'Recommendations'!L:L,"=Resolved")</f>
        <v>0</v>
      </c>
      <c r="D91" s="44">
        <f>COUNTIFS('Recommendations'!E:E,"=Unassessed",'Recommendations'!L:L,"=Testing")</f>
        <v>0</v>
      </c>
      <c r="E91" s="44">
        <f>COUNTIFS('Recommendations'!E:E,"=Unassessed",'Recommendations'!L:L,"=Outstanding")</f>
        <v>20</v>
      </c>
      <c r="F91" s="44">
        <f>SUM(C91:E91)</f>
        <v>20</v>
      </c>
    </row>
    <row r="93" spans="2:6" x14ac:dyDescent="0.35">
      <c r="B93" s="53" t="s">
        <v>221</v>
      </c>
    </row>
    <row r="94" spans="2:6" x14ac:dyDescent="0.35">
      <c r="B94" s="54" t="s">
        <v>235</v>
      </c>
      <c r="C94" s="54" t="s">
        <v>216</v>
      </c>
      <c r="D94" s="54" t="s">
        <v>217</v>
      </c>
      <c r="E94" s="54" t="s">
        <v>218</v>
      </c>
      <c r="F94" s="54" t="s">
        <v>19</v>
      </c>
    </row>
    <row r="95" spans="2:6" x14ac:dyDescent="0.35">
      <c r="B95" s="43" t="s">
        <v>236</v>
      </c>
      <c r="C95" s="45">
        <f>IF(F88&gt;0, C88/F88, 0)</f>
        <v>0</v>
      </c>
      <c r="D95" s="45">
        <f>IF(F88&gt;0, D88/F88, 0)</f>
        <v>0</v>
      </c>
      <c r="E95" s="45">
        <f>IF(F88&gt;0, E88/F88, 0)</f>
        <v>0</v>
      </c>
      <c r="F95" s="46" t="s">
        <v>19</v>
      </c>
    </row>
    <row r="96" spans="2:6" x14ac:dyDescent="0.35">
      <c r="B96" s="43" t="s">
        <v>237</v>
      </c>
      <c r="C96" s="45">
        <f>IF(F89&gt;0, C89/F89, 0)</f>
        <v>0</v>
      </c>
      <c r="D96" s="45">
        <f>IF(F89&gt;0, D89/F89, 0)</f>
        <v>0</v>
      </c>
      <c r="E96" s="45">
        <f>IF(F89&gt;0, E89/F89, 0)</f>
        <v>0</v>
      </c>
      <c r="F96" s="46" t="s">
        <v>19</v>
      </c>
    </row>
    <row r="97" spans="2:15" x14ac:dyDescent="0.35">
      <c r="B97" s="43" t="s">
        <v>238</v>
      </c>
      <c r="C97" s="45">
        <f>IF(F90&gt;0, C90/F90, 0)</f>
        <v>0</v>
      </c>
      <c r="D97" s="45">
        <f>IF(F90&gt;0, D90/F90, 0)</f>
        <v>0</v>
      </c>
      <c r="E97" s="45">
        <f>IF(F90&gt;0, E90/F90, 0)</f>
        <v>0</v>
      </c>
      <c r="F97" s="46" t="s">
        <v>19</v>
      </c>
    </row>
    <row r="98" spans="2:15" x14ac:dyDescent="0.35">
      <c r="B98" s="43" t="s">
        <v>17</v>
      </c>
      <c r="C98" s="45">
        <f>IF(F91&gt;0, C91/F91, 0)</f>
        <v>0</v>
      </c>
      <c r="D98" s="45">
        <f>IF(F91&gt;0, D91/F91, 0)</f>
        <v>0</v>
      </c>
      <c r="E98" s="45">
        <f>IF(F91&gt;0, E91/F91, 0)</f>
        <v>1</v>
      </c>
      <c r="F98" s="46" t="s">
        <v>19</v>
      </c>
    </row>
    <row r="103" spans="2:15" ht="18.5" x14ac:dyDescent="0.45">
      <c r="B103" s="39" t="s">
        <v>239</v>
      </c>
      <c r="J103" s="39" t="s">
        <v>240</v>
      </c>
    </row>
    <row r="104" spans="2:15" x14ac:dyDescent="0.35">
      <c r="B104" s="41" t="s">
        <v>5</v>
      </c>
      <c r="C104" s="294" t="s">
        <v>241</v>
      </c>
      <c r="D104" s="294"/>
      <c r="E104" s="41" t="s">
        <v>208</v>
      </c>
      <c r="F104" s="41" t="s">
        <v>216</v>
      </c>
      <c r="G104" s="294" t="s">
        <v>242</v>
      </c>
      <c r="H104" s="294"/>
      <c r="J104" s="41" t="s">
        <v>5</v>
      </c>
      <c r="K104" s="41" t="s">
        <v>230</v>
      </c>
      <c r="L104" s="41" t="s">
        <v>231</v>
      </c>
      <c r="M104" s="41" t="s">
        <v>232</v>
      </c>
      <c r="N104" s="41" t="s">
        <v>233</v>
      </c>
      <c r="O104" s="41" t="s">
        <v>16</v>
      </c>
    </row>
    <row r="105" spans="2:15" x14ac:dyDescent="0.35">
      <c r="B105" s="47" t="s">
        <v>223</v>
      </c>
      <c r="C105" s="295" t="s">
        <v>19</v>
      </c>
      <c r="D105" s="295"/>
      <c r="E105" s="44">
        <f>COUNTIF('Recommendations'!F:F,"Phase1")-COUNTIFS('Recommendations'!F:F,"Phase1",'Recommendations'!G:G,"Risk Accepted")-COUNTIFS('Recommendations'!F:F,"Phase1",'Recommendations'!G:G,"N/A")</f>
        <v>0</v>
      </c>
      <c r="F105" s="44">
        <f>COUNTIFS('Recommendations'!F:F,"Phase1",'Recommendations'!L:L,"Resolved")</f>
        <v>0</v>
      </c>
      <c r="G105" s="296">
        <f t="shared" ref="G105:G110" si="4">IF(E105&gt;0,F105/E105,0)</f>
        <v>0</v>
      </c>
      <c r="H105" s="296"/>
      <c r="J105" s="47" t="s">
        <v>223</v>
      </c>
      <c r="K105" s="44">
        <f>COUNTIFS('Recommendations'!F:F,"Phase1",'Recommendations'!D:D,"Must")</f>
        <v>0</v>
      </c>
      <c r="L105" s="44">
        <f>COUNTIFS('Recommendations'!F:F,"Phase1",'Recommendations'!D:D,"Should")</f>
        <v>0</v>
      </c>
      <c r="M105" s="44">
        <f>COUNTIFS('Recommendations'!F:F,"Phase1",'Recommendations'!D:D,"Could")</f>
        <v>0</v>
      </c>
      <c r="N105" s="44">
        <f>COUNTIFS('Recommendations'!F:F,"Phase1",'Recommendations'!D:D,"Won't")</f>
        <v>0</v>
      </c>
      <c r="O105" s="44">
        <f>COUNTIFS('Recommendations'!F:F,"Phase1",'Recommendations'!D:D,"Unassigned")</f>
        <v>0</v>
      </c>
    </row>
    <row r="106" spans="2:15" x14ac:dyDescent="0.35">
      <c r="B106" s="47" t="s">
        <v>224</v>
      </c>
      <c r="C106" s="295" t="s">
        <v>19</v>
      </c>
      <c r="D106" s="295"/>
      <c r="E106" s="44">
        <f>COUNTIF('Recommendations'!F:F,"Phase2")-COUNTIFS('Recommendations'!F:F,"Phase2",'Recommendations'!G:G,"Risk Accepted")-COUNTIFS('Recommendations'!F:F,"Phase2",'Recommendations'!G:G,"N/A")</f>
        <v>0</v>
      </c>
      <c r="F106" s="44">
        <f>COUNTIFS('Recommendations'!F:F,"Phase2",'Recommendations'!L:L,"Resolved")</f>
        <v>0</v>
      </c>
      <c r="G106" s="296">
        <f t="shared" si="4"/>
        <v>0</v>
      </c>
      <c r="H106" s="296"/>
      <c r="J106" s="47" t="s">
        <v>224</v>
      </c>
      <c r="K106" s="44">
        <f>COUNTIFS('Recommendations'!F:F,"Phase2",'Recommendations'!D:D,"Must")</f>
        <v>0</v>
      </c>
      <c r="L106" s="44">
        <f>COUNTIFS('Recommendations'!F:F,"Phase2",'Recommendations'!D:D,"Should")</f>
        <v>0</v>
      </c>
      <c r="M106" s="44">
        <f>COUNTIFS('Recommendations'!F:F,"Phase2",'Recommendations'!D:D,"Could")</f>
        <v>0</v>
      </c>
      <c r="N106" s="44">
        <f>COUNTIFS('Recommendations'!F:F,"Phase2",'Recommendations'!D:D,"Won't")</f>
        <v>0</v>
      </c>
      <c r="O106" s="44">
        <f>COUNTIFS('Recommendations'!F:F,"Phase2",'Recommendations'!D:D,"Unassigned")</f>
        <v>0</v>
      </c>
    </row>
    <row r="107" spans="2:15" x14ac:dyDescent="0.35">
      <c r="B107" s="47" t="s">
        <v>225</v>
      </c>
      <c r="C107" s="295" t="s">
        <v>19</v>
      </c>
      <c r="D107" s="295"/>
      <c r="E107" s="44">
        <f>COUNTIF('Recommendations'!F:F,"Phase3")-COUNTIFS('Recommendations'!F:F,"Phase3",'Recommendations'!G:G,"Risk Accepted")-COUNTIFS('Recommendations'!F:F,"Phase3",'Recommendations'!G:G,"N/A")</f>
        <v>0</v>
      </c>
      <c r="F107" s="44">
        <f>COUNTIFS('Recommendations'!F:F,"Phase3",'Recommendations'!L:L,"Resolved")</f>
        <v>0</v>
      </c>
      <c r="G107" s="296">
        <f t="shared" si="4"/>
        <v>0</v>
      </c>
      <c r="H107" s="296"/>
      <c r="J107" s="47" t="s">
        <v>225</v>
      </c>
      <c r="K107" s="44">
        <f>COUNTIFS('Recommendations'!F:F,"Phase3",'Recommendations'!D:D,"Must")</f>
        <v>0</v>
      </c>
      <c r="L107" s="44">
        <f>COUNTIFS('Recommendations'!F:F,"Phase3",'Recommendations'!D:D,"Should")</f>
        <v>0</v>
      </c>
      <c r="M107" s="44">
        <f>COUNTIFS('Recommendations'!F:F,"Phase3",'Recommendations'!D:D,"Could")</f>
        <v>0</v>
      </c>
      <c r="N107" s="44">
        <f>COUNTIFS('Recommendations'!F:F,"Phase3",'Recommendations'!D:D,"Won't")</f>
        <v>0</v>
      </c>
      <c r="O107" s="44">
        <f>COUNTIFS('Recommendations'!F:F,"Phase3",'Recommendations'!D:D,"Unassigned")</f>
        <v>0</v>
      </c>
    </row>
    <row r="108" spans="2:15" x14ac:dyDescent="0.35">
      <c r="B108" s="47" t="s">
        <v>226</v>
      </c>
      <c r="C108" s="295" t="s">
        <v>19</v>
      </c>
      <c r="D108" s="295"/>
      <c r="E108" s="44">
        <f>COUNTIF('Recommendations'!F:F,"Phase4")-COUNTIFS('Recommendations'!F:F,"Phase4",'Recommendations'!G:G,"Risk Accepted")-COUNTIFS('Recommendations'!F:F,"Phase4",'Recommendations'!G:G,"N/A")</f>
        <v>0</v>
      </c>
      <c r="F108" s="44">
        <f>COUNTIFS('Recommendations'!F:F,"Phase4",'Recommendations'!L:L,"Resolved")</f>
        <v>0</v>
      </c>
      <c r="G108" s="296">
        <f t="shared" si="4"/>
        <v>0</v>
      </c>
      <c r="H108" s="296"/>
      <c r="J108" s="47" t="s">
        <v>226</v>
      </c>
      <c r="K108" s="44">
        <f>COUNTIFS('Recommendations'!F:F,"Phase4",'Recommendations'!D:D,"Must")</f>
        <v>0</v>
      </c>
      <c r="L108" s="44">
        <f>COUNTIFS('Recommendations'!F:F,"Phase4",'Recommendations'!D:D,"Should")</f>
        <v>0</v>
      </c>
      <c r="M108" s="44">
        <f>COUNTIFS('Recommendations'!F:F,"Phase4",'Recommendations'!D:D,"Could")</f>
        <v>0</v>
      </c>
      <c r="N108" s="44">
        <f>COUNTIFS('Recommendations'!F:F,"Phase4",'Recommendations'!D:D,"Won't")</f>
        <v>0</v>
      </c>
      <c r="O108" s="44">
        <f>COUNTIFS('Recommendations'!F:F,"Phase4",'Recommendations'!D:D,"Unassigned")</f>
        <v>0</v>
      </c>
    </row>
    <row r="109" spans="2:15" x14ac:dyDescent="0.35">
      <c r="B109" s="47" t="s">
        <v>227</v>
      </c>
      <c r="C109" s="295" t="s">
        <v>19</v>
      </c>
      <c r="D109" s="295"/>
      <c r="E109" s="44">
        <f>COUNTIF('Recommendations'!F:F,"Phase5")-COUNTIFS('Recommendations'!F:F,"Phase5",'Recommendations'!G:G,"Risk Accepted")-COUNTIFS('Recommendations'!F:F,"Phase5",'Recommendations'!G:G,"N/A")</f>
        <v>0</v>
      </c>
      <c r="F109" s="44">
        <f>COUNTIFS('Recommendations'!F:F,"Phase5",'Recommendations'!L:L,"Resolved")</f>
        <v>0</v>
      </c>
      <c r="G109" s="296">
        <f t="shared" si="4"/>
        <v>0</v>
      </c>
      <c r="H109" s="296"/>
      <c r="J109" s="47" t="s">
        <v>227</v>
      </c>
      <c r="K109" s="44">
        <f>COUNTIFS('Recommendations'!F:F,"Phase5",'Recommendations'!D:D,"Must")</f>
        <v>0</v>
      </c>
      <c r="L109" s="44">
        <f>COUNTIFS('Recommendations'!F:F,"Phase5",'Recommendations'!D:D,"Should")</f>
        <v>0</v>
      </c>
      <c r="M109" s="44">
        <f>COUNTIFS('Recommendations'!F:F,"Phase5",'Recommendations'!D:D,"Could")</f>
        <v>0</v>
      </c>
      <c r="N109" s="44">
        <f>COUNTIFS('Recommendations'!F:F,"Phase5",'Recommendations'!D:D,"Won't")</f>
        <v>0</v>
      </c>
      <c r="O109" s="44">
        <f>COUNTIFS('Recommendations'!F:F,"Phase5",'Recommendations'!D:D,"Unassigned")</f>
        <v>0</v>
      </c>
    </row>
    <row r="110" spans="2:15" x14ac:dyDescent="0.35">
      <c r="B110" s="47" t="s">
        <v>18</v>
      </c>
      <c r="C110" s="295" t="s">
        <v>19</v>
      </c>
      <c r="D110" s="295"/>
      <c r="E110" s="44">
        <f>COUNTIF('Recommendations'!F:F,"Pending")-COUNTIFS('Recommendations'!F:F,"Pending",'Recommendations'!G:G,"Risk Accepted")-COUNTIFS('Recommendations'!F:F,"Pending",'Recommendations'!G:G,"N/A")</f>
        <v>20</v>
      </c>
      <c r="F110" s="44">
        <f>COUNTIFS('Recommendations'!F:F,"Pending",'Recommendations'!L:L,"Resolved")</f>
        <v>0</v>
      </c>
      <c r="G110" s="296">
        <f t="shared" si="4"/>
        <v>0</v>
      </c>
      <c r="H110" s="296"/>
      <c r="J110" s="47" t="s">
        <v>18</v>
      </c>
      <c r="K110" s="44">
        <f>COUNTIFS('Recommendations'!F:F,"Pending",'Recommendations'!D:D,"Must")</f>
        <v>0</v>
      </c>
      <c r="L110" s="44">
        <f>COUNTIFS('Recommendations'!F:F,"Pending",'Recommendations'!D:D,"Should")</f>
        <v>0</v>
      </c>
      <c r="M110" s="44">
        <f>COUNTIFS('Recommendations'!F:F,"Pending",'Recommendations'!D:D,"Could")</f>
        <v>0</v>
      </c>
      <c r="N110" s="44">
        <f>COUNTIFS('Recommendations'!F:F,"Pending",'Recommendations'!D:D,"Won't")</f>
        <v>0</v>
      </c>
      <c r="O110" s="44">
        <f>COUNTIFS('Recommendations'!F:F,"Pending",'Recommendations'!D:D,"Unassigned")</f>
        <v>20</v>
      </c>
    </row>
    <row r="117" spans="2:24" ht="21" x14ac:dyDescent="0.5">
      <c r="B117" s="39" t="s">
        <v>243</v>
      </c>
      <c r="P117" s="56" t="s">
        <v>244</v>
      </c>
    </row>
    <row r="119" spans="2:24" ht="60" customHeight="1" x14ac:dyDescent="0.35">
      <c r="B119" s="297" t="s">
        <v>245</v>
      </c>
      <c r="C119" s="290"/>
      <c r="D119" s="290"/>
      <c r="E119" s="290"/>
      <c r="F119" s="290"/>
      <c r="P119" s="297" t="s">
        <v>246</v>
      </c>
      <c r="Q119" s="290"/>
      <c r="R119" s="290"/>
      <c r="S119" s="290"/>
      <c r="T119" s="290"/>
      <c r="U119" s="290"/>
      <c r="V119" s="290"/>
      <c r="W119" s="290"/>
    </row>
    <row r="121" spans="2:24" ht="30" customHeight="1" x14ac:dyDescent="0.35">
      <c r="P121" s="57" t="s">
        <v>247</v>
      </c>
      <c r="Q121" s="58">
        <f>C16</f>
        <v>0</v>
      </c>
      <c r="R121" s="59"/>
      <c r="S121" s="58">
        <f>C67</f>
        <v>0</v>
      </c>
      <c r="T121" s="59"/>
      <c r="U121" s="58">
        <f>C68</f>
        <v>0</v>
      </c>
      <c r="V121" s="59"/>
      <c r="W121" s="58">
        <f>C69</f>
        <v>0</v>
      </c>
      <c r="X121" s="59"/>
    </row>
    <row r="122" spans="2:24" ht="35" customHeight="1" x14ac:dyDescent="0.35">
      <c r="P122" s="60" t="s">
        <v>248</v>
      </c>
      <c r="Q122" s="60" t="s">
        <v>249</v>
      </c>
      <c r="R122" s="60" t="s">
        <v>250</v>
      </c>
      <c r="S122" s="60" t="s">
        <v>251</v>
      </c>
      <c r="T122" s="60" t="s">
        <v>252</v>
      </c>
      <c r="U122" s="60" t="s">
        <v>253</v>
      </c>
      <c r="V122" s="60" t="s">
        <v>254</v>
      </c>
      <c r="W122" s="60" t="s">
        <v>255</v>
      </c>
      <c r="X122" s="60" t="s">
        <v>256</v>
      </c>
    </row>
    <row r="123" spans="2:24" x14ac:dyDescent="0.35">
      <c r="O123" s="61" t="s">
        <v>257</v>
      </c>
      <c r="P123" s="62" t="s">
        <v>258</v>
      </c>
      <c r="Q123" s="63">
        <v>0</v>
      </c>
      <c r="R123" s="64">
        <f>IF(Dashboard!F16&gt;0, Q123/Dashboard!F16, "")</f>
        <v>0</v>
      </c>
      <c r="S123" s="63">
        <v>0</v>
      </c>
      <c r="T123" s="64" t="str">
        <f>IF(AND(NOT(ISBLANK(S123)),Dashboard!F67&gt;0), S123/Dashboard!F67, "")</f>
        <v/>
      </c>
      <c r="U123" s="63">
        <v>0</v>
      </c>
      <c r="V123" s="64" t="str">
        <f>IF(AND(NOT(ISBLANK(U123)),Dashboard!F68&gt;0), U123/Dashboard!F68, "")</f>
        <v/>
      </c>
      <c r="W123" s="63">
        <v>0</v>
      </c>
      <c r="X123" s="64" t="str">
        <f>IF(AND(NOT(ISBLANK(W123)),Dashboard!F69&gt;0), W123/Dashboard!F69, "")</f>
        <v/>
      </c>
    </row>
    <row r="124" spans="2:24" x14ac:dyDescent="0.35">
      <c r="P124" s="55"/>
      <c r="Q124" s="42"/>
      <c r="R124" s="45" t="str">
        <f>IF(AND(NOT(ISBLANK(Q124)),Dashboard!F16&gt;0), Q124/Dashboard!F16, "")</f>
        <v/>
      </c>
      <c r="S124" s="42"/>
      <c r="T124" s="45" t="str">
        <f>IF(AND(NOT(ISBLANK(S124)),Dashboard!F67&gt;0), S124/Dashboard!F67, "")</f>
        <v/>
      </c>
      <c r="U124" s="42"/>
      <c r="V124" s="45" t="str">
        <f>IF(AND(NOT(ISBLANK(U124)),Dashboard!F68&gt;0), U124/Dashboard!F68, "")</f>
        <v/>
      </c>
      <c r="W124" s="42"/>
      <c r="X124" s="45" t="str">
        <f>IF(AND(NOT(ISBLANK(W124)),Dashboard!F69&gt;0), W124/Dashboard!F69, "")</f>
        <v/>
      </c>
    </row>
    <row r="125" spans="2:24" x14ac:dyDescent="0.35">
      <c r="P125" s="55"/>
      <c r="Q125" s="42"/>
      <c r="R125" s="45" t="str">
        <f>IF(AND(NOT(ISBLANK(Q125)),Dashboard!F16&gt;0), Q125/Dashboard!F16, "")</f>
        <v/>
      </c>
      <c r="S125" s="42"/>
      <c r="T125" s="45" t="str">
        <f>IF(AND(NOT(ISBLANK(S125)),Dashboard!F67&gt;0), S125/Dashboard!F67, "")</f>
        <v/>
      </c>
      <c r="U125" s="42"/>
      <c r="V125" s="45" t="str">
        <f>IF(AND(NOT(ISBLANK(U125)),Dashboard!F68&gt;0), U125/Dashboard!F68, "")</f>
        <v/>
      </c>
      <c r="W125" s="42"/>
      <c r="X125" s="45" t="str">
        <f>IF(AND(NOT(ISBLANK(W125)),Dashboard!F69&gt;0), W125/Dashboard!F69, "")</f>
        <v/>
      </c>
    </row>
    <row r="126" spans="2:24" x14ac:dyDescent="0.35">
      <c r="P126" s="55"/>
      <c r="Q126" s="42"/>
      <c r="R126" s="45" t="str">
        <f>IF(AND(NOT(ISBLANK(Q126)),Dashboard!F16&gt;0), Q126/Dashboard!F16, "")</f>
        <v/>
      </c>
      <c r="S126" s="42"/>
      <c r="T126" s="45" t="str">
        <f>IF(AND(NOT(ISBLANK(S126)),Dashboard!F67&gt;0), S126/Dashboard!F67, "")</f>
        <v/>
      </c>
      <c r="U126" s="42"/>
      <c r="V126" s="45" t="str">
        <f>IF(AND(NOT(ISBLANK(U126)),Dashboard!F68&gt;0), U126/Dashboard!F68, "")</f>
        <v/>
      </c>
      <c r="W126" s="42"/>
      <c r="X126" s="45" t="str">
        <f>IF(AND(NOT(ISBLANK(W126)),Dashboard!F69&gt;0), W126/Dashboard!F69, "")</f>
        <v/>
      </c>
    </row>
    <row r="127" spans="2:24" x14ac:dyDescent="0.35">
      <c r="P127" s="55"/>
      <c r="Q127" s="42"/>
      <c r="R127" s="45" t="str">
        <f>IF(AND(NOT(ISBLANK(Q127)),Dashboard!F16&gt;0), Q127/Dashboard!F16, "")</f>
        <v/>
      </c>
      <c r="S127" s="42"/>
      <c r="T127" s="45" t="str">
        <f>IF(AND(NOT(ISBLANK(S127)),Dashboard!F67&gt;0), S127/Dashboard!F67, "")</f>
        <v/>
      </c>
      <c r="U127" s="42"/>
      <c r="V127" s="45" t="str">
        <f>IF(AND(NOT(ISBLANK(U127)),Dashboard!F68&gt;0), U127/Dashboard!F68, "")</f>
        <v/>
      </c>
      <c r="W127" s="42"/>
      <c r="X127" s="45" t="str">
        <f>IF(AND(NOT(ISBLANK(W127)),Dashboard!F69&gt;0), W127/Dashboard!F69, "")</f>
        <v/>
      </c>
    </row>
    <row r="128" spans="2:24" x14ac:dyDescent="0.35">
      <c r="P128" s="55"/>
      <c r="Q128" s="42"/>
      <c r="R128" s="45" t="str">
        <f>IF(AND(NOT(ISBLANK(Q128)),Dashboard!F16&gt;0), Q128/Dashboard!F16, "")</f>
        <v/>
      </c>
      <c r="S128" s="42"/>
      <c r="T128" s="45" t="str">
        <f>IF(AND(NOT(ISBLANK(S128)),Dashboard!F67&gt;0), S128/Dashboard!F67, "")</f>
        <v/>
      </c>
      <c r="U128" s="42"/>
      <c r="V128" s="45" t="str">
        <f>IF(AND(NOT(ISBLANK(U128)),Dashboard!F68&gt;0), U128/Dashboard!F68, "")</f>
        <v/>
      </c>
      <c r="W128" s="42"/>
      <c r="X128" s="45" t="str">
        <f>IF(AND(NOT(ISBLANK(W128)),Dashboard!F69&gt;0), W128/Dashboard!F69, "")</f>
        <v/>
      </c>
    </row>
    <row r="129" spans="16:24" x14ac:dyDescent="0.35">
      <c r="P129" s="55"/>
      <c r="Q129" s="42"/>
      <c r="R129" s="45" t="str">
        <f>IF(AND(NOT(ISBLANK(Q129)),Dashboard!F16&gt;0), Q129/Dashboard!F16, "")</f>
        <v/>
      </c>
      <c r="S129" s="42"/>
      <c r="T129" s="45" t="str">
        <f>IF(AND(NOT(ISBLANK(S129)),Dashboard!F67&gt;0), S129/Dashboard!F67, "")</f>
        <v/>
      </c>
      <c r="U129" s="42"/>
      <c r="V129" s="45" t="str">
        <f>IF(AND(NOT(ISBLANK(U129)),Dashboard!F68&gt;0), U129/Dashboard!F68, "")</f>
        <v/>
      </c>
      <c r="W129" s="42"/>
      <c r="X129" s="45" t="str">
        <f>IF(AND(NOT(ISBLANK(W129)),Dashboard!F69&gt;0), W129/Dashboard!F69, "")</f>
        <v/>
      </c>
    </row>
    <row r="130" spans="16:24" x14ac:dyDescent="0.35">
      <c r="P130" s="55"/>
      <c r="Q130" s="42"/>
      <c r="R130" s="45" t="str">
        <f>IF(AND(NOT(ISBLANK(Q130)),Dashboard!F16&gt;0), Q130/Dashboard!F16, "")</f>
        <v/>
      </c>
      <c r="S130" s="42"/>
      <c r="T130" s="45" t="str">
        <f>IF(AND(NOT(ISBLANK(S130)),Dashboard!F67&gt;0), S130/Dashboard!F67, "")</f>
        <v/>
      </c>
      <c r="U130" s="42"/>
      <c r="V130" s="45" t="str">
        <f>IF(AND(NOT(ISBLANK(U130)),Dashboard!F68&gt;0), U130/Dashboard!F68, "")</f>
        <v/>
      </c>
      <c r="W130" s="42"/>
      <c r="X130" s="45" t="str">
        <f>IF(AND(NOT(ISBLANK(W130)),Dashboard!F69&gt;0), W130/Dashboard!F69, "")</f>
        <v/>
      </c>
    </row>
    <row r="131" spans="16:24" x14ac:dyDescent="0.35">
      <c r="P131" s="55"/>
      <c r="Q131" s="42"/>
      <c r="R131" s="45" t="str">
        <f>IF(AND(NOT(ISBLANK(Q131)),Dashboard!F16&gt;0), Q131/Dashboard!F16, "")</f>
        <v/>
      </c>
      <c r="S131" s="42"/>
      <c r="T131" s="45" t="str">
        <f>IF(AND(NOT(ISBLANK(S131)),Dashboard!F67&gt;0), S131/Dashboard!F67, "")</f>
        <v/>
      </c>
      <c r="U131" s="42"/>
      <c r="V131" s="45" t="str">
        <f>IF(AND(NOT(ISBLANK(U131)),Dashboard!F68&gt;0), U131/Dashboard!F68, "")</f>
        <v/>
      </c>
      <c r="W131" s="42"/>
      <c r="X131" s="45" t="str">
        <f>IF(AND(NOT(ISBLANK(W131)),Dashboard!F69&gt;0), W131/Dashboard!F69, "")</f>
        <v/>
      </c>
    </row>
    <row r="132" spans="16:24" x14ac:dyDescent="0.35">
      <c r="P132" s="55"/>
      <c r="Q132" s="42"/>
      <c r="R132" s="45" t="str">
        <f>IF(AND(NOT(ISBLANK(Q132)),Dashboard!F16&gt;0), Q132/Dashboard!F16, "")</f>
        <v/>
      </c>
      <c r="S132" s="42"/>
      <c r="T132" s="45" t="str">
        <f>IF(AND(NOT(ISBLANK(S132)),Dashboard!F67&gt;0), S132/Dashboard!F67, "")</f>
        <v/>
      </c>
      <c r="U132" s="42"/>
      <c r="V132" s="45" t="str">
        <f>IF(AND(NOT(ISBLANK(U132)),Dashboard!F68&gt;0), U132/Dashboard!F68, "")</f>
        <v/>
      </c>
      <c r="W132" s="42"/>
      <c r="X132" s="45" t="str">
        <f>IF(AND(NOT(ISBLANK(W132)),Dashboard!F69&gt;0), W132/Dashboard!F69, "")</f>
        <v/>
      </c>
    </row>
    <row r="133" spans="16:24" x14ac:dyDescent="0.35">
      <c r="P133" s="55"/>
      <c r="Q133" s="42"/>
      <c r="R133" s="45" t="str">
        <f>IF(AND(NOT(ISBLANK(Q133)),Dashboard!F16&gt;0), Q133/Dashboard!F16, "")</f>
        <v/>
      </c>
      <c r="S133" s="42"/>
      <c r="T133" s="45" t="str">
        <f>IF(AND(NOT(ISBLANK(S133)),Dashboard!F67&gt;0), S133/Dashboard!F67, "")</f>
        <v/>
      </c>
      <c r="U133" s="42"/>
      <c r="V133" s="45" t="str">
        <f>IF(AND(NOT(ISBLANK(U133)),Dashboard!F68&gt;0), U133/Dashboard!F68, "")</f>
        <v/>
      </c>
      <c r="W133" s="42"/>
      <c r="X133" s="45" t="str">
        <f>IF(AND(NOT(ISBLANK(W133)),Dashboard!F69&gt;0), W133/Dashboard!F69, "")</f>
        <v/>
      </c>
    </row>
    <row r="134" spans="16:24" x14ac:dyDescent="0.35">
      <c r="P134" s="55"/>
      <c r="Q134" s="42"/>
      <c r="R134" s="45" t="str">
        <f>IF(AND(NOT(ISBLANK(Q134)),Dashboard!F16&gt;0), Q134/Dashboard!F16, "")</f>
        <v/>
      </c>
      <c r="S134" s="42"/>
      <c r="T134" s="45" t="str">
        <f>IF(AND(NOT(ISBLANK(S134)),Dashboard!F67&gt;0), S134/Dashboard!F67, "")</f>
        <v/>
      </c>
      <c r="U134" s="42"/>
      <c r="V134" s="45" t="str">
        <f>IF(AND(NOT(ISBLANK(U134)),Dashboard!F68&gt;0), U134/Dashboard!F68, "")</f>
        <v/>
      </c>
      <c r="W134" s="42"/>
      <c r="X134" s="45" t="str">
        <f>IF(AND(NOT(ISBLANK(W134)),Dashboard!F69&gt;0), W134/Dashboard!F69, "")</f>
        <v/>
      </c>
    </row>
    <row r="135" spans="16:24" x14ac:dyDescent="0.35">
      <c r="P135" s="55"/>
      <c r="Q135" s="42"/>
      <c r="R135" s="45" t="str">
        <f>IF(AND(NOT(ISBLANK(Q135)),Dashboard!F16&gt;0), Q135/Dashboard!F16, "")</f>
        <v/>
      </c>
      <c r="S135" s="42"/>
      <c r="T135" s="45" t="str">
        <f>IF(AND(NOT(ISBLANK(S135)),Dashboard!F67&gt;0), S135/Dashboard!F67, "")</f>
        <v/>
      </c>
      <c r="U135" s="42"/>
      <c r="V135" s="45" t="str">
        <f>IF(AND(NOT(ISBLANK(U135)),Dashboard!F68&gt;0), U135/Dashboard!F68, "")</f>
        <v/>
      </c>
      <c r="W135" s="42"/>
      <c r="X135" s="45" t="str">
        <f>IF(AND(NOT(ISBLANK(W135)),Dashboard!F69&gt;0), W135/Dashboard!F69, "")</f>
        <v/>
      </c>
    </row>
    <row r="136" spans="16:24" x14ac:dyDescent="0.35">
      <c r="P136" s="55"/>
      <c r="Q136" s="42"/>
      <c r="R136" s="45" t="str">
        <f>IF(AND(NOT(ISBLANK(Q136)),Dashboard!F16&gt;0), Q136/Dashboard!F16, "")</f>
        <v/>
      </c>
      <c r="S136" s="42"/>
      <c r="T136" s="45" t="str">
        <f>IF(AND(NOT(ISBLANK(S136)),Dashboard!F67&gt;0), S136/Dashboard!F67, "")</f>
        <v/>
      </c>
      <c r="U136" s="42"/>
      <c r="V136" s="45" t="str">
        <f>IF(AND(NOT(ISBLANK(U136)),Dashboard!F68&gt;0), U136/Dashboard!F68, "")</f>
        <v/>
      </c>
      <c r="W136" s="42"/>
      <c r="X136" s="45" t="str">
        <f>IF(AND(NOT(ISBLANK(W136)),Dashboard!F69&gt;0), W136/Dashboard!F69, "")</f>
        <v/>
      </c>
    </row>
    <row r="137" spans="16:24" x14ac:dyDescent="0.35">
      <c r="P137" s="55"/>
      <c r="Q137" s="42"/>
      <c r="R137" s="45" t="str">
        <f>IF(AND(NOT(ISBLANK(Q137)),Dashboard!F16&gt;0), Q137/Dashboard!F16, "")</f>
        <v/>
      </c>
      <c r="S137" s="42"/>
      <c r="T137" s="45" t="str">
        <f>IF(AND(NOT(ISBLANK(S137)),Dashboard!F67&gt;0), S137/Dashboard!F67, "")</f>
        <v/>
      </c>
      <c r="U137" s="42"/>
      <c r="V137" s="45" t="str">
        <f>IF(AND(NOT(ISBLANK(U137)),Dashboard!F68&gt;0), U137/Dashboard!F68, "")</f>
        <v/>
      </c>
      <c r="W137" s="42"/>
      <c r="X137" s="45" t="str">
        <f>IF(AND(NOT(ISBLANK(W137)),Dashboard!F69&gt;0), W137/Dashboard!F69, "")</f>
        <v/>
      </c>
    </row>
    <row r="138" spans="16:24" x14ac:dyDescent="0.35">
      <c r="P138" s="55"/>
      <c r="Q138" s="42"/>
      <c r="R138" s="45" t="str">
        <f>IF(AND(NOT(ISBLANK(Q138)),Dashboard!F16&gt;0), Q138/Dashboard!F16, "")</f>
        <v/>
      </c>
      <c r="S138" s="42"/>
      <c r="T138" s="45" t="str">
        <f>IF(AND(NOT(ISBLANK(S138)),Dashboard!F67&gt;0), S138/Dashboard!F67, "")</f>
        <v/>
      </c>
      <c r="U138" s="42"/>
      <c r="V138" s="45" t="str">
        <f>IF(AND(NOT(ISBLANK(U138)),Dashboard!F68&gt;0), U138/Dashboard!F68, "")</f>
        <v/>
      </c>
      <c r="W138" s="42"/>
      <c r="X138" s="45" t="str">
        <f>IF(AND(NOT(ISBLANK(W138)),Dashboard!F69&gt;0), W138/Dashboard!F69, "")</f>
        <v/>
      </c>
    </row>
    <row r="139" spans="16:24" x14ac:dyDescent="0.35">
      <c r="P139" s="55"/>
      <c r="Q139" s="42"/>
      <c r="R139" s="45" t="str">
        <f>IF(AND(NOT(ISBLANK(Q139)),Dashboard!F16&gt;0), Q139/Dashboard!F16, "")</f>
        <v/>
      </c>
      <c r="S139" s="42"/>
      <c r="T139" s="45" t="str">
        <f>IF(AND(NOT(ISBLANK(S139)),Dashboard!F67&gt;0), S139/Dashboard!F67, "")</f>
        <v/>
      </c>
      <c r="U139" s="42"/>
      <c r="V139" s="45" t="str">
        <f>IF(AND(NOT(ISBLANK(U139)),Dashboard!F68&gt;0), U139/Dashboard!F68, "")</f>
        <v/>
      </c>
      <c r="W139" s="42"/>
      <c r="X139" s="45" t="str">
        <f>IF(AND(NOT(ISBLANK(W139)),Dashboard!F69&gt;0), W139/Dashboard!F69, "")</f>
        <v/>
      </c>
    </row>
    <row r="140" spans="16:24" x14ac:dyDescent="0.35">
      <c r="P140" s="55"/>
      <c r="Q140" s="42"/>
      <c r="R140" s="45" t="str">
        <f>IF(AND(NOT(ISBLANK(Q140)),Dashboard!F16&gt;0), Q140/Dashboard!F16, "")</f>
        <v/>
      </c>
      <c r="S140" s="42"/>
      <c r="T140" s="45" t="str">
        <f>IF(AND(NOT(ISBLANK(S140)),Dashboard!F67&gt;0), S140/Dashboard!F67, "")</f>
        <v/>
      </c>
      <c r="U140" s="42"/>
      <c r="V140" s="45" t="str">
        <f>IF(AND(NOT(ISBLANK(U140)),Dashboard!F68&gt;0), U140/Dashboard!F68, "")</f>
        <v/>
      </c>
      <c r="W140" s="42"/>
      <c r="X140" s="45" t="str">
        <f>IF(AND(NOT(ISBLANK(W140)),Dashboard!F69&gt;0), W140/Dashboard!F69, "")</f>
        <v/>
      </c>
    </row>
    <row r="141" spans="16:24" x14ac:dyDescent="0.35">
      <c r="P141" s="55"/>
      <c r="Q141" s="42"/>
      <c r="R141" s="45" t="str">
        <f>IF(AND(NOT(ISBLANK(Q141)),Dashboard!F16&gt;0), Q141/Dashboard!F16, "")</f>
        <v/>
      </c>
      <c r="S141" s="42"/>
      <c r="T141" s="45" t="str">
        <f>IF(AND(NOT(ISBLANK(S141)),Dashboard!F67&gt;0), S141/Dashboard!F67, "")</f>
        <v/>
      </c>
      <c r="U141" s="42"/>
      <c r="V141" s="45" t="str">
        <f>IF(AND(NOT(ISBLANK(U141)),Dashboard!F68&gt;0), U141/Dashboard!F68, "")</f>
        <v/>
      </c>
      <c r="W141" s="42"/>
      <c r="X141" s="45" t="str">
        <f>IF(AND(NOT(ISBLANK(W141)),Dashboard!F69&gt;0), W141/Dashboard!F69, "")</f>
        <v/>
      </c>
    </row>
    <row r="142" spans="16:24" x14ac:dyDescent="0.35">
      <c r="P142" s="55"/>
      <c r="Q142" s="42"/>
      <c r="R142" s="45" t="str">
        <f>IF(AND(NOT(ISBLANK(Q142)),Dashboard!F16&gt;0), Q142/Dashboard!F16, "")</f>
        <v/>
      </c>
      <c r="S142" s="42"/>
      <c r="T142" s="45" t="str">
        <f>IF(AND(NOT(ISBLANK(S142)),Dashboard!F67&gt;0), S142/Dashboard!F67, "")</f>
        <v/>
      </c>
      <c r="U142" s="42"/>
      <c r="V142" s="45" t="str">
        <f>IF(AND(NOT(ISBLANK(U142)),Dashboard!F68&gt;0), U142/Dashboard!F68, "")</f>
        <v/>
      </c>
      <c r="W142" s="42"/>
      <c r="X142" s="45" t="str">
        <f>IF(AND(NOT(ISBLANK(W142)),Dashboard!F69&gt;0), W142/Dashboard!F69, "")</f>
        <v/>
      </c>
    </row>
    <row r="143" spans="16:24" x14ac:dyDescent="0.35">
      <c r="P143" s="55"/>
      <c r="Q143" s="42"/>
      <c r="R143" s="45" t="str">
        <f>IF(AND(NOT(ISBLANK(Q143)),Dashboard!F16&gt;0), Q143/Dashboard!F16, "")</f>
        <v/>
      </c>
      <c r="S143" s="42"/>
      <c r="T143" s="45" t="str">
        <f>IF(AND(NOT(ISBLANK(S143)),Dashboard!F67&gt;0), S143/Dashboard!F67, "")</f>
        <v/>
      </c>
      <c r="U143" s="42"/>
      <c r="V143" s="45" t="str">
        <f>IF(AND(NOT(ISBLANK(U143)),Dashboard!F68&gt;0), U143/Dashboard!F68, "")</f>
        <v/>
      </c>
      <c r="W143" s="42"/>
      <c r="X143" s="45" t="str">
        <f>IF(AND(NOT(ISBLANK(W143)),Dashboard!F69&gt;0), W143/Dashboard!F69, "")</f>
        <v/>
      </c>
    </row>
    <row r="144" spans="16:24" x14ac:dyDescent="0.35">
      <c r="P144" s="55"/>
      <c r="Q144" s="42"/>
      <c r="R144" s="45" t="str">
        <f>IF(AND(NOT(ISBLANK(Q144)),Dashboard!F16&gt;0), Q144/Dashboard!F16, "")</f>
        <v/>
      </c>
      <c r="S144" s="42"/>
      <c r="T144" s="45" t="str">
        <f>IF(AND(NOT(ISBLANK(S144)),Dashboard!F67&gt;0), S144/Dashboard!F67, "")</f>
        <v/>
      </c>
      <c r="U144" s="42"/>
      <c r="V144" s="45" t="str">
        <f>IF(AND(NOT(ISBLANK(U144)),Dashboard!F68&gt;0), U144/Dashboard!F68, "")</f>
        <v/>
      </c>
      <c r="W144" s="42"/>
      <c r="X144" s="45" t="str">
        <f>IF(AND(NOT(ISBLANK(W144)),Dashboard!F69&gt;0), W144/Dashboard!F69, "")</f>
        <v/>
      </c>
    </row>
    <row r="145" spans="2:24" x14ac:dyDescent="0.35">
      <c r="P145" s="55"/>
      <c r="Q145" s="42"/>
      <c r="R145" s="45" t="str">
        <f>IF(AND(NOT(ISBLANK(Q145)),Dashboard!F16&gt;0), Q145/Dashboard!F16, "")</f>
        <v/>
      </c>
      <c r="S145" s="42"/>
      <c r="T145" s="45" t="str">
        <f>IF(AND(NOT(ISBLANK(S145)),Dashboard!F67&gt;0), S145/Dashboard!F67, "")</f>
        <v/>
      </c>
      <c r="U145" s="42"/>
      <c r="V145" s="45" t="str">
        <f>IF(AND(NOT(ISBLANK(U145)),Dashboard!F68&gt;0), U145/Dashboard!F68, "")</f>
        <v/>
      </c>
      <c r="W145" s="42"/>
      <c r="X145" s="45" t="str">
        <f>IF(AND(NOT(ISBLANK(W145)),Dashboard!F69&gt;0), W145/Dashboard!F69, "")</f>
        <v/>
      </c>
    </row>
    <row r="146" spans="2:24" x14ac:dyDescent="0.35">
      <c r="P146" s="55"/>
      <c r="Q146" s="42"/>
      <c r="R146" s="45" t="str">
        <f>IF(AND(NOT(ISBLANK(Q146)),Dashboard!F16&gt;0), Q146/Dashboard!F16, "")</f>
        <v/>
      </c>
      <c r="S146" s="42"/>
      <c r="T146" s="45" t="str">
        <f>IF(AND(NOT(ISBLANK(S146)),Dashboard!F67&gt;0), S146/Dashboard!F67, "")</f>
        <v/>
      </c>
      <c r="U146" s="42"/>
      <c r="V146" s="45" t="str">
        <f>IF(AND(NOT(ISBLANK(U146)),Dashboard!F68&gt;0), U146/Dashboard!F68, "")</f>
        <v/>
      </c>
      <c r="W146" s="42"/>
      <c r="X146" s="45" t="str">
        <f>IF(AND(NOT(ISBLANK(W146)),Dashboard!F69&gt;0), W146/Dashboard!F69, "")</f>
        <v/>
      </c>
    </row>
    <row r="147" spans="2:24" x14ac:dyDescent="0.35">
      <c r="P147" s="55"/>
      <c r="Q147" s="42"/>
      <c r="R147" s="45" t="str">
        <f>IF(AND(NOT(ISBLANK(Q147)),Dashboard!F16&gt;0), Q147/Dashboard!F16, "")</f>
        <v/>
      </c>
      <c r="S147" s="42"/>
      <c r="T147" s="45" t="str">
        <f>IF(AND(NOT(ISBLANK(S147)),Dashboard!F67&gt;0), S147/Dashboard!F67, "")</f>
        <v/>
      </c>
      <c r="U147" s="42"/>
      <c r="V147" s="45" t="str">
        <f>IF(AND(NOT(ISBLANK(U147)),Dashboard!F68&gt;0), U147/Dashboard!F68, "")</f>
        <v/>
      </c>
      <c r="W147" s="42"/>
      <c r="X147" s="45" t="str">
        <f>IF(AND(NOT(ISBLANK(W147)),Dashboard!F69&gt;0), W147/Dashboard!F69, "")</f>
        <v/>
      </c>
    </row>
    <row r="148" spans="2:24" x14ac:dyDescent="0.35">
      <c r="P148" s="55"/>
      <c r="Q148" s="42"/>
      <c r="R148" s="45" t="str">
        <f>IF(AND(NOT(ISBLANK(Q148)),Dashboard!F16&gt;0), Q148/Dashboard!F16, "")</f>
        <v/>
      </c>
      <c r="S148" s="42"/>
      <c r="T148" s="45" t="str">
        <f>IF(AND(NOT(ISBLANK(S148)),Dashboard!F67&gt;0), S148/Dashboard!F67, "")</f>
        <v/>
      </c>
      <c r="U148" s="42"/>
      <c r="V148" s="45" t="str">
        <f>IF(AND(NOT(ISBLANK(U148)),Dashboard!F68&gt;0), U148/Dashboard!F68, "")</f>
        <v/>
      </c>
      <c r="W148" s="42"/>
      <c r="X148" s="45" t="str">
        <f>IF(AND(NOT(ISBLANK(W148)),Dashboard!F69&gt;0), W148/Dashboard!F69, "")</f>
        <v/>
      </c>
    </row>
    <row r="149" spans="2:24" x14ac:dyDescent="0.35">
      <c r="P149" s="55"/>
      <c r="Q149" s="42"/>
      <c r="R149" s="45" t="str">
        <f>IF(AND(NOT(ISBLANK(Q149)),Dashboard!F16&gt;0), Q149/Dashboard!F16, "")</f>
        <v/>
      </c>
      <c r="S149" s="42"/>
      <c r="T149" s="45" t="str">
        <f>IF(AND(NOT(ISBLANK(S149)),Dashboard!F67&gt;0), S149/Dashboard!F67, "")</f>
        <v/>
      </c>
      <c r="U149" s="42"/>
      <c r="V149" s="45" t="str">
        <f>IF(AND(NOT(ISBLANK(U149)),Dashboard!F68&gt;0), U149/Dashboard!F68, "")</f>
        <v/>
      </c>
      <c r="W149" s="42"/>
      <c r="X149" s="45" t="str">
        <f>IF(AND(NOT(ISBLANK(W149)),Dashboard!F69&gt;0), W149/Dashboard!F69, "")</f>
        <v/>
      </c>
    </row>
    <row r="150" spans="2:24" x14ac:dyDescent="0.35">
      <c r="P150" s="55"/>
      <c r="Q150" s="42"/>
      <c r="R150" s="45" t="str">
        <f>IF(AND(NOT(ISBLANK(Q150)),Dashboard!F16&gt;0), Q150/Dashboard!F16, "")</f>
        <v/>
      </c>
      <c r="S150" s="42"/>
      <c r="T150" s="45" t="str">
        <f>IF(AND(NOT(ISBLANK(S150)),Dashboard!F67&gt;0), S150/Dashboard!F67, "")</f>
        <v/>
      </c>
      <c r="U150" s="42"/>
      <c r="V150" s="45" t="str">
        <f>IF(AND(NOT(ISBLANK(U150)),Dashboard!F68&gt;0), U150/Dashboard!F68, "")</f>
        <v/>
      </c>
      <c r="W150" s="42"/>
      <c r="X150" s="45" t="str">
        <f>IF(AND(NOT(ISBLANK(W150)),Dashboard!F69&gt;0), W150/Dashboard!F69, "")</f>
        <v/>
      </c>
    </row>
    <row r="151" spans="2:24" x14ac:dyDescent="0.35">
      <c r="P151" s="55"/>
      <c r="Q151" s="42"/>
      <c r="R151" s="45" t="str">
        <f>IF(AND(NOT(ISBLANK(Q151)),Dashboard!F16&gt;0), Q151/Dashboard!F16, "")</f>
        <v/>
      </c>
      <c r="S151" s="42"/>
      <c r="T151" s="45" t="str">
        <f>IF(AND(NOT(ISBLANK(S151)),Dashboard!F67&gt;0), S151/Dashboard!F67, "")</f>
        <v/>
      </c>
      <c r="U151" s="42"/>
      <c r="V151" s="45" t="str">
        <f>IF(AND(NOT(ISBLANK(U151)),Dashboard!F68&gt;0), U151/Dashboard!F68, "")</f>
        <v/>
      </c>
      <c r="W151" s="42"/>
      <c r="X151" s="45" t="str">
        <f>IF(AND(NOT(ISBLANK(W151)),Dashboard!F69&gt;0), W151/Dashboard!F69, "")</f>
        <v/>
      </c>
    </row>
    <row r="152" spans="2:24" x14ac:dyDescent="0.35">
      <c r="P152" s="55"/>
      <c r="Q152" s="42"/>
      <c r="R152" s="45" t="str">
        <f>IF(AND(NOT(ISBLANK(Q152)),Dashboard!F16&gt;0), Q152/Dashboard!F16, "")</f>
        <v/>
      </c>
      <c r="S152" s="42"/>
      <c r="T152" s="45" t="str">
        <f>IF(AND(NOT(ISBLANK(S152)),Dashboard!F67&gt;0), S152/Dashboard!F67, "")</f>
        <v/>
      </c>
      <c r="U152" s="42"/>
      <c r="V152" s="45" t="str">
        <f>IF(AND(NOT(ISBLANK(U152)),Dashboard!F68&gt;0), U152/Dashboard!F68, "")</f>
        <v/>
      </c>
      <c r="W152" s="42"/>
      <c r="X152" s="45" t="str">
        <f>IF(AND(NOT(ISBLANK(W152)),Dashboard!F69&gt;0), W152/Dashboard!F69, "")</f>
        <v/>
      </c>
    </row>
    <row r="153" spans="2:24" x14ac:dyDescent="0.35">
      <c r="P153" s="55"/>
      <c r="Q153" s="42"/>
      <c r="R153" s="45" t="str">
        <f>IF(AND(NOT(ISBLANK(Q153)),Dashboard!F16&gt;0), Q153/Dashboard!F16, "")</f>
        <v/>
      </c>
      <c r="S153" s="42"/>
      <c r="T153" s="45" t="str">
        <f>IF(AND(NOT(ISBLANK(S153)),Dashboard!F67&gt;0), S153/Dashboard!F67, "")</f>
        <v/>
      </c>
      <c r="U153" s="42"/>
      <c r="V153" s="45" t="str">
        <f>IF(AND(NOT(ISBLANK(U153)),Dashboard!F68&gt;0), U153/Dashboard!F68, "")</f>
        <v/>
      </c>
      <c r="W153" s="42"/>
      <c r="X153" s="45" t="str">
        <f>IF(AND(NOT(ISBLANK(W153)),Dashboard!F69&gt;0), W153/Dashboard!F69, "")</f>
        <v/>
      </c>
    </row>
    <row r="158" spans="2:24" ht="21" x14ac:dyDescent="0.5">
      <c r="B158" s="39" t="s">
        <v>259</v>
      </c>
      <c r="P158" s="56" t="s">
        <v>260</v>
      </c>
    </row>
    <row r="160" spans="2:24" ht="45" customHeight="1" x14ac:dyDescent="0.35">
      <c r="B160" s="297" t="s">
        <v>261</v>
      </c>
      <c r="C160" s="290"/>
      <c r="D160" s="290"/>
      <c r="E160" s="290"/>
      <c r="F160" s="290"/>
      <c r="P160" s="297" t="s">
        <v>262</v>
      </c>
      <c r="Q160" s="290"/>
      <c r="R160" s="290"/>
      <c r="S160" s="290"/>
      <c r="T160" s="290"/>
      <c r="U160" s="290"/>
    </row>
    <row r="161" spans="16:22" ht="35" customHeight="1" x14ac:dyDescent="0.35">
      <c r="P161" s="294" t="s">
        <v>263</v>
      </c>
      <c r="Q161" s="294"/>
      <c r="R161" s="294" t="s">
        <v>264</v>
      </c>
      <c r="S161" s="294"/>
      <c r="T161" s="294"/>
    </row>
    <row r="162" spans="16:22" ht="30" customHeight="1" x14ac:dyDescent="0.35">
      <c r="P162" s="298">
        <v>0</v>
      </c>
      <c r="Q162" s="299"/>
      <c r="R162" s="300" t="s">
        <v>265</v>
      </c>
      <c r="S162" s="301"/>
      <c r="T162" s="301"/>
    </row>
    <row r="165" spans="16:22" ht="25" customHeight="1" x14ac:dyDescent="0.35">
      <c r="P165" s="65" t="s">
        <v>248</v>
      </c>
      <c r="Q165" s="65" t="s">
        <v>266</v>
      </c>
      <c r="R165" s="65" t="s">
        <v>267</v>
      </c>
      <c r="S165" s="302" t="s">
        <v>7</v>
      </c>
      <c r="T165" s="302"/>
      <c r="U165" s="302"/>
      <c r="V165" s="290"/>
    </row>
    <row r="166" spans="16:22" ht="20" customHeight="1" x14ac:dyDescent="0.35">
      <c r="P166" s="67"/>
      <c r="Q166" s="68"/>
      <c r="R166" s="69" t="str">
        <f>IF(AND(NOT(ISBLANK(Q166)), Dashboard!$P162&gt;0), Q166/Dashboard!$P162, "")</f>
        <v/>
      </c>
      <c r="S166" s="303"/>
      <c r="T166" s="304"/>
      <c r="U166" s="304"/>
      <c r="V166" s="304"/>
    </row>
    <row r="167" spans="16:22" ht="20" customHeight="1" x14ac:dyDescent="0.35">
      <c r="P167" s="67"/>
      <c r="Q167" s="68"/>
      <c r="R167" s="69" t="str">
        <f>IF(AND(NOT(ISBLANK(Q167)), Dashboard!$P162&gt;0), Q167/Dashboard!$P162, "")</f>
        <v/>
      </c>
      <c r="S167" s="303"/>
      <c r="T167" s="304"/>
      <c r="U167" s="304"/>
      <c r="V167" s="304"/>
    </row>
    <row r="168" spans="16:22" ht="20" customHeight="1" x14ac:dyDescent="0.35">
      <c r="P168" s="67"/>
      <c r="Q168" s="68"/>
      <c r="R168" s="69" t="str">
        <f>IF(AND(NOT(ISBLANK(Q168)), Dashboard!$P162&gt;0), Q168/Dashboard!$P162, "")</f>
        <v/>
      </c>
      <c r="S168" s="303"/>
      <c r="T168" s="304"/>
      <c r="U168" s="304"/>
      <c r="V168" s="304"/>
    </row>
    <row r="169" spans="16:22" ht="20" customHeight="1" x14ac:dyDescent="0.35">
      <c r="P169" s="67"/>
      <c r="Q169" s="68"/>
      <c r="R169" s="69" t="str">
        <f>IF(AND(NOT(ISBLANK(Q169)), Dashboard!$P162&gt;0), Q169/Dashboard!$P162, "")</f>
        <v/>
      </c>
      <c r="S169" s="303"/>
      <c r="T169" s="304"/>
      <c r="U169" s="304"/>
      <c r="V169" s="304"/>
    </row>
    <row r="170" spans="16:22" ht="20" customHeight="1" x14ac:dyDescent="0.35">
      <c r="P170" s="67"/>
      <c r="Q170" s="68"/>
      <c r="R170" s="69" t="str">
        <f>IF(AND(NOT(ISBLANK(Q170)), Dashboard!$P162&gt;0), Q170/Dashboard!$P162, "")</f>
        <v/>
      </c>
      <c r="S170" s="303"/>
      <c r="T170" s="304"/>
      <c r="U170" s="304"/>
      <c r="V170" s="304"/>
    </row>
    <row r="171" spans="16:22" ht="20" customHeight="1" x14ac:dyDescent="0.35">
      <c r="P171" s="67"/>
      <c r="Q171" s="68"/>
      <c r="R171" s="69" t="str">
        <f>IF(AND(NOT(ISBLANK(Q171)), Dashboard!$P162&gt;0), Q171/Dashboard!$P162, "")</f>
        <v/>
      </c>
      <c r="S171" s="303"/>
      <c r="T171" s="304"/>
      <c r="U171" s="304"/>
      <c r="V171" s="304"/>
    </row>
    <row r="172" spans="16:22" ht="20" customHeight="1" x14ac:dyDescent="0.35">
      <c r="P172" s="67"/>
      <c r="Q172" s="68"/>
      <c r="R172" s="69" t="str">
        <f>IF(AND(NOT(ISBLANK(Q172)), Dashboard!$P162&gt;0), Q172/Dashboard!$P162, "")</f>
        <v/>
      </c>
      <c r="S172" s="303"/>
      <c r="T172" s="304"/>
      <c r="U172" s="304"/>
      <c r="V172" s="304"/>
    </row>
    <row r="173" spans="16:22" ht="20" customHeight="1" x14ac:dyDescent="0.35">
      <c r="P173" s="67"/>
      <c r="Q173" s="68"/>
      <c r="R173" s="69" t="str">
        <f>IF(AND(NOT(ISBLANK(Q173)), Dashboard!$P162&gt;0), Q173/Dashboard!$P162, "")</f>
        <v/>
      </c>
      <c r="S173" s="303"/>
      <c r="T173" s="304"/>
      <c r="U173" s="304"/>
      <c r="V173" s="304"/>
    </row>
    <row r="174" spans="16:22" ht="20" customHeight="1" x14ac:dyDescent="0.35">
      <c r="P174" s="67"/>
      <c r="Q174" s="68"/>
      <c r="R174" s="69" t="str">
        <f>IF(AND(NOT(ISBLANK(Q174)), Dashboard!$P162&gt;0), Q174/Dashboard!$P162, "")</f>
        <v/>
      </c>
      <c r="S174" s="303"/>
      <c r="T174" s="304"/>
      <c r="U174" s="304"/>
      <c r="V174" s="304"/>
    </row>
    <row r="175" spans="16:22" ht="20" customHeight="1" x14ac:dyDescent="0.35">
      <c r="P175" s="67"/>
      <c r="Q175" s="68"/>
      <c r="R175" s="69" t="str">
        <f>IF(AND(NOT(ISBLANK(Q175)), Dashboard!$P162&gt;0), Q175/Dashboard!$P162, "")</f>
        <v/>
      </c>
      <c r="S175" s="303"/>
      <c r="T175" s="304"/>
      <c r="U175" s="304"/>
      <c r="V175" s="304"/>
    </row>
    <row r="176" spans="16:22" ht="20" customHeight="1" x14ac:dyDescent="0.35">
      <c r="P176" s="67"/>
      <c r="Q176" s="68"/>
      <c r="R176" s="69" t="str">
        <f>IF(AND(NOT(ISBLANK(Q176)), Dashboard!$P162&gt;0), Q176/Dashboard!$P162, "")</f>
        <v/>
      </c>
      <c r="S176" s="303"/>
      <c r="T176" s="304"/>
      <c r="U176" s="304"/>
      <c r="V176" s="304"/>
    </row>
    <row r="177" spans="2:22" ht="20" customHeight="1" x14ac:dyDescent="0.35">
      <c r="P177" s="67"/>
      <c r="Q177" s="68"/>
      <c r="R177" s="69" t="str">
        <f>IF(AND(NOT(ISBLANK(Q177)), Dashboard!$P162&gt;0), Q177/Dashboard!$P162, "")</f>
        <v/>
      </c>
      <c r="S177" s="303"/>
      <c r="T177" s="304"/>
      <c r="U177" s="304"/>
      <c r="V177" s="304"/>
    </row>
    <row r="178" spans="2:22" ht="20" customHeight="1" x14ac:dyDescent="0.35">
      <c r="P178" s="67"/>
      <c r="Q178" s="68"/>
      <c r="R178" s="69" t="str">
        <f>IF(AND(NOT(ISBLANK(Q178)), Dashboard!$P162&gt;0), Q178/Dashboard!$P162, "")</f>
        <v/>
      </c>
      <c r="S178" s="303"/>
      <c r="T178" s="304"/>
      <c r="U178" s="304"/>
      <c r="V178" s="304"/>
    </row>
    <row r="179" spans="2:22" ht="20" customHeight="1" x14ac:dyDescent="0.35">
      <c r="P179" s="67"/>
      <c r="Q179" s="68"/>
      <c r="R179" s="69" t="str">
        <f>IF(AND(NOT(ISBLANK(Q179)), Dashboard!$P162&gt;0), Q179/Dashboard!$P162, "")</f>
        <v/>
      </c>
      <c r="S179" s="303"/>
      <c r="T179" s="304"/>
      <c r="U179" s="304"/>
      <c r="V179" s="304"/>
    </row>
    <row r="180" spans="2:22" ht="20" customHeight="1" x14ac:dyDescent="0.35">
      <c r="P180" s="67"/>
      <c r="Q180" s="68"/>
      <c r="R180" s="69" t="str">
        <f>IF(AND(NOT(ISBLANK(Q180)), Dashboard!$P162&gt;0), Q180/Dashboard!$P162, "")</f>
        <v/>
      </c>
      <c r="S180" s="303"/>
      <c r="T180" s="304"/>
      <c r="U180" s="304"/>
      <c r="V180" s="304"/>
    </row>
    <row r="181" spans="2:22" ht="20" customHeight="1" x14ac:dyDescent="0.35">
      <c r="P181" s="67"/>
      <c r="Q181" s="68"/>
      <c r="R181" s="69" t="str">
        <f>IF(AND(NOT(ISBLANK(Q181)), Dashboard!$P162&gt;0), Q181/Dashboard!$P162, "")</f>
        <v/>
      </c>
      <c r="S181" s="303"/>
      <c r="T181" s="304"/>
      <c r="U181" s="304"/>
      <c r="V181" s="304"/>
    </row>
    <row r="182" spans="2:22" ht="20" customHeight="1" x14ac:dyDescent="0.35">
      <c r="P182" s="67"/>
      <c r="Q182" s="68"/>
      <c r="R182" s="69" t="str">
        <f>IF(AND(NOT(ISBLANK(Q182)), Dashboard!$P162&gt;0), Q182/Dashboard!$P162, "")</f>
        <v/>
      </c>
      <c r="S182" s="303"/>
      <c r="T182" s="304"/>
      <c r="U182" s="304"/>
      <c r="V182" s="304"/>
    </row>
    <row r="183" spans="2:22" ht="20" customHeight="1" x14ac:dyDescent="0.35">
      <c r="P183" s="67"/>
      <c r="Q183" s="68"/>
      <c r="R183" s="69" t="str">
        <f>IF(AND(NOT(ISBLANK(Q183)), Dashboard!$P162&gt;0), Q183/Dashboard!$P162, "")</f>
        <v/>
      </c>
      <c r="S183" s="303"/>
      <c r="T183" s="304"/>
      <c r="U183" s="304"/>
      <c r="V183" s="304"/>
    </row>
    <row r="184" spans="2:22" ht="20" customHeight="1" x14ac:dyDescent="0.35">
      <c r="P184" s="67"/>
      <c r="Q184" s="68"/>
      <c r="R184" s="69" t="str">
        <f>IF(AND(NOT(ISBLANK(Q184)), Dashboard!$P162&gt;0), Q184/Dashboard!$P162, "")</f>
        <v/>
      </c>
      <c r="S184" s="303"/>
      <c r="T184" s="304"/>
      <c r="U184" s="304"/>
      <c r="V184" s="304"/>
    </row>
    <row r="185" spans="2:22" ht="20" customHeight="1" x14ac:dyDescent="0.35">
      <c r="P185" s="67"/>
      <c r="Q185" s="68"/>
      <c r="R185" s="69" t="str">
        <f>IF(AND(NOT(ISBLANK(Q185)), Dashboard!$P162&gt;0), Q185/Dashboard!$P162, "")</f>
        <v/>
      </c>
      <c r="S185" s="303"/>
      <c r="T185" s="304"/>
      <c r="U185" s="304"/>
      <c r="V185" s="304"/>
    </row>
    <row r="189" spans="2:22" ht="32" customHeight="1" x14ac:dyDescent="0.35">
      <c r="B189" s="288" t="s">
        <v>118</v>
      </c>
      <c r="C189" s="288"/>
      <c r="D189" s="288"/>
      <c r="E189" s="288"/>
      <c r="F189" s="288"/>
      <c r="G189" s="288"/>
      <c r="H189" s="288"/>
      <c r="I189" s="288"/>
    </row>
  </sheetData>
  <mergeCells count="55">
    <mergeCell ref="B189:I189"/>
    <mergeCell ref="S181:V181"/>
    <mergeCell ref="S182:V182"/>
    <mergeCell ref="S183:V183"/>
    <mergeCell ref="S184:V184"/>
    <mergeCell ref="S185:V185"/>
    <mergeCell ref="S176:V176"/>
    <mergeCell ref="S177:V177"/>
    <mergeCell ref="S178:V178"/>
    <mergeCell ref="S179:V179"/>
    <mergeCell ref="S180:V180"/>
    <mergeCell ref="S171:V171"/>
    <mergeCell ref="S172:V172"/>
    <mergeCell ref="S173:V173"/>
    <mergeCell ref="S174:V174"/>
    <mergeCell ref="S175:V175"/>
    <mergeCell ref="S166:V166"/>
    <mergeCell ref="S167:V167"/>
    <mergeCell ref="S168:V168"/>
    <mergeCell ref="S169:V169"/>
    <mergeCell ref="S170:V170"/>
    <mergeCell ref="P161:Q161"/>
    <mergeCell ref="R161:T161"/>
    <mergeCell ref="P162:Q162"/>
    <mergeCell ref="R162:T162"/>
    <mergeCell ref="S165:V165"/>
    <mergeCell ref="C110:D110"/>
    <mergeCell ref="G110:H110"/>
    <mergeCell ref="B119:F119"/>
    <mergeCell ref="P119:W119"/>
    <mergeCell ref="B160:F160"/>
    <mergeCell ref="P160:U160"/>
    <mergeCell ref="C107:D107"/>
    <mergeCell ref="G107:H107"/>
    <mergeCell ref="C108:D108"/>
    <mergeCell ref="G108:H108"/>
    <mergeCell ref="C109:D109"/>
    <mergeCell ref="G109:H109"/>
    <mergeCell ref="C104:D104"/>
    <mergeCell ref="G104:H104"/>
    <mergeCell ref="C105:D105"/>
    <mergeCell ref="G105:H105"/>
    <mergeCell ref="C106:D106"/>
    <mergeCell ref="G106:H106"/>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5:H110">
    <cfRule type="expression" dxfId="80" priority="4">
      <formula>$G105&gt;=0.8</formula>
    </cfRule>
    <cfRule type="expression" dxfId="79" priority="5">
      <formula>AND($G105&gt;=0.5,$G105&lt;0.8)</formula>
    </cfRule>
    <cfRule type="expression" dxfId="78" priority="6">
      <formula>$G105&lt;0.5</formula>
    </cfRule>
  </conditionalFormatting>
  <conditionalFormatting sqref="K105:K110">
    <cfRule type="cellIs" dxfId="77" priority="7" operator="greaterThan">
      <formula>0</formula>
    </cfRule>
  </conditionalFormatting>
  <conditionalFormatting sqref="L105:L110">
    <cfRule type="cellIs" dxfId="76" priority="8" operator="greaterThan">
      <formula>0</formula>
    </cfRule>
  </conditionalFormatting>
  <conditionalFormatting sqref="M105:M110">
    <cfRule type="cellIs" dxfId="75" priority="9" operator="greaterThan">
      <formula>0</formula>
    </cfRule>
  </conditionalFormatting>
  <conditionalFormatting sqref="N105:N110">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4" xr:uid="{00000000-0002-0000-0100-000000000000}">
      <formula1>0</formula1>
      <formula2>C16</formula2>
    </dataValidation>
    <dataValidation type="whole" allowBlank="1" showErrorMessage="1" errorTitle="Invalid count" error="Value must be between 0 and the current implemented total." sqref="S124" xr:uid="{00000000-0002-0000-0100-000001000000}">
      <formula1>0</formula1>
      <formula2>C67</formula2>
    </dataValidation>
    <dataValidation type="whole" allowBlank="1" showErrorMessage="1" errorTitle="Invalid count" error="Value must be between 0 and the current implemented total." sqref="U124" xr:uid="{00000000-0002-0000-0100-000002000000}">
      <formula1>0</formula1>
      <formula2>C68</formula2>
    </dataValidation>
    <dataValidation type="whole" allowBlank="1" showErrorMessage="1" errorTitle="Invalid count" error="Value must be between 0 and the current implemented total." sqref="W124" xr:uid="{00000000-0002-0000-0100-000003000000}">
      <formula1>0</formula1>
      <formula2>C69</formula2>
    </dataValidation>
    <dataValidation type="whole" allowBlank="1" showErrorMessage="1" errorTitle="Invalid overall count" error="Overall count must be between 0 and the current implemented total." sqref="Q125" xr:uid="{00000000-0002-0000-0100-000004000000}">
      <formula1>0</formula1>
      <formula2>C16</formula2>
    </dataValidation>
    <dataValidation type="whole" allowBlank="1" showErrorMessage="1" errorTitle="Invalid count" error="Value must be between 0 and the current implemented total." sqref="S125" xr:uid="{00000000-0002-0000-0100-000005000000}">
      <formula1>0</formula1>
      <formula2>C67</formula2>
    </dataValidation>
    <dataValidation type="whole" allowBlank="1" showErrorMessage="1" errorTitle="Invalid count" error="Value must be between 0 and the current implemented total." sqref="U125" xr:uid="{00000000-0002-0000-0100-000006000000}">
      <formula1>0</formula1>
      <formula2>C68</formula2>
    </dataValidation>
    <dataValidation type="whole" allowBlank="1" showErrorMessage="1" errorTitle="Invalid count" error="Value must be between 0 and the current implemented total." sqref="W125" xr:uid="{00000000-0002-0000-0100-000007000000}">
      <formula1>0</formula1>
      <formula2>C69</formula2>
    </dataValidation>
    <dataValidation type="whole" allowBlank="1" showErrorMessage="1" errorTitle="Invalid overall count" error="Overall count must be between 0 and the current implemented total." sqref="Q126" xr:uid="{00000000-0002-0000-0100-000008000000}">
      <formula1>0</formula1>
      <formula2>C16</formula2>
    </dataValidation>
    <dataValidation type="whole" allowBlank="1" showErrorMessage="1" errorTitle="Invalid count" error="Value must be between 0 and the current implemented total." sqref="S126" xr:uid="{00000000-0002-0000-0100-000009000000}">
      <formula1>0</formula1>
      <formula2>C67</formula2>
    </dataValidation>
    <dataValidation type="whole" allowBlank="1" showErrorMessage="1" errorTitle="Invalid count" error="Value must be between 0 and the current implemented total." sqref="U126" xr:uid="{00000000-0002-0000-0100-00000A000000}">
      <formula1>0</formula1>
      <formula2>C68</formula2>
    </dataValidation>
    <dataValidation type="whole" allowBlank="1" showErrorMessage="1" errorTitle="Invalid count" error="Value must be between 0 and the current implemented total." sqref="W126" xr:uid="{00000000-0002-0000-0100-00000B000000}">
      <formula1>0</formula1>
      <formula2>C69</formula2>
    </dataValidation>
    <dataValidation type="whole" allowBlank="1" showErrorMessage="1" errorTitle="Invalid overall count" error="Overall count must be between 0 and the current implemented total." sqref="Q127" xr:uid="{00000000-0002-0000-0100-00000C000000}">
      <formula1>0</formula1>
      <formula2>C16</formula2>
    </dataValidation>
    <dataValidation type="whole" allowBlank="1" showErrorMessage="1" errorTitle="Invalid count" error="Value must be between 0 and the current implemented total." sqref="S127" xr:uid="{00000000-0002-0000-0100-00000D000000}">
      <formula1>0</formula1>
      <formula2>C67</formula2>
    </dataValidation>
    <dataValidation type="whole" allowBlank="1" showErrorMessage="1" errorTitle="Invalid count" error="Value must be between 0 and the current implemented total." sqref="U127" xr:uid="{00000000-0002-0000-0100-00000E000000}">
      <formula1>0</formula1>
      <formula2>C68</formula2>
    </dataValidation>
    <dataValidation type="whole" allowBlank="1" showErrorMessage="1" errorTitle="Invalid count" error="Value must be between 0 and the current implemented total." sqref="W127" xr:uid="{00000000-0002-0000-0100-00000F000000}">
      <formula1>0</formula1>
      <formula2>C69</formula2>
    </dataValidation>
    <dataValidation type="whole" allowBlank="1" showErrorMessage="1" errorTitle="Invalid overall count" error="Overall count must be between 0 and the current implemented total." sqref="Q128" xr:uid="{00000000-0002-0000-0100-000010000000}">
      <formula1>0</formula1>
      <formula2>C16</formula2>
    </dataValidation>
    <dataValidation type="whole" allowBlank="1" showErrorMessage="1" errorTitle="Invalid count" error="Value must be between 0 and the current implemented total." sqref="S128" xr:uid="{00000000-0002-0000-0100-000011000000}">
      <formula1>0</formula1>
      <formula2>C67</formula2>
    </dataValidation>
    <dataValidation type="whole" allowBlank="1" showErrorMessage="1" errorTitle="Invalid count" error="Value must be between 0 and the current implemented total." sqref="U128" xr:uid="{00000000-0002-0000-0100-000012000000}">
      <formula1>0</formula1>
      <formula2>C68</formula2>
    </dataValidation>
    <dataValidation type="whole" allowBlank="1" showErrorMessage="1" errorTitle="Invalid count" error="Value must be between 0 and the current implemented total." sqref="W128" xr:uid="{00000000-0002-0000-0100-000013000000}">
      <formula1>0</formula1>
      <formula2>C69</formula2>
    </dataValidation>
    <dataValidation type="whole" allowBlank="1" showErrorMessage="1" errorTitle="Invalid overall count" error="Overall count must be between 0 and the current implemented total." sqref="Q129" xr:uid="{00000000-0002-0000-0100-000014000000}">
      <formula1>0</formula1>
      <formula2>C16</formula2>
    </dataValidation>
    <dataValidation type="whole" allowBlank="1" showErrorMessage="1" errorTitle="Invalid count" error="Value must be between 0 and the current implemented total." sqref="S129" xr:uid="{00000000-0002-0000-0100-000015000000}">
      <formula1>0</formula1>
      <formula2>C67</formula2>
    </dataValidation>
    <dataValidation type="whole" allowBlank="1" showErrorMessage="1" errorTitle="Invalid count" error="Value must be between 0 and the current implemented total." sqref="U129" xr:uid="{00000000-0002-0000-0100-000016000000}">
      <formula1>0</formula1>
      <formula2>C68</formula2>
    </dataValidation>
    <dataValidation type="whole" allowBlank="1" showErrorMessage="1" errorTitle="Invalid count" error="Value must be between 0 and the current implemented total." sqref="W129" xr:uid="{00000000-0002-0000-0100-000017000000}">
      <formula1>0</formula1>
      <formula2>C69</formula2>
    </dataValidation>
    <dataValidation type="whole" allowBlank="1" showErrorMessage="1" errorTitle="Invalid overall count" error="Overall count must be between 0 and the current implemented total." sqref="Q130" xr:uid="{00000000-0002-0000-0100-000018000000}">
      <formula1>0</formula1>
      <formula2>C16</formula2>
    </dataValidation>
    <dataValidation type="whole" allowBlank="1" showErrorMessage="1" errorTitle="Invalid count" error="Value must be between 0 and the current implemented total." sqref="S130" xr:uid="{00000000-0002-0000-0100-000019000000}">
      <formula1>0</formula1>
      <formula2>C67</formula2>
    </dataValidation>
    <dataValidation type="whole" allowBlank="1" showErrorMessage="1" errorTitle="Invalid count" error="Value must be between 0 and the current implemented total." sqref="U130" xr:uid="{00000000-0002-0000-0100-00001A000000}">
      <formula1>0</formula1>
      <formula2>C68</formula2>
    </dataValidation>
    <dataValidation type="whole" allowBlank="1" showErrorMessage="1" errorTitle="Invalid count" error="Value must be between 0 and the current implemented total." sqref="W130" xr:uid="{00000000-0002-0000-0100-00001B000000}">
      <formula1>0</formula1>
      <formula2>C69</formula2>
    </dataValidation>
    <dataValidation type="whole" allowBlank="1" showErrorMessage="1" errorTitle="Invalid overall count" error="Overall count must be between 0 and the current implemented total." sqref="Q131" xr:uid="{00000000-0002-0000-0100-00001C000000}">
      <formula1>0</formula1>
      <formula2>C16</formula2>
    </dataValidation>
    <dataValidation type="whole" allowBlank="1" showErrorMessage="1" errorTitle="Invalid count" error="Value must be between 0 and the current implemented total." sqref="S131" xr:uid="{00000000-0002-0000-0100-00001D000000}">
      <formula1>0</formula1>
      <formula2>C67</formula2>
    </dataValidation>
    <dataValidation type="whole" allowBlank="1" showErrorMessage="1" errorTitle="Invalid count" error="Value must be between 0 and the current implemented total." sqref="U131" xr:uid="{00000000-0002-0000-0100-00001E000000}">
      <formula1>0</formula1>
      <formula2>C68</formula2>
    </dataValidation>
    <dataValidation type="whole" allowBlank="1" showErrorMessage="1" errorTitle="Invalid count" error="Value must be between 0 and the current implemented total." sqref="W131" xr:uid="{00000000-0002-0000-0100-00001F000000}">
      <formula1>0</formula1>
      <formula2>C69</formula2>
    </dataValidation>
    <dataValidation type="whole" allowBlank="1" showErrorMessage="1" errorTitle="Invalid overall count" error="Overall count must be between 0 and the current implemented total." sqref="Q132" xr:uid="{00000000-0002-0000-0100-000020000000}">
      <formula1>0</formula1>
      <formula2>C16</formula2>
    </dataValidation>
    <dataValidation type="whole" allowBlank="1" showErrorMessage="1" errorTitle="Invalid count" error="Value must be between 0 and the current implemented total." sqref="S132" xr:uid="{00000000-0002-0000-0100-000021000000}">
      <formula1>0</formula1>
      <formula2>C67</formula2>
    </dataValidation>
    <dataValidation type="whole" allowBlank="1" showErrorMessage="1" errorTitle="Invalid count" error="Value must be between 0 and the current implemented total." sqref="U132" xr:uid="{00000000-0002-0000-0100-000022000000}">
      <formula1>0</formula1>
      <formula2>C68</formula2>
    </dataValidation>
    <dataValidation type="whole" allowBlank="1" showErrorMessage="1" errorTitle="Invalid count" error="Value must be between 0 and the current implemented total." sqref="W132" xr:uid="{00000000-0002-0000-0100-000023000000}">
      <formula1>0</formula1>
      <formula2>C69</formula2>
    </dataValidation>
    <dataValidation type="whole" allowBlank="1" showErrorMessage="1" errorTitle="Invalid overall count" error="Overall count must be between 0 and the current implemented total." sqref="Q133" xr:uid="{00000000-0002-0000-0100-000024000000}">
      <formula1>0</formula1>
      <formula2>C16</formula2>
    </dataValidation>
    <dataValidation type="whole" allowBlank="1" showErrorMessage="1" errorTitle="Invalid count" error="Value must be between 0 and the current implemented total." sqref="S133" xr:uid="{00000000-0002-0000-0100-000025000000}">
      <formula1>0</formula1>
      <formula2>C67</formula2>
    </dataValidation>
    <dataValidation type="whole" allowBlank="1" showErrorMessage="1" errorTitle="Invalid count" error="Value must be between 0 and the current implemented total." sqref="U133" xr:uid="{00000000-0002-0000-0100-000026000000}">
      <formula1>0</formula1>
      <formula2>C68</formula2>
    </dataValidation>
    <dataValidation type="whole" allowBlank="1" showErrorMessage="1" errorTitle="Invalid count" error="Value must be between 0 and the current implemented total." sqref="W133" xr:uid="{00000000-0002-0000-0100-000027000000}">
      <formula1>0</formula1>
      <formula2>C69</formula2>
    </dataValidation>
    <dataValidation type="whole" allowBlank="1" showErrorMessage="1" errorTitle="Invalid overall count" error="Overall count must be between 0 and the current implemented total." sqref="Q134" xr:uid="{00000000-0002-0000-0100-000028000000}">
      <formula1>0</formula1>
      <formula2>C16</formula2>
    </dataValidation>
    <dataValidation type="whole" allowBlank="1" showErrorMessage="1" errorTitle="Invalid count" error="Value must be between 0 and the current implemented total." sqref="S134" xr:uid="{00000000-0002-0000-0100-000029000000}">
      <formula1>0</formula1>
      <formula2>C67</formula2>
    </dataValidation>
    <dataValidation type="whole" allowBlank="1" showErrorMessage="1" errorTitle="Invalid count" error="Value must be between 0 and the current implemented total." sqref="U134" xr:uid="{00000000-0002-0000-0100-00002A000000}">
      <formula1>0</formula1>
      <formula2>C68</formula2>
    </dataValidation>
    <dataValidation type="whole" allowBlank="1" showErrorMessage="1" errorTitle="Invalid count" error="Value must be between 0 and the current implemented total." sqref="W134" xr:uid="{00000000-0002-0000-0100-00002B000000}">
      <formula1>0</formula1>
      <formula2>C69</formula2>
    </dataValidation>
    <dataValidation type="whole" allowBlank="1" showErrorMessage="1" errorTitle="Invalid overall count" error="Overall count must be between 0 and the current implemented total." sqref="Q135" xr:uid="{00000000-0002-0000-0100-00002C000000}">
      <formula1>0</formula1>
      <formula2>C16</formula2>
    </dataValidation>
    <dataValidation type="whole" allowBlank="1" showErrorMessage="1" errorTitle="Invalid count" error="Value must be between 0 and the current implemented total." sqref="S135" xr:uid="{00000000-0002-0000-0100-00002D000000}">
      <formula1>0</formula1>
      <formula2>C67</formula2>
    </dataValidation>
    <dataValidation type="whole" allowBlank="1" showErrorMessage="1" errorTitle="Invalid count" error="Value must be between 0 and the current implemented total." sqref="U135" xr:uid="{00000000-0002-0000-0100-00002E000000}">
      <formula1>0</formula1>
      <formula2>C68</formula2>
    </dataValidation>
    <dataValidation type="whole" allowBlank="1" showErrorMessage="1" errorTitle="Invalid count" error="Value must be between 0 and the current implemented total." sqref="W135" xr:uid="{00000000-0002-0000-0100-00002F000000}">
      <formula1>0</formula1>
      <formula2>C69</formula2>
    </dataValidation>
    <dataValidation type="whole" allowBlank="1" showErrorMessage="1" errorTitle="Invalid overall count" error="Overall count must be between 0 and the current implemented total." sqref="Q136" xr:uid="{00000000-0002-0000-0100-000030000000}">
      <formula1>0</formula1>
      <formula2>C16</formula2>
    </dataValidation>
    <dataValidation type="whole" allowBlank="1" showErrorMessage="1" errorTitle="Invalid count" error="Value must be between 0 and the current implemented total." sqref="S136" xr:uid="{00000000-0002-0000-0100-000031000000}">
      <formula1>0</formula1>
      <formula2>C67</formula2>
    </dataValidation>
    <dataValidation type="whole" allowBlank="1" showErrorMessage="1" errorTitle="Invalid count" error="Value must be between 0 and the current implemented total." sqref="U136" xr:uid="{00000000-0002-0000-0100-000032000000}">
      <formula1>0</formula1>
      <formula2>C68</formula2>
    </dataValidation>
    <dataValidation type="whole" allowBlank="1" showErrorMessage="1" errorTitle="Invalid count" error="Value must be between 0 and the current implemented total." sqref="W136" xr:uid="{00000000-0002-0000-0100-000033000000}">
      <formula1>0</formula1>
      <formula2>C69</formula2>
    </dataValidation>
    <dataValidation type="whole" allowBlank="1" showErrorMessage="1" errorTitle="Invalid overall count" error="Overall count must be between 0 and the current implemented total." sqref="Q137" xr:uid="{00000000-0002-0000-0100-000034000000}">
      <formula1>0</formula1>
      <formula2>C16</formula2>
    </dataValidation>
    <dataValidation type="whole" allowBlank="1" showErrorMessage="1" errorTitle="Invalid count" error="Value must be between 0 and the current implemented total." sqref="S137" xr:uid="{00000000-0002-0000-0100-000035000000}">
      <formula1>0</formula1>
      <formula2>C67</formula2>
    </dataValidation>
    <dataValidation type="whole" allowBlank="1" showErrorMessage="1" errorTitle="Invalid count" error="Value must be between 0 and the current implemented total." sqref="U137" xr:uid="{00000000-0002-0000-0100-000036000000}">
      <formula1>0</formula1>
      <formula2>C68</formula2>
    </dataValidation>
    <dataValidation type="whole" allowBlank="1" showErrorMessage="1" errorTitle="Invalid count" error="Value must be between 0 and the current implemented total." sqref="W137" xr:uid="{00000000-0002-0000-0100-000037000000}">
      <formula1>0</formula1>
      <formula2>C69</formula2>
    </dataValidation>
    <dataValidation type="whole" allowBlank="1" showErrorMessage="1" errorTitle="Invalid overall count" error="Overall count must be between 0 and the current implemented total." sqref="Q138" xr:uid="{00000000-0002-0000-0100-000038000000}">
      <formula1>0</formula1>
      <formula2>C16</formula2>
    </dataValidation>
    <dataValidation type="whole" allowBlank="1" showErrorMessage="1" errorTitle="Invalid count" error="Value must be between 0 and the current implemented total." sqref="S138" xr:uid="{00000000-0002-0000-0100-000039000000}">
      <formula1>0</formula1>
      <formula2>C67</formula2>
    </dataValidation>
    <dataValidation type="whole" allowBlank="1" showErrorMessage="1" errorTitle="Invalid count" error="Value must be between 0 and the current implemented total." sqref="U138" xr:uid="{00000000-0002-0000-0100-00003A000000}">
      <formula1>0</formula1>
      <formula2>C68</formula2>
    </dataValidation>
    <dataValidation type="whole" allowBlank="1" showErrorMessage="1" errorTitle="Invalid count" error="Value must be between 0 and the current implemented total." sqref="W138" xr:uid="{00000000-0002-0000-0100-00003B000000}">
      <formula1>0</formula1>
      <formula2>C69</formula2>
    </dataValidation>
    <dataValidation type="whole" allowBlank="1" showErrorMessage="1" errorTitle="Invalid overall count" error="Overall count must be between 0 and the current implemented total." sqref="Q139" xr:uid="{00000000-0002-0000-0100-00003C000000}">
      <formula1>0</formula1>
      <formula2>C16</formula2>
    </dataValidation>
    <dataValidation type="whole" allowBlank="1" showErrorMessage="1" errorTitle="Invalid count" error="Value must be between 0 and the current implemented total." sqref="S139" xr:uid="{00000000-0002-0000-0100-00003D000000}">
      <formula1>0</formula1>
      <formula2>C67</formula2>
    </dataValidation>
    <dataValidation type="whole" allowBlank="1" showErrorMessage="1" errorTitle="Invalid count" error="Value must be between 0 and the current implemented total." sqref="U139" xr:uid="{00000000-0002-0000-0100-00003E000000}">
      <formula1>0</formula1>
      <formula2>C68</formula2>
    </dataValidation>
    <dataValidation type="whole" allowBlank="1" showErrorMessage="1" errorTitle="Invalid count" error="Value must be between 0 and the current implemented total." sqref="W139" xr:uid="{00000000-0002-0000-0100-00003F000000}">
      <formula1>0</formula1>
      <formula2>C69</formula2>
    </dataValidation>
    <dataValidation type="whole" allowBlank="1" showErrorMessage="1" errorTitle="Invalid overall count" error="Overall count must be between 0 and the current implemented total." sqref="Q140" xr:uid="{00000000-0002-0000-0100-000040000000}">
      <formula1>0</formula1>
      <formula2>C16</formula2>
    </dataValidation>
    <dataValidation type="whole" allowBlank="1" showErrorMessage="1" errorTitle="Invalid count" error="Value must be between 0 and the current implemented total." sqref="S140" xr:uid="{00000000-0002-0000-0100-000041000000}">
      <formula1>0</formula1>
      <formula2>C67</formula2>
    </dataValidation>
    <dataValidation type="whole" allowBlank="1" showErrorMessage="1" errorTitle="Invalid count" error="Value must be between 0 and the current implemented total." sqref="U140" xr:uid="{00000000-0002-0000-0100-000042000000}">
      <formula1>0</formula1>
      <formula2>C68</formula2>
    </dataValidation>
    <dataValidation type="whole" allowBlank="1" showErrorMessage="1" errorTitle="Invalid count" error="Value must be between 0 and the current implemented total." sqref="W140" xr:uid="{00000000-0002-0000-0100-000043000000}">
      <formula1>0</formula1>
      <formula2>C69</formula2>
    </dataValidation>
    <dataValidation type="whole" allowBlank="1" showErrorMessage="1" errorTitle="Invalid overall count" error="Overall count must be between 0 and the current implemented total." sqref="Q141" xr:uid="{00000000-0002-0000-0100-000044000000}">
      <formula1>0</formula1>
      <formula2>C16</formula2>
    </dataValidation>
    <dataValidation type="whole" allowBlank="1" showErrorMessage="1" errorTitle="Invalid count" error="Value must be between 0 and the current implemented total." sqref="S141" xr:uid="{00000000-0002-0000-0100-000045000000}">
      <formula1>0</formula1>
      <formula2>C67</formula2>
    </dataValidation>
    <dataValidation type="whole" allowBlank="1" showErrorMessage="1" errorTitle="Invalid count" error="Value must be between 0 and the current implemented total." sqref="U141" xr:uid="{00000000-0002-0000-0100-000046000000}">
      <formula1>0</formula1>
      <formula2>C68</formula2>
    </dataValidation>
    <dataValidation type="whole" allowBlank="1" showErrorMessage="1" errorTitle="Invalid count" error="Value must be between 0 and the current implemented total." sqref="W141" xr:uid="{00000000-0002-0000-0100-000047000000}">
      <formula1>0</formula1>
      <formula2>C69</formula2>
    </dataValidation>
    <dataValidation type="whole" allowBlank="1" showErrorMessage="1" errorTitle="Invalid overall count" error="Overall count must be between 0 and the current implemented total." sqref="Q142" xr:uid="{00000000-0002-0000-0100-000048000000}">
      <formula1>0</formula1>
      <formula2>C16</formula2>
    </dataValidation>
    <dataValidation type="whole" allowBlank="1" showErrorMessage="1" errorTitle="Invalid count" error="Value must be between 0 and the current implemented total." sqref="S142" xr:uid="{00000000-0002-0000-0100-000049000000}">
      <formula1>0</formula1>
      <formula2>C67</formula2>
    </dataValidation>
    <dataValidation type="whole" allowBlank="1" showErrorMessage="1" errorTitle="Invalid count" error="Value must be between 0 and the current implemented total." sqref="U142" xr:uid="{00000000-0002-0000-0100-00004A000000}">
      <formula1>0</formula1>
      <formula2>C68</formula2>
    </dataValidation>
    <dataValidation type="whole" allowBlank="1" showErrorMessage="1" errorTitle="Invalid count" error="Value must be between 0 and the current implemented total." sqref="W142" xr:uid="{00000000-0002-0000-0100-00004B000000}">
      <formula1>0</formula1>
      <formula2>C69</formula2>
    </dataValidation>
    <dataValidation type="whole" allowBlank="1" showErrorMessage="1" errorTitle="Invalid overall count" error="Overall count must be between 0 and the current implemented total." sqref="Q143" xr:uid="{00000000-0002-0000-0100-00004C000000}">
      <formula1>0</formula1>
      <formula2>C16</formula2>
    </dataValidation>
    <dataValidation type="whole" allowBlank="1" showErrorMessage="1" errorTitle="Invalid count" error="Value must be between 0 and the current implemented total." sqref="S143" xr:uid="{00000000-0002-0000-0100-00004D000000}">
      <formula1>0</formula1>
      <formula2>C67</formula2>
    </dataValidation>
    <dataValidation type="whole" allowBlank="1" showErrorMessage="1" errorTitle="Invalid count" error="Value must be between 0 and the current implemented total." sqref="U143" xr:uid="{00000000-0002-0000-0100-00004E000000}">
      <formula1>0</formula1>
      <formula2>C68</formula2>
    </dataValidation>
    <dataValidation type="whole" allowBlank="1" showErrorMessage="1" errorTitle="Invalid count" error="Value must be between 0 and the current implemented total." sqref="W143" xr:uid="{00000000-0002-0000-0100-00004F000000}">
      <formula1>0</formula1>
      <formula2>C69</formula2>
    </dataValidation>
    <dataValidation type="whole" allowBlank="1" showErrorMessage="1" errorTitle="Invalid overall count" error="Overall count must be between 0 and the current implemented total." sqref="Q144" xr:uid="{00000000-0002-0000-0100-000050000000}">
      <formula1>0</formula1>
      <formula2>C16</formula2>
    </dataValidation>
    <dataValidation type="whole" allowBlank="1" showErrorMessage="1" errorTitle="Invalid count" error="Value must be between 0 and the current implemented total." sqref="S144" xr:uid="{00000000-0002-0000-0100-000051000000}">
      <formula1>0</formula1>
      <formula2>C67</formula2>
    </dataValidation>
    <dataValidation type="whole" allowBlank="1" showErrorMessage="1" errorTitle="Invalid count" error="Value must be between 0 and the current implemented total." sqref="U144" xr:uid="{00000000-0002-0000-0100-000052000000}">
      <formula1>0</formula1>
      <formula2>C68</formula2>
    </dataValidation>
    <dataValidation type="whole" allowBlank="1" showErrorMessage="1" errorTitle="Invalid count" error="Value must be between 0 and the current implemented total." sqref="W144" xr:uid="{00000000-0002-0000-0100-000053000000}">
      <formula1>0</formula1>
      <formula2>C69</formula2>
    </dataValidation>
    <dataValidation type="whole" allowBlank="1" showErrorMessage="1" errorTitle="Invalid overall count" error="Overall count must be between 0 and the current implemented total." sqref="Q145" xr:uid="{00000000-0002-0000-0100-000054000000}">
      <formula1>0</formula1>
      <formula2>C16</formula2>
    </dataValidation>
    <dataValidation type="whole" allowBlank="1" showErrorMessage="1" errorTitle="Invalid count" error="Value must be between 0 and the current implemented total." sqref="S145" xr:uid="{00000000-0002-0000-0100-000055000000}">
      <formula1>0</formula1>
      <formula2>C67</formula2>
    </dataValidation>
    <dataValidation type="whole" allowBlank="1" showErrorMessage="1" errorTitle="Invalid count" error="Value must be between 0 and the current implemented total." sqref="U145" xr:uid="{00000000-0002-0000-0100-000056000000}">
      <formula1>0</formula1>
      <formula2>C68</formula2>
    </dataValidation>
    <dataValidation type="whole" allowBlank="1" showErrorMessage="1" errorTitle="Invalid count" error="Value must be between 0 and the current implemented total." sqref="W145" xr:uid="{00000000-0002-0000-0100-000057000000}">
      <formula1>0</formula1>
      <formula2>C69</formula2>
    </dataValidation>
    <dataValidation type="whole" allowBlank="1" showErrorMessage="1" errorTitle="Invalid overall count" error="Overall count must be between 0 and the current implemented total." sqref="Q146" xr:uid="{00000000-0002-0000-0100-000058000000}">
      <formula1>0</formula1>
      <formula2>C16</formula2>
    </dataValidation>
    <dataValidation type="whole" allowBlank="1" showErrorMessage="1" errorTitle="Invalid count" error="Value must be between 0 and the current implemented total." sqref="S146" xr:uid="{00000000-0002-0000-0100-000059000000}">
      <formula1>0</formula1>
      <formula2>C67</formula2>
    </dataValidation>
    <dataValidation type="whole" allowBlank="1" showErrorMessage="1" errorTitle="Invalid count" error="Value must be between 0 and the current implemented total." sqref="U146" xr:uid="{00000000-0002-0000-0100-00005A000000}">
      <formula1>0</formula1>
      <formula2>C68</formula2>
    </dataValidation>
    <dataValidation type="whole" allowBlank="1" showErrorMessage="1" errorTitle="Invalid count" error="Value must be between 0 and the current implemented total." sqref="W146" xr:uid="{00000000-0002-0000-0100-00005B000000}">
      <formula1>0</formula1>
      <formula2>C69</formula2>
    </dataValidation>
    <dataValidation type="whole" allowBlank="1" showErrorMessage="1" errorTitle="Invalid overall count" error="Overall count must be between 0 and the current implemented total." sqref="Q147" xr:uid="{00000000-0002-0000-0100-00005C000000}">
      <formula1>0</formula1>
      <formula2>C16</formula2>
    </dataValidation>
    <dataValidation type="whole" allowBlank="1" showErrorMessage="1" errorTitle="Invalid count" error="Value must be between 0 and the current implemented total." sqref="S147" xr:uid="{00000000-0002-0000-0100-00005D000000}">
      <formula1>0</formula1>
      <formula2>C67</formula2>
    </dataValidation>
    <dataValidation type="whole" allowBlank="1" showErrorMessage="1" errorTitle="Invalid count" error="Value must be between 0 and the current implemented total." sqref="U147" xr:uid="{00000000-0002-0000-0100-00005E000000}">
      <formula1>0</formula1>
      <formula2>C68</formula2>
    </dataValidation>
    <dataValidation type="whole" allowBlank="1" showErrorMessage="1" errorTitle="Invalid count" error="Value must be between 0 and the current implemented total." sqref="W147" xr:uid="{00000000-0002-0000-0100-00005F000000}">
      <formula1>0</formula1>
      <formula2>C69</formula2>
    </dataValidation>
    <dataValidation type="whole" allowBlank="1" showErrorMessage="1" errorTitle="Invalid overall count" error="Overall count must be between 0 and the current implemented total." sqref="Q148" xr:uid="{00000000-0002-0000-0100-000060000000}">
      <formula1>0</formula1>
      <formula2>C16</formula2>
    </dataValidation>
    <dataValidation type="whole" allowBlank="1" showErrorMessage="1" errorTitle="Invalid count" error="Value must be between 0 and the current implemented total." sqref="S148" xr:uid="{00000000-0002-0000-0100-000061000000}">
      <formula1>0</formula1>
      <formula2>C67</formula2>
    </dataValidation>
    <dataValidation type="whole" allowBlank="1" showErrorMessage="1" errorTitle="Invalid count" error="Value must be between 0 and the current implemented total." sqref="U148" xr:uid="{00000000-0002-0000-0100-000062000000}">
      <formula1>0</formula1>
      <formula2>C68</formula2>
    </dataValidation>
    <dataValidation type="whole" allowBlank="1" showErrorMessage="1" errorTitle="Invalid count" error="Value must be between 0 and the current implemented total." sqref="W148" xr:uid="{00000000-0002-0000-0100-000063000000}">
      <formula1>0</formula1>
      <formula2>C69</formula2>
    </dataValidation>
    <dataValidation type="whole" allowBlank="1" showErrorMessage="1" errorTitle="Invalid overall count" error="Overall count must be between 0 and the current implemented total." sqref="Q149" xr:uid="{00000000-0002-0000-0100-000064000000}">
      <formula1>0</formula1>
      <formula2>C16</formula2>
    </dataValidation>
    <dataValidation type="whole" allowBlank="1" showErrorMessage="1" errorTitle="Invalid count" error="Value must be between 0 and the current implemented total." sqref="S149" xr:uid="{00000000-0002-0000-0100-000065000000}">
      <formula1>0</formula1>
      <formula2>C67</formula2>
    </dataValidation>
    <dataValidation type="whole" allowBlank="1" showErrorMessage="1" errorTitle="Invalid count" error="Value must be between 0 and the current implemented total." sqref="U149" xr:uid="{00000000-0002-0000-0100-000066000000}">
      <formula1>0</formula1>
      <formula2>C68</formula2>
    </dataValidation>
    <dataValidation type="whole" allowBlank="1" showErrorMessage="1" errorTitle="Invalid count" error="Value must be between 0 and the current implemented total." sqref="W149" xr:uid="{00000000-0002-0000-0100-000067000000}">
      <formula1>0</formula1>
      <formula2>C69</formula2>
    </dataValidation>
    <dataValidation type="whole" allowBlank="1" showErrorMessage="1" errorTitle="Invalid overall count" error="Overall count must be between 0 and the current implemented total." sqref="Q150" xr:uid="{00000000-0002-0000-0100-000068000000}">
      <formula1>0</formula1>
      <formula2>C16</formula2>
    </dataValidation>
    <dataValidation type="whole" allowBlank="1" showErrorMessage="1" errorTitle="Invalid count" error="Value must be between 0 and the current implemented total." sqref="S150" xr:uid="{00000000-0002-0000-0100-000069000000}">
      <formula1>0</formula1>
      <formula2>C67</formula2>
    </dataValidation>
    <dataValidation type="whole" allowBlank="1" showErrorMessage="1" errorTitle="Invalid count" error="Value must be between 0 and the current implemented total." sqref="U150" xr:uid="{00000000-0002-0000-0100-00006A000000}">
      <formula1>0</formula1>
      <formula2>C68</formula2>
    </dataValidation>
    <dataValidation type="whole" allowBlank="1" showErrorMessage="1" errorTitle="Invalid count" error="Value must be between 0 and the current implemented total." sqref="W150" xr:uid="{00000000-0002-0000-0100-00006B000000}">
      <formula1>0</formula1>
      <formula2>C69</formula2>
    </dataValidation>
    <dataValidation type="whole" allowBlank="1" showErrorMessage="1" errorTitle="Invalid overall count" error="Overall count must be between 0 and the current implemented total." sqref="Q151" xr:uid="{00000000-0002-0000-0100-00006C000000}">
      <formula1>0</formula1>
      <formula2>C16</formula2>
    </dataValidation>
    <dataValidation type="whole" allowBlank="1" showErrorMessage="1" errorTitle="Invalid count" error="Value must be between 0 and the current implemented total." sqref="S151" xr:uid="{00000000-0002-0000-0100-00006D000000}">
      <formula1>0</formula1>
      <formula2>C67</formula2>
    </dataValidation>
    <dataValidation type="whole" allowBlank="1" showErrorMessage="1" errorTitle="Invalid count" error="Value must be between 0 and the current implemented total." sqref="U151" xr:uid="{00000000-0002-0000-0100-00006E000000}">
      <formula1>0</formula1>
      <formula2>C68</formula2>
    </dataValidation>
    <dataValidation type="whole" allowBlank="1" showErrorMessage="1" errorTitle="Invalid count" error="Value must be between 0 and the current implemented total." sqref="W151" xr:uid="{00000000-0002-0000-0100-00006F000000}">
      <formula1>0</formula1>
      <formula2>C69</formula2>
    </dataValidation>
    <dataValidation type="whole" allowBlank="1" showErrorMessage="1" errorTitle="Invalid overall count" error="Overall count must be between 0 and the current implemented total." sqref="Q152" xr:uid="{00000000-0002-0000-0100-000070000000}">
      <formula1>0</formula1>
      <formula2>C16</formula2>
    </dataValidation>
    <dataValidation type="whole" allowBlank="1" showErrorMessage="1" errorTitle="Invalid count" error="Value must be between 0 and the current implemented total." sqref="S152" xr:uid="{00000000-0002-0000-0100-000071000000}">
      <formula1>0</formula1>
      <formula2>C67</formula2>
    </dataValidation>
    <dataValidation type="whole" allowBlank="1" showErrorMessage="1" errorTitle="Invalid count" error="Value must be between 0 and the current implemented total." sqref="U152" xr:uid="{00000000-0002-0000-0100-000072000000}">
      <formula1>0</formula1>
      <formula2>C68</formula2>
    </dataValidation>
    <dataValidation type="whole" allowBlank="1" showErrorMessage="1" errorTitle="Invalid count" error="Value must be between 0 and the current implemented total." sqref="W152" xr:uid="{00000000-0002-0000-0100-000073000000}">
      <formula1>0</formula1>
      <formula2>C69</formula2>
    </dataValidation>
    <dataValidation type="whole" allowBlank="1" showErrorMessage="1" errorTitle="Invalid overall count" error="Overall count must be between 0 and the current implemented total." sqref="Q153" xr:uid="{00000000-0002-0000-0100-000074000000}">
      <formula1>0</formula1>
      <formula2>C16</formula2>
    </dataValidation>
    <dataValidation type="whole" allowBlank="1" showErrorMessage="1" errorTitle="Invalid count" error="Value must be between 0 and the current implemented total." sqref="S153" xr:uid="{00000000-0002-0000-0100-000075000000}">
      <formula1>0</formula1>
      <formula2>C67</formula2>
    </dataValidation>
    <dataValidation type="whole" allowBlank="1" showErrorMessage="1" errorTitle="Invalid count" error="Value must be between 0 and the current implemented total." sqref="U153" xr:uid="{00000000-0002-0000-0100-000076000000}">
      <formula1>0</formula1>
      <formula2>C68</formula2>
    </dataValidation>
    <dataValidation type="whole" allowBlank="1" showErrorMessage="1" errorTitle="Invalid count" error="Value must be between 0 and the current implemented total." sqref="W153" xr:uid="{00000000-0002-0000-0100-000077000000}">
      <formula1>0</formula1>
      <formula2>C69</formula2>
    </dataValidation>
    <dataValidation type="whole" allowBlank="1" showErrorMessage="1" errorTitle="Invalid Asset Count" error="Value must be between 0 and the Total Asset Numbers above." sqref="Q166" xr:uid="{00000000-0002-0000-0100-000078000000}">
      <formula1>0</formula1>
      <formula2>$P162</formula2>
    </dataValidation>
    <dataValidation type="whole" allowBlank="1" showErrorMessage="1" errorTitle="Invalid Asset Count" error="Value must be between 0 and the Total Asset Numbers above." sqref="Q167" xr:uid="{00000000-0002-0000-0100-000079000000}">
      <formula1>0</formula1>
      <formula2>$P162</formula2>
    </dataValidation>
    <dataValidation type="whole" allowBlank="1" showErrorMessage="1" errorTitle="Invalid Asset Count" error="Value must be between 0 and the Total Asset Numbers above." sqref="Q168" xr:uid="{00000000-0002-0000-0100-00007A000000}">
      <formula1>0</formula1>
      <formula2>$P162</formula2>
    </dataValidation>
    <dataValidation type="whole" allowBlank="1" showErrorMessage="1" errorTitle="Invalid Asset Count" error="Value must be between 0 and the Total Asset Numbers above." sqref="Q169" xr:uid="{00000000-0002-0000-0100-00007B000000}">
      <formula1>0</formula1>
      <formula2>$P162</formula2>
    </dataValidation>
    <dataValidation type="whole" allowBlank="1" showErrorMessage="1" errorTitle="Invalid Asset Count" error="Value must be between 0 and the Total Asset Numbers above." sqref="Q170" xr:uid="{00000000-0002-0000-0100-00007C000000}">
      <formula1>0</formula1>
      <formula2>$P162</formula2>
    </dataValidation>
    <dataValidation type="whole" allowBlank="1" showErrorMessage="1" errorTitle="Invalid Asset Count" error="Value must be between 0 and the Total Asset Numbers above." sqref="Q171" xr:uid="{00000000-0002-0000-0100-00007D000000}">
      <formula1>0</formula1>
      <formula2>$P162</formula2>
    </dataValidation>
    <dataValidation type="whole" allowBlank="1" showErrorMessage="1" errorTitle="Invalid Asset Count" error="Value must be between 0 and the Total Asset Numbers above." sqref="Q172" xr:uid="{00000000-0002-0000-0100-00007E000000}">
      <formula1>0</formula1>
      <formula2>$P162</formula2>
    </dataValidation>
    <dataValidation type="whole" allowBlank="1" showErrorMessage="1" errorTitle="Invalid Asset Count" error="Value must be between 0 and the Total Asset Numbers above." sqref="Q173" xr:uid="{00000000-0002-0000-0100-00007F000000}">
      <formula1>0</formula1>
      <formula2>$P162</formula2>
    </dataValidation>
    <dataValidation type="whole" allowBlank="1" showErrorMessage="1" errorTitle="Invalid Asset Count" error="Value must be between 0 and the Total Asset Numbers above." sqref="Q174" xr:uid="{00000000-0002-0000-0100-000080000000}">
      <formula1>0</formula1>
      <formula2>$P162</formula2>
    </dataValidation>
    <dataValidation type="whole" allowBlank="1" showErrorMessage="1" errorTitle="Invalid Asset Count" error="Value must be between 0 and the Total Asset Numbers above." sqref="Q175" xr:uid="{00000000-0002-0000-0100-000081000000}">
      <formula1>0</formula1>
      <formula2>$P162</formula2>
    </dataValidation>
    <dataValidation type="whole" allowBlank="1" showErrorMessage="1" errorTitle="Invalid Asset Count" error="Value must be between 0 and the Total Asset Numbers above." sqref="Q176" xr:uid="{00000000-0002-0000-0100-000082000000}">
      <formula1>0</formula1>
      <formula2>$P162</formula2>
    </dataValidation>
    <dataValidation type="whole" allowBlank="1" showErrorMessage="1" errorTitle="Invalid Asset Count" error="Value must be between 0 and the Total Asset Numbers above." sqref="Q177" xr:uid="{00000000-0002-0000-0100-000083000000}">
      <formula1>0</formula1>
      <formula2>$P162</formula2>
    </dataValidation>
    <dataValidation type="whole" allowBlank="1" showErrorMessage="1" errorTitle="Invalid Asset Count" error="Value must be between 0 and the Total Asset Numbers above." sqref="Q178" xr:uid="{00000000-0002-0000-0100-000084000000}">
      <formula1>0</formula1>
      <formula2>$P162</formula2>
    </dataValidation>
    <dataValidation type="whole" allowBlank="1" showErrorMessage="1" errorTitle="Invalid Asset Count" error="Value must be between 0 and the Total Asset Numbers above." sqref="Q179" xr:uid="{00000000-0002-0000-0100-000085000000}">
      <formula1>0</formula1>
      <formula2>$P162</formula2>
    </dataValidation>
    <dataValidation type="whole" allowBlank="1" showErrorMessage="1" errorTitle="Invalid Asset Count" error="Value must be between 0 and the Total Asset Numbers above." sqref="Q180" xr:uid="{00000000-0002-0000-0100-000086000000}">
      <formula1>0</formula1>
      <formula2>$P162</formula2>
    </dataValidation>
    <dataValidation type="whole" allowBlank="1" showErrorMessage="1" errorTitle="Invalid Asset Count" error="Value must be between 0 and the Total Asset Numbers above." sqref="Q181" xr:uid="{00000000-0002-0000-0100-000087000000}">
      <formula1>0</formula1>
      <formula2>$P162</formula2>
    </dataValidation>
    <dataValidation type="whole" allowBlank="1" showErrorMessage="1" errorTitle="Invalid Asset Count" error="Value must be between 0 and the Total Asset Numbers above." sqref="Q182" xr:uid="{00000000-0002-0000-0100-000088000000}">
      <formula1>0</formula1>
      <formula2>$P162</formula2>
    </dataValidation>
    <dataValidation type="whole" allowBlank="1" showErrorMessage="1" errorTitle="Invalid Asset Count" error="Value must be between 0 and the Total Asset Numbers above." sqref="Q183" xr:uid="{00000000-0002-0000-0100-000089000000}">
      <formula1>0</formula1>
      <formula2>$P162</formula2>
    </dataValidation>
    <dataValidation type="whole" allowBlank="1" showErrorMessage="1" errorTitle="Invalid Asset Count" error="Value must be between 0 and the Total Asset Numbers above." sqref="Q184" xr:uid="{00000000-0002-0000-0100-00008A000000}">
      <formula1>0</formula1>
      <formula2>$P162</formula2>
    </dataValidation>
    <dataValidation type="whole" allowBlank="1" showErrorMessage="1" errorTitle="Invalid Asset Count" error="Value must be between 0 and the Total Asset Numbers above." sqref="Q185" xr:uid="{00000000-0002-0000-0100-00008B000000}">
      <formula1>0</formula1>
      <formula2>$P162</formula2>
    </dataValidation>
  </dataValidations>
  <hyperlinks>
    <hyperlink ref="B189"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5"/>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1"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15</v>
      </c>
      <c r="D8" s="3" t="s">
        <v>16</v>
      </c>
      <c r="E8" s="3" t="s">
        <v>17</v>
      </c>
      <c r="F8" s="3" t="s">
        <v>18</v>
      </c>
      <c r="G8" s="3" t="s">
        <v>19</v>
      </c>
      <c r="H8" s="4" t="s">
        <v>19</v>
      </c>
      <c r="I8" s="1" t="s">
        <v>50</v>
      </c>
      <c r="J8" s="1" t="s">
        <v>51</v>
      </c>
      <c r="K8" s="1" t="s">
        <v>52</v>
      </c>
      <c r="L8" s="3" t="str">
        <f t="shared" si="0"/>
        <v>Outstanding</v>
      </c>
      <c r="M8" s="11" t="s">
        <v>19</v>
      </c>
    </row>
    <row r="9" spans="1:13" ht="60" customHeight="1" x14ac:dyDescent="0.35">
      <c r="A9" s="9" t="s">
        <v>53</v>
      </c>
      <c r="B9" s="1" t="s">
        <v>54</v>
      </c>
      <c r="C9" s="2" t="s">
        <v>15</v>
      </c>
      <c r="D9" s="3" t="s">
        <v>16</v>
      </c>
      <c r="E9" s="3" t="s">
        <v>17</v>
      </c>
      <c r="F9" s="3" t="s">
        <v>18</v>
      </c>
      <c r="G9" s="3" t="s">
        <v>19</v>
      </c>
      <c r="H9" s="4" t="s">
        <v>19</v>
      </c>
      <c r="I9" s="1" t="s">
        <v>55</v>
      </c>
      <c r="J9" s="1" t="s">
        <v>51</v>
      </c>
      <c r="K9" s="1" t="s">
        <v>56</v>
      </c>
      <c r="L9" s="3" t="str">
        <f t="shared" si="0"/>
        <v>Outstanding</v>
      </c>
      <c r="M9" s="11" t="s">
        <v>19</v>
      </c>
    </row>
    <row r="10" spans="1:13" ht="60" customHeight="1" x14ac:dyDescent="0.35">
      <c r="A10" s="9" t="s">
        <v>57</v>
      </c>
      <c r="B10" s="1" t="s">
        <v>58</v>
      </c>
      <c r="C10" s="2" t="s">
        <v>59</v>
      </c>
      <c r="D10" s="3" t="s">
        <v>16</v>
      </c>
      <c r="E10" s="3" t="s">
        <v>17</v>
      </c>
      <c r="F10" s="3" t="s">
        <v>18</v>
      </c>
      <c r="G10" s="3" t="s">
        <v>19</v>
      </c>
      <c r="H10" s="4" t="s">
        <v>19</v>
      </c>
      <c r="I10" s="1" t="s">
        <v>60</v>
      </c>
      <c r="J10" s="1" t="s">
        <v>61</v>
      </c>
      <c r="K10" s="1" t="s">
        <v>62</v>
      </c>
      <c r="L10" s="3" t="str">
        <f t="shared" si="0"/>
        <v>Outstanding</v>
      </c>
      <c r="M10" s="11" t="s">
        <v>19</v>
      </c>
    </row>
    <row r="11" spans="1:13" ht="60" customHeight="1" x14ac:dyDescent="0.35">
      <c r="A11" s="9" t="s">
        <v>63</v>
      </c>
      <c r="B11" s="1" t="s">
        <v>64</v>
      </c>
      <c r="C11" s="2" t="s">
        <v>15</v>
      </c>
      <c r="D11" s="3" t="s">
        <v>16</v>
      </c>
      <c r="E11" s="3" t="s">
        <v>17</v>
      </c>
      <c r="F11" s="3" t="s">
        <v>18</v>
      </c>
      <c r="G11" s="3" t="s">
        <v>19</v>
      </c>
      <c r="H11" s="4" t="s">
        <v>19</v>
      </c>
      <c r="I11" s="1" t="s">
        <v>65</v>
      </c>
      <c r="J11" s="1" t="s">
        <v>66</v>
      </c>
      <c r="K11" s="1" t="s">
        <v>67</v>
      </c>
      <c r="L11" s="3" t="str">
        <f t="shared" si="0"/>
        <v>Outstanding</v>
      </c>
      <c r="M11" s="11" t="s">
        <v>19</v>
      </c>
    </row>
    <row r="12" spans="1:13" ht="60" customHeight="1" x14ac:dyDescent="0.35">
      <c r="A12" s="9" t="s">
        <v>68</v>
      </c>
      <c r="B12" s="1" t="s">
        <v>69</v>
      </c>
      <c r="C12" s="2" t="s">
        <v>15</v>
      </c>
      <c r="D12" s="3" t="s">
        <v>16</v>
      </c>
      <c r="E12" s="3" t="s">
        <v>17</v>
      </c>
      <c r="F12" s="3" t="s">
        <v>18</v>
      </c>
      <c r="G12" s="3" t="s">
        <v>19</v>
      </c>
      <c r="H12" s="4" t="s">
        <v>19</v>
      </c>
      <c r="I12" s="1" t="s">
        <v>70</v>
      </c>
      <c r="J12" s="1" t="s">
        <v>71</v>
      </c>
      <c r="K12" s="1" t="s">
        <v>72</v>
      </c>
      <c r="L12" s="3" t="str">
        <f t="shared" si="0"/>
        <v>Outstanding</v>
      </c>
      <c r="M12" s="11" t="s">
        <v>19</v>
      </c>
    </row>
    <row r="13" spans="1:13" ht="60" customHeight="1" x14ac:dyDescent="0.35">
      <c r="A13" s="9" t="s">
        <v>73</v>
      </c>
      <c r="B13" s="1" t="s">
        <v>74</v>
      </c>
      <c r="C13" s="2" t="s">
        <v>15</v>
      </c>
      <c r="D13" s="3" t="s">
        <v>16</v>
      </c>
      <c r="E13" s="3" t="s">
        <v>17</v>
      </c>
      <c r="F13" s="3" t="s">
        <v>18</v>
      </c>
      <c r="G13" s="3" t="s">
        <v>19</v>
      </c>
      <c r="H13" s="4" t="s">
        <v>19</v>
      </c>
      <c r="I13" s="1" t="s">
        <v>75</v>
      </c>
      <c r="J13" s="1" t="s">
        <v>76</v>
      </c>
      <c r="K13" s="1" t="s">
        <v>77</v>
      </c>
      <c r="L13" s="3" t="str">
        <f t="shared" si="0"/>
        <v>Outstanding</v>
      </c>
      <c r="M13" s="11" t="s">
        <v>19</v>
      </c>
    </row>
    <row r="14" spans="1:13" ht="60" customHeight="1" x14ac:dyDescent="0.35">
      <c r="A14" s="9" t="s">
        <v>78</v>
      </c>
      <c r="B14" s="1" t="s">
        <v>79</v>
      </c>
      <c r="C14" s="2" t="s">
        <v>15</v>
      </c>
      <c r="D14" s="3" t="s">
        <v>16</v>
      </c>
      <c r="E14" s="3" t="s">
        <v>17</v>
      </c>
      <c r="F14" s="3" t="s">
        <v>18</v>
      </c>
      <c r="G14" s="3" t="s">
        <v>19</v>
      </c>
      <c r="H14" s="4" t="s">
        <v>19</v>
      </c>
      <c r="I14" s="1" t="s">
        <v>80</v>
      </c>
      <c r="J14" s="1" t="s">
        <v>81</v>
      </c>
      <c r="K14" s="1" t="s">
        <v>82</v>
      </c>
      <c r="L14" s="3" t="str">
        <f t="shared" si="0"/>
        <v>Outstanding</v>
      </c>
      <c r="M14" s="11" t="s">
        <v>19</v>
      </c>
    </row>
    <row r="15" spans="1:13" ht="60" customHeight="1" x14ac:dyDescent="0.35">
      <c r="A15" s="9" t="s">
        <v>83</v>
      </c>
      <c r="B15" s="1" t="s">
        <v>84</v>
      </c>
      <c r="C15" s="2" t="s">
        <v>15</v>
      </c>
      <c r="D15" s="3" t="s">
        <v>16</v>
      </c>
      <c r="E15" s="3" t="s">
        <v>17</v>
      </c>
      <c r="F15" s="3" t="s">
        <v>18</v>
      </c>
      <c r="G15" s="3" t="s">
        <v>19</v>
      </c>
      <c r="H15" s="4" t="s">
        <v>19</v>
      </c>
      <c r="I15" s="1" t="s">
        <v>85</v>
      </c>
      <c r="J15" s="1" t="s">
        <v>86</v>
      </c>
      <c r="K15" s="1" t="s">
        <v>87</v>
      </c>
      <c r="L15" s="3" t="str">
        <f t="shared" si="0"/>
        <v>Outstanding</v>
      </c>
      <c r="M15" s="11" t="s">
        <v>19</v>
      </c>
    </row>
    <row r="16" spans="1:13" ht="60" customHeight="1" x14ac:dyDescent="0.35">
      <c r="A16" s="9" t="s">
        <v>88</v>
      </c>
      <c r="B16" s="1" t="s">
        <v>89</v>
      </c>
      <c r="C16" s="2" t="s">
        <v>59</v>
      </c>
      <c r="D16" s="3" t="s">
        <v>16</v>
      </c>
      <c r="E16" s="3" t="s">
        <v>17</v>
      </c>
      <c r="F16" s="3" t="s">
        <v>18</v>
      </c>
      <c r="G16" s="3" t="s">
        <v>19</v>
      </c>
      <c r="H16" s="4" t="s">
        <v>19</v>
      </c>
      <c r="I16" s="1" t="s">
        <v>90</v>
      </c>
      <c r="J16" s="1" t="s">
        <v>91</v>
      </c>
      <c r="K16" s="1" t="s">
        <v>92</v>
      </c>
      <c r="L16" s="3" t="str">
        <f t="shared" si="0"/>
        <v>Outstanding</v>
      </c>
      <c r="M16" s="11" t="s">
        <v>19</v>
      </c>
    </row>
    <row r="17" spans="1:13" ht="60" customHeight="1" x14ac:dyDescent="0.35">
      <c r="A17" s="9" t="s">
        <v>93</v>
      </c>
      <c r="B17" s="1" t="s">
        <v>94</v>
      </c>
      <c r="C17" s="2" t="s">
        <v>59</v>
      </c>
      <c r="D17" s="3" t="s">
        <v>16</v>
      </c>
      <c r="E17" s="3" t="s">
        <v>17</v>
      </c>
      <c r="F17" s="3" t="s">
        <v>18</v>
      </c>
      <c r="G17" s="3" t="s">
        <v>19</v>
      </c>
      <c r="H17" s="4" t="s">
        <v>19</v>
      </c>
      <c r="I17" s="1" t="s">
        <v>95</v>
      </c>
      <c r="J17" s="1" t="s">
        <v>96</v>
      </c>
      <c r="K17" s="1" t="s">
        <v>97</v>
      </c>
      <c r="L17" s="3" t="str">
        <f t="shared" si="0"/>
        <v>Outstanding</v>
      </c>
      <c r="M17" s="11" t="s">
        <v>19</v>
      </c>
    </row>
    <row r="18" spans="1:13" ht="60" customHeight="1" x14ac:dyDescent="0.35">
      <c r="A18" s="9" t="s">
        <v>98</v>
      </c>
      <c r="B18" s="1" t="s">
        <v>99</v>
      </c>
      <c r="C18" s="2" t="s">
        <v>59</v>
      </c>
      <c r="D18" s="3" t="s">
        <v>16</v>
      </c>
      <c r="E18" s="3" t="s">
        <v>17</v>
      </c>
      <c r="F18" s="3" t="s">
        <v>18</v>
      </c>
      <c r="G18" s="3" t="s">
        <v>19</v>
      </c>
      <c r="H18" s="4" t="s">
        <v>19</v>
      </c>
      <c r="I18" s="1" t="s">
        <v>100</v>
      </c>
      <c r="J18" s="1" t="s">
        <v>101</v>
      </c>
      <c r="K18" s="1" t="s">
        <v>102</v>
      </c>
      <c r="L18" s="3" t="str">
        <f t="shared" si="0"/>
        <v>Outstanding</v>
      </c>
      <c r="M18" s="11" t="s">
        <v>19</v>
      </c>
    </row>
    <row r="19" spans="1:13" ht="60" customHeight="1" x14ac:dyDescent="0.35">
      <c r="A19" s="9" t="s">
        <v>103</v>
      </c>
      <c r="B19" s="1" t="s">
        <v>104</v>
      </c>
      <c r="C19" s="2" t="s">
        <v>59</v>
      </c>
      <c r="D19" s="3" t="s">
        <v>16</v>
      </c>
      <c r="E19" s="3" t="s">
        <v>17</v>
      </c>
      <c r="F19" s="3" t="s">
        <v>18</v>
      </c>
      <c r="G19" s="3" t="s">
        <v>19</v>
      </c>
      <c r="H19" s="4" t="s">
        <v>19</v>
      </c>
      <c r="I19" s="1" t="s">
        <v>105</v>
      </c>
      <c r="J19" s="1" t="s">
        <v>106</v>
      </c>
      <c r="K19" s="1" t="s">
        <v>107</v>
      </c>
      <c r="L19" s="3" t="str">
        <f t="shared" si="0"/>
        <v>Outstanding</v>
      </c>
      <c r="M19" s="11" t="s">
        <v>19</v>
      </c>
    </row>
    <row r="20" spans="1:13" ht="60" customHeight="1" x14ac:dyDescent="0.35">
      <c r="A20" s="9" t="s">
        <v>108</v>
      </c>
      <c r="B20" s="1" t="s">
        <v>109</v>
      </c>
      <c r="C20" s="2" t="s">
        <v>59</v>
      </c>
      <c r="D20" s="3" t="s">
        <v>16</v>
      </c>
      <c r="E20" s="3" t="s">
        <v>17</v>
      </c>
      <c r="F20" s="3" t="s">
        <v>18</v>
      </c>
      <c r="G20" s="3" t="s">
        <v>19</v>
      </c>
      <c r="H20" s="4" t="s">
        <v>19</v>
      </c>
      <c r="I20" s="1" t="s">
        <v>110</v>
      </c>
      <c r="J20" s="1" t="s">
        <v>111</v>
      </c>
      <c r="K20" s="1" t="s">
        <v>112</v>
      </c>
      <c r="L20" s="3" t="str">
        <f t="shared" si="0"/>
        <v>Outstanding</v>
      </c>
      <c r="M20" s="11" t="s">
        <v>19</v>
      </c>
    </row>
    <row r="21" spans="1:13" ht="60" customHeight="1" x14ac:dyDescent="0.35">
      <c r="A21" s="10" t="s">
        <v>113</v>
      </c>
      <c r="B21" s="5" t="s">
        <v>114</v>
      </c>
      <c r="C21" s="6" t="s">
        <v>59</v>
      </c>
      <c r="D21" s="7" t="s">
        <v>16</v>
      </c>
      <c r="E21" s="7" t="s">
        <v>17</v>
      </c>
      <c r="F21" s="7" t="s">
        <v>18</v>
      </c>
      <c r="G21" s="7" t="s">
        <v>19</v>
      </c>
      <c r="H21" s="8" t="s">
        <v>19</v>
      </c>
      <c r="I21" s="5" t="s">
        <v>115</v>
      </c>
      <c r="J21" s="5" t="s">
        <v>116</v>
      </c>
      <c r="K21" s="5" t="s">
        <v>117</v>
      </c>
      <c r="L21" s="7" t="str">
        <f t="shared" si="0"/>
        <v>Outstanding</v>
      </c>
      <c r="M21" s="12" t="s">
        <v>19</v>
      </c>
    </row>
    <row r="25" spans="1:13" ht="32" customHeight="1" x14ac:dyDescent="0.35">
      <c r="A25" s="288" t="s">
        <v>118</v>
      </c>
      <c r="B25" s="288"/>
      <c r="C25" s="288"/>
      <c r="D25" s="288"/>
    </row>
  </sheetData>
  <mergeCells count="1">
    <mergeCell ref="A25:D25"/>
  </mergeCells>
  <conditionalFormatting sqref="C2:C21">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21">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1">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1">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1" xr:uid="{00000000-0002-0000-0200-000000000000}">
      <formula1>"Must,Should,Could,Won't,Unassigned"</formula1>
    </dataValidation>
    <dataValidation type="list" showErrorMessage="1" errorTitle="Invalid Value" error="Please select a value from the list: Low, Medium, High, Unassessed." sqref="E2:E21" xr:uid="{00000000-0002-0000-0200-000001000000}">
      <formula1>"Low,Medium,High,Unassessed"</formula1>
    </dataValidation>
    <dataValidation type="list" showErrorMessage="1" errorTitle="Invalid Value" error="Please select a value from the list: Phase1, Phase2, Phase3, Phase4, Phase5, Pending." sqref="F2:F21"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1" xr:uid="{00000000-0002-0000-0200-000003000000}">
      <formula1>"Implemented,Testing,Failed,Compensated,Risk Accepted,N/A"</formula1>
    </dataValidation>
  </dataValidations>
  <hyperlinks>
    <hyperlink ref="A25"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268</v>
      </c>
      <c r="C2" s="305" t="s">
        <v>268</v>
      </c>
      <c r="D2" s="305" t="s">
        <v>268</v>
      </c>
      <c r="E2" s="305" t="s">
        <v>268</v>
      </c>
      <c r="F2" s="305" t="s">
        <v>268</v>
      </c>
      <c r="G2" s="305" t="s">
        <v>268</v>
      </c>
      <c r="H2" s="309" t="s">
        <v>269</v>
      </c>
      <c r="I2" s="309" t="s">
        <v>269</v>
      </c>
      <c r="J2" s="309" t="s">
        <v>269</v>
      </c>
      <c r="K2" s="309" t="s">
        <v>269</v>
      </c>
      <c r="L2" s="309" t="s">
        <v>269</v>
      </c>
      <c r="M2" s="308" t="s">
        <v>270</v>
      </c>
      <c r="N2" s="308" t="s">
        <v>270</v>
      </c>
      <c r="O2" s="310" t="s">
        <v>271</v>
      </c>
      <c r="P2" s="310" t="s">
        <v>271</v>
      </c>
      <c r="Q2" s="306" t="s">
        <v>11</v>
      </c>
      <c r="R2" s="306" t="s">
        <v>11</v>
      </c>
      <c r="S2" s="306" t="s">
        <v>11</v>
      </c>
      <c r="T2" s="307" t="s">
        <v>272</v>
      </c>
    </row>
    <row r="3" spans="2:20" ht="35" customHeight="1" x14ac:dyDescent="0.35">
      <c r="B3" s="70" t="s">
        <v>273</v>
      </c>
      <c r="C3" s="70" t="s">
        <v>274</v>
      </c>
      <c r="D3" s="70" t="s">
        <v>275</v>
      </c>
      <c r="E3" s="70" t="s">
        <v>276</v>
      </c>
      <c r="F3" s="70" t="s">
        <v>277</v>
      </c>
      <c r="G3" s="70" t="s">
        <v>9</v>
      </c>
      <c r="H3" s="71" t="s">
        <v>278</v>
      </c>
      <c r="I3" s="71" t="s">
        <v>279</v>
      </c>
      <c r="J3" s="71" t="s">
        <v>280</v>
      </c>
      <c r="K3" s="71" t="s">
        <v>281</v>
      </c>
      <c r="L3" s="71" t="s">
        <v>213</v>
      </c>
      <c r="M3" s="72" t="s">
        <v>282</v>
      </c>
      <c r="N3" s="72" t="s">
        <v>283</v>
      </c>
      <c r="O3" s="73" t="s">
        <v>284</v>
      </c>
      <c r="P3" s="73" t="s">
        <v>285</v>
      </c>
      <c r="Q3" s="74" t="s">
        <v>11</v>
      </c>
      <c r="R3" s="74" t="s">
        <v>286</v>
      </c>
      <c r="S3" s="74" t="s">
        <v>287</v>
      </c>
      <c r="T3" s="75" t="s">
        <v>288</v>
      </c>
    </row>
    <row r="4" spans="2:20" ht="60" customHeight="1" x14ac:dyDescent="0.35">
      <c r="B4" s="76" t="s">
        <v>289</v>
      </c>
      <c r="C4" s="76" t="s">
        <v>290</v>
      </c>
      <c r="D4" s="76" t="s">
        <v>291</v>
      </c>
      <c r="E4" s="76" t="s">
        <v>292</v>
      </c>
      <c r="F4" s="76" t="s">
        <v>293</v>
      </c>
      <c r="G4" s="76" t="s">
        <v>294</v>
      </c>
      <c r="H4" s="76" t="s">
        <v>295</v>
      </c>
      <c r="I4" s="76" t="s">
        <v>296</v>
      </c>
      <c r="J4" s="76" t="s">
        <v>297</v>
      </c>
      <c r="K4" s="76" t="s">
        <v>298</v>
      </c>
      <c r="L4" s="76" t="s">
        <v>299</v>
      </c>
      <c r="M4" s="76" t="s">
        <v>300</v>
      </c>
      <c r="N4" s="76" t="s">
        <v>301</v>
      </c>
      <c r="O4" s="76" t="s">
        <v>302</v>
      </c>
      <c r="P4" s="76" t="s">
        <v>303</v>
      </c>
      <c r="Q4" s="76" t="s">
        <v>304</v>
      </c>
      <c r="R4" s="76" t="s">
        <v>305</v>
      </c>
      <c r="S4" s="76" t="s">
        <v>306</v>
      </c>
      <c r="T4" s="76" t="s">
        <v>307</v>
      </c>
    </row>
    <row r="5" spans="2:20" ht="60" customHeight="1" x14ac:dyDescent="0.35">
      <c r="B5" s="38" t="s">
        <v>308</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309</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310</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311</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312</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313</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314</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315</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316</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317</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318</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319</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320</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321</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322</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323</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324</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325</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326</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327</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328</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329</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330</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331</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332</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333</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334</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335</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336</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337</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338</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339</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340</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341</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342</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343</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344</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345</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346</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347</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348</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349</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350</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351</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352</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353</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354</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355</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356</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357</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118</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358</v>
      </c>
      <c r="B1" s="104" t="s">
        <v>0</v>
      </c>
      <c r="C1" s="104" t="s">
        <v>359</v>
      </c>
      <c r="D1" s="104" t="s">
        <v>9</v>
      </c>
      <c r="E1" s="104" t="s">
        <v>360</v>
      </c>
      <c r="F1" s="104" t="s">
        <v>361</v>
      </c>
      <c r="G1" s="104" t="s">
        <v>362</v>
      </c>
      <c r="H1" s="104" t="s">
        <v>363</v>
      </c>
      <c r="I1" s="104" t="s">
        <v>364</v>
      </c>
      <c r="J1" s="104" t="s">
        <v>365</v>
      </c>
      <c r="K1" s="104" t="s">
        <v>366</v>
      </c>
      <c r="L1" s="104" t="s">
        <v>367</v>
      </c>
      <c r="M1" s="104" t="s">
        <v>368</v>
      </c>
      <c r="N1" s="104" t="s">
        <v>369</v>
      </c>
      <c r="O1" s="104" t="s">
        <v>370</v>
      </c>
      <c r="P1" s="104" t="s">
        <v>371</v>
      </c>
      <c r="Q1" s="104" t="s">
        <v>372</v>
      </c>
      <c r="R1" s="104" t="s">
        <v>373</v>
      </c>
      <c r="S1" s="104" t="s">
        <v>374</v>
      </c>
      <c r="T1" s="104" t="s">
        <v>375</v>
      </c>
      <c r="U1" s="104" t="s">
        <v>376</v>
      </c>
      <c r="V1" s="104" t="s">
        <v>377</v>
      </c>
      <c r="W1" s="104" t="s">
        <v>378</v>
      </c>
      <c r="X1" s="104" t="s">
        <v>379</v>
      </c>
      <c r="Y1" s="104" t="s">
        <v>380</v>
      </c>
      <c r="Z1" s="104" t="s">
        <v>381</v>
      </c>
      <c r="AA1" s="104" t="s">
        <v>382</v>
      </c>
      <c r="AB1" s="104" t="s">
        <v>383</v>
      </c>
      <c r="AC1" s="104" t="s">
        <v>384</v>
      </c>
      <c r="AD1" s="104" t="s">
        <v>385</v>
      </c>
      <c r="AE1" s="104" t="s">
        <v>386</v>
      </c>
      <c r="AF1" s="104" t="s">
        <v>387</v>
      </c>
      <c r="AG1" s="104" t="s">
        <v>388</v>
      </c>
      <c r="AH1" s="104" t="s">
        <v>389</v>
      </c>
      <c r="AI1" s="104" t="s">
        <v>390</v>
      </c>
      <c r="AJ1" s="104" t="s">
        <v>391</v>
      </c>
      <c r="AK1" s="104" t="s">
        <v>392</v>
      </c>
      <c r="AL1" s="104" t="s">
        <v>393</v>
      </c>
      <c r="AM1" s="104" t="s">
        <v>394</v>
      </c>
      <c r="AN1" s="104" t="s">
        <v>395</v>
      </c>
      <c r="AO1" s="104" t="s">
        <v>396</v>
      </c>
      <c r="AP1" s="104" t="s">
        <v>397</v>
      </c>
      <c r="AQ1" s="104" t="s">
        <v>398</v>
      </c>
      <c r="AR1" s="104" t="s">
        <v>399</v>
      </c>
      <c r="AS1" s="104" t="s">
        <v>400</v>
      </c>
      <c r="AT1" s="104" t="s">
        <v>401</v>
      </c>
      <c r="AU1" s="104" t="s">
        <v>402</v>
      </c>
      <c r="AV1" s="104" t="s">
        <v>403</v>
      </c>
      <c r="AW1" s="105" t="s">
        <v>404</v>
      </c>
    </row>
    <row r="2" spans="1:49" ht="60" customHeight="1" outlineLevel="1" x14ac:dyDescent="0.35">
      <c r="A2" s="97" t="s">
        <v>405</v>
      </c>
      <c r="B2" s="80">
        <v>1</v>
      </c>
      <c r="C2" s="82" t="s">
        <v>19</v>
      </c>
      <c r="D2" s="84" t="s">
        <v>406</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405</v>
      </c>
      <c r="B3" s="81" t="s">
        <v>407</v>
      </c>
      <c r="C3" s="83" t="s">
        <v>408</v>
      </c>
      <c r="D3" s="85" t="s">
        <v>409</v>
      </c>
      <c r="E3" s="85" t="s">
        <v>410</v>
      </c>
      <c r="F3" s="86" t="s">
        <v>411</v>
      </c>
      <c r="G3" s="86" t="s">
        <v>412</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405</v>
      </c>
      <c r="B4" s="81" t="s">
        <v>413</v>
      </c>
      <c r="C4" s="83" t="s">
        <v>414</v>
      </c>
      <c r="D4" s="85" t="s">
        <v>415</v>
      </c>
      <c r="E4" s="85" t="s">
        <v>416</v>
      </c>
      <c r="F4" s="86" t="s">
        <v>411</v>
      </c>
      <c r="G4" s="86" t="s">
        <v>417</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405</v>
      </c>
      <c r="B5" s="81" t="s">
        <v>418</v>
      </c>
      <c r="C5" s="83" t="s">
        <v>419</v>
      </c>
      <c r="D5" s="85" t="s">
        <v>420</v>
      </c>
      <c r="E5" s="85" t="s">
        <v>421</v>
      </c>
      <c r="F5" s="86" t="s">
        <v>411</v>
      </c>
      <c r="G5" s="86" t="s">
        <v>422</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405</v>
      </c>
      <c r="B6" s="81" t="s">
        <v>423</v>
      </c>
      <c r="C6" s="83" t="s">
        <v>424</v>
      </c>
      <c r="D6" s="85" t="s">
        <v>425</v>
      </c>
      <c r="E6" s="85" t="s">
        <v>426</v>
      </c>
      <c r="F6" s="86" t="s">
        <v>411</v>
      </c>
      <c r="G6" s="86" t="s">
        <v>412</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405</v>
      </c>
      <c r="B7" s="81" t="s">
        <v>427</v>
      </c>
      <c r="C7" s="83" t="s">
        <v>428</v>
      </c>
      <c r="D7" s="85" t="s">
        <v>429</v>
      </c>
      <c r="E7" s="85" t="s">
        <v>430</v>
      </c>
      <c r="F7" s="86" t="s">
        <v>411</v>
      </c>
      <c r="G7" s="86" t="s">
        <v>422</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431</v>
      </c>
      <c r="B8" s="80">
        <v>2</v>
      </c>
      <c r="C8" s="82" t="s">
        <v>19</v>
      </c>
      <c r="D8" s="84" t="s">
        <v>432</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431</v>
      </c>
      <c r="B9" s="81" t="s">
        <v>433</v>
      </c>
      <c r="C9" s="83" t="s">
        <v>434</v>
      </c>
      <c r="D9" s="85" t="s">
        <v>435</v>
      </c>
      <c r="E9" s="85" t="s">
        <v>436</v>
      </c>
      <c r="F9" s="86" t="s">
        <v>437</v>
      </c>
      <c r="G9" s="86" t="s">
        <v>412</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431</v>
      </c>
      <c r="B10" s="81" t="s">
        <v>438</v>
      </c>
      <c r="C10" s="83" t="s">
        <v>439</v>
      </c>
      <c r="D10" s="85" t="s">
        <v>440</v>
      </c>
      <c r="E10" s="85" t="s">
        <v>441</v>
      </c>
      <c r="F10" s="86" t="s">
        <v>437</v>
      </c>
      <c r="G10" s="86" t="s">
        <v>412</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431</v>
      </c>
      <c r="B11" s="81" t="s">
        <v>442</v>
      </c>
      <c r="C11" s="83" t="s">
        <v>443</v>
      </c>
      <c r="D11" s="85" t="s">
        <v>444</v>
      </c>
      <c r="E11" s="85" t="s">
        <v>445</v>
      </c>
      <c r="F11" s="86" t="s">
        <v>437</v>
      </c>
      <c r="G11" s="86" t="s">
        <v>417</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431</v>
      </c>
      <c r="B12" s="81" t="s">
        <v>446</v>
      </c>
      <c r="C12" s="83" t="s">
        <v>447</v>
      </c>
      <c r="D12" s="85" t="s">
        <v>448</v>
      </c>
      <c r="E12" s="85" t="s">
        <v>449</v>
      </c>
      <c r="F12" s="86" t="s">
        <v>437</v>
      </c>
      <c r="G12" s="86" t="s">
        <v>422</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431</v>
      </c>
      <c r="B13" s="81" t="s">
        <v>450</v>
      </c>
      <c r="C13" s="83" t="s">
        <v>451</v>
      </c>
      <c r="D13" s="85" t="s">
        <v>452</v>
      </c>
      <c r="E13" s="85" t="s">
        <v>453</v>
      </c>
      <c r="F13" s="86" t="s">
        <v>437</v>
      </c>
      <c r="G13" s="86" t="s">
        <v>454</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431</v>
      </c>
      <c r="B14" s="81" t="s">
        <v>455</v>
      </c>
      <c r="C14" s="83" t="s">
        <v>456</v>
      </c>
      <c r="D14" s="85" t="s">
        <v>457</v>
      </c>
      <c r="E14" s="85" t="s">
        <v>458</v>
      </c>
      <c r="F14" s="86" t="s">
        <v>437</v>
      </c>
      <c r="G14" s="86" t="s">
        <v>454</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431</v>
      </c>
      <c r="B15" s="81" t="s">
        <v>459</v>
      </c>
      <c r="C15" s="83" t="s">
        <v>460</v>
      </c>
      <c r="D15" s="85" t="s">
        <v>461</v>
      </c>
      <c r="E15" s="85" t="s">
        <v>462</v>
      </c>
      <c r="F15" s="86" t="s">
        <v>437</v>
      </c>
      <c r="G15" s="86" t="s">
        <v>454</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463</v>
      </c>
      <c r="B16" s="80">
        <v>3</v>
      </c>
      <c r="C16" s="82" t="s">
        <v>19</v>
      </c>
      <c r="D16" s="84" t="s">
        <v>464</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463</v>
      </c>
      <c r="B17" s="81" t="s">
        <v>465</v>
      </c>
      <c r="C17" s="83" t="s">
        <v>466</v>
      </c>
      <c r="D17" s="85" t="s">
        <v>467</v>
      </c>
      <c r="E17" s="85" t="s">
        <v>468</v>
      </c>
      <c r="F17" s="86" t="s">
        <v>469</v>
      </c>
      <c r="G17" s="86" t="s">
        <v>470</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463</v>
      </c>
      <c r="B18" s="81" t="s">
        <v>471</v>
      </c>
      <c r="C18" s="83" t="s">
        <v>472</v>
      </c>
      <c r="D18" s="85" t="s">
        <v>473</v>
      </c>
      <c r="E18" s="85" t="s">
        <v>474</v>
      </c>
      <c r="F18" s="86" t="s">
        <v>469</v>
      </c>
      <c r="G18" s="86" t="s">
        <v>412</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463</v>
      </c>
      <c r="B19" s="81" t="s">
        <v>475</v>
      </c>
      <c r="C19" s="83" t="s">
        <v>476</v>
      </c>
      <c r="D19" s="85" t="s">
        <v>477</v>
      </c>
      <c r="E19" s="85" t="s">
        <v>478</v>
      </c>
      <c r="F19" s="86" t="s">
        <v>469</v>
      </c>
      <c r="G19" s="86" t="s">
        <v>454</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463</v>
      </c>
      <c r="B20" s="81" t="s">
        <v>479</v>
      </c>
      <c r="C20" s="83" t="s">
        <v>480</v>
      </c>
      <c r="D20" s="85" t="s">
        <v>481</v>
      </c>
      <c r="E20" s="85" t="s">
        <v>482</v>
      </c>
      <c r="F20" s="86" t="s">
        <v>469</v>
      </c>
      <c r="G20" s="86" t="s">
        <v>454</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463</v>
      </c>
      <c r="B21" s="81" t="s">
        <v>483</v>
      </c>
      <c r="C21" s="83" t="s">
        <v>484</v>
      </c>
      <c r="D21" s="85" t="s">
        <v>485</v>
      </c>
      <c r="E21" s="85" t="s">
        <v>486</v>
      </c>
      <c r="F21" s="86" t="s">
        <v>469</v>
      </c>
      <c r="G21" s="86" t="s">
        <v>454</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463</v>
      </c>
      <c r="B22" s="81" t="s">
        <v>487</v>
      </c>
      <c r="C22" s="83" t="s">
        <v>488</v>
      </c>
      <c r="D22" s="85" t="s">
        <v>489</v>
      </c>
      <c r="E22" s="85" t="s">
        <v>490</v>
      </c>
      <c r="F22" s="86" t="s">
        <v>469</v>
      </c>
      <c r="G22" s="86" t="s">
        <v>454</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463</v>
      </c>
      <c r="B23" s="81" t="s">
        <v>491</v>
      </c>
      <c r="C23" s="83" t="s">
        <v>492</v>
      </c>
      <c r="D23" s="85" t="s">
        <v>493</v>
      </c>
      <c r="E23" s="85" t="s">
        <v>494</v>
      </c>
      <c r="F23" s="86" t="s">
        <v>469</v>
      </c>
      <c r="G23" s="86" t="s">
        <v>412</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463</v>
      </c>
      <c r="B24" s="81" t="s">
        <v>495</v>
      </c>
      <c r="C24" s="83" t="s">
        <v>496</v>
      </c>
      <c r="D24" s="85" t="s">
        <v>497</v>
      </c>
      <c r="E24" s="85" t="s">
        <v>498</v>
      </c>
      <c r="F24" s="86" t="s">
        <v>469</v>
      </c>
      <c r="G24" s="86" t="s">
        <v>412</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463</v>
      </c>
      <c r="B25" s="81" t="s">
        <v>499</v>
      </c>
      <c r="C25" s="83" t="s">
        <v>500</v>
      </c>
      <c r="D25" s="85" t="s">
        <v>501</v>
      </c>
      <c r="E25" s="85" t="s">
        <v>502</v>
      </c>
      <c r="F25" s="86" t="s">
        <v>469</v>
      </c>
      <c r="G25" s="86" t="s">
        <v>454</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463</v>
      </c>
      <c r="B26" s="81" t="s">
        <v>503</v>
      </c>
      <c r="C26" s="83" t="s">
        <v>504</v>
      </c>
      <c r="D26" s="85" t="s">
        <v>505</v>
      </c>
      <c r="E26" s="85" t="s">
        <v>506</v>
      </c>
      <c r="F26" s="86" t="s">
        <v>469</v>
      </c>
      <c r="G26" s="86" t="s">
        <v>454</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463</v>
      </c>
      <c r="B27" s="81" t="s">
        <v>507</v>
      </c>
      <c r="C27" s="83" t="s">
        <v>508</v>
      </c>
      <c r="D27" s="85" t="s">
        <v>509</v>
      </c>
      <c r="E27" s="85" t="s">
        <v>510</v>
      </c>
      <c r="F27" s="86" t="s">
        <v>469</v>
      </c>
      <c r="G27" s="86" t="s">
        <v>454</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463</v>
      </c>
      <c r="B28" s="81" t="s">
        <v>511</v>
      </c>
      <c r="C28" s="83" t="s">
        <v>512</v>
      </c>
      <c r="D28" s="85" t="s">
        <v>513</v>
      </c>
      <c r="E28" s="85" t="s">
        <v>514</v>
      </c>
      <c r="F28" s="86" t="s">
        <v>469</v>
      </c>
      <c r="G28" s="86" t="s">
        <v>454</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463</v>
      </c>
      <c r="B29" s="81" t="s">
        <v>515</v>
      </c>
      <c r="C29" s="83" t="s">
        <v>516</v>
      </c>
      <c r="D29" s="85" t="s">
        <v>517</v>
      </c>
      <c r="E29" s="85" t="s">
        <v>518</v>
      </c>
      <c r="F29" s="86" t="s">
        <v>469</v>
      </c>
      <c r="G29" s="86" t="s">
        <v>454</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463</v>
      </c>
      <c r="B30" s="81" t="s">
        <v>519</v>
      </c>
      <c r="C30" s="83" t="s">
        <v>520</v>
      </c>
      <c r="D30" s="85" t="s">
        <v>521</v>
      </c>
      <c r="E30" s="85" t="s">
        <v>522</v>
      </c>
      <c r="F30" s="86" t="s">
        <v>469</v>
      </c>
      <c r="G30" s="86" t="s">
        <v>422</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523</v>
      </c>
      <c r="B31" s="80">
        <v>4</v>
      </c>
      <c r="C31" s="82" t="s">
        <v>19</v>
      </c>
      <c r="D31" s="84" t="s">
        <v>524</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523</v>
      </c>
      <c r="B32" s="81" t="s">
        <v>525</v>
      </c>
      <c r="C32" s="83" t="s">
        <v>526</v>
      </c>
      <c r="D32" s="85" t="s">
        <v>527</v>
      </c>
      <c r="E32" s="85" t="s">
        <v>528</v>
      </c>
      <c r="F32" s="86" t="s">
        <v>529</v>
      </c>
      <c r="G32" s="86" t="s">
        <v>470</v>
      </c>
      <c r="H32" s="86">
        <v>1</v>
      </c>
      <c r="I32" s="88" t="str">
        <f>IF(COUNTIF(J32:AW32,"&lt;&gt;")=0,"",SUMPRODUCT(((Recommendations[ImplStatus]="Implemented")+(Recommendations[ImplStatus]="Compensated"))*ISNUMBER(MATCH(Recommendations[Id],J32:AW32,0)))/COUNTIF(J32:AW32,"&lt;&gt;"))</f>
        <v/>
      </c>
      <c r="J32" s="90"/>
      <c r="K32" s="90"/>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523</v>
      </c>
      <c r="B33" s="81" t="s">
        <v>530</v>
      </c>
      <c r="C33" s="83" t="s">
        <v>531</v>
      </c>
      <c r="D33" s="85" t="s">
        <v>532</v>
      </c>
      <c r="E33" s="85" t="s">
        <v>533</v>
      </c>
      <c r="F33" s="86" t="s">
        <v>529</v>
      </c>
      <c r="G33" s="86" t="s">
        <v>470</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523</v>
      </c>
      <c r="B34" s="81" t="s">
        <v>534</v>
      </c>
      <c r="C34" s="83" t="s">
        <v>535</v>
      </c>
      <c r="D34" s="85" t="s">
        <v>536</v>
      </c>
      <c r="E34" s="85" t="s">
        <v>537</v>
      </c>
      <c r="F34" s="86" t="s">
        <v>411</v>
      </c>
      <c r="G34" s="86" t="s">
        <v>454</v>
      </c>
      <c r="H34" s="86">
        <v>1</v>
      </c>
      <c r="I34" s="88">
        <f>IF(COUNTIF(J34:AW34,"&lt;&gt;")=0,"",SUMPRODUCT(((Recommendations[ImplStatus]="Implemented")+(Recommendations[ImplStatus]="Compensated"))*ISNUMBER(MATCH(Recommendations[Id],J34:AW34,0)))/COUNTIF(J34:AW34,"&lt;&gt;"))</f>
        <v>0</v>
      </c>
      <c r="J34" s="90" t="s">
        <v>13</v>
      </c>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523</v>
      </c>
      <c r="B35" s="81" t="s">
        <v>538</v>
      </c>
      <c r="C35" s="83" t="s">
        <v>539</v>
      </c>
      <c r="D35" s="85" t="s">
        <v>540</v>
      </c>
      <c r="E35" s="85" t="s">
        <v>541</v>
      </c>
      <c r="F35" s="86" t="s">
        <v>411</v>
      </c>
      <c r="G35" s="86" t="s">
        <v>454</v>
      </c>
      <c r="H35" s="86">
        <v>1</v>
      </c>
      <c r="I35" s="88">
        <f>IF(COUNTIF(J35:AW35,"&lt;&gt;")=0,"",SUMPRODUCT(((Recommendations[ImplStatus]="Implemented")+(Recommendations[ImplStatus]="Compensated"))*ISNUMBER(MATCH(Recommendations[Id],J35:AW35,0)))/COUNTIF(J35:AW35,"&lt;&gt;"))</f>
        <v>0</v>
      </c>
      <c r="J35" s="90" t="s">
        <v>63</v>
      </c>
      <c r="K35" s="90" t="s">
        <v>68</v>
      </c>
      <c r="L35" s="90" t="s">
        <v>73</v>
      </c>
      <c r="M35" s="90"/>
      <c r="N35" s="90"/>
      <c r="O35" s="90"/>
      <c r="P35" s="90"/>
      <c r="Q35" s="90"/>
      <c r="R35" s="90"/>
      <c r="S35" s="90"/>
      <c r="T35" s="90"/>
      <c r="U35" s="90"/>
      <c r="V35" s="90"/>
      <c r="W35" s="90"/>
      <c r="X35" s="90"/>
      <c r="Y35" s="90"/>
      <c r="Z35" s="90"/>
      <c r="AA35" s="90"/>
      <c r="AB35" s="90"/>
      <c r="AC35" s="90"/>
      <c r="AD35" s="90"/>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523</v>
      </c>
      <c r="B36" s="81" t="s">
        <v>542</v>
      </c>
      <c r="C36" s="83" t="s">
        <v>543</v>
      </c>
      <c r="D36" s="85" t="s">
        <v>544</v>
      </c>
      <c r="E36" s="85" t="s">
        <v>545</v>
      </c>
      <c r="F36" s="86" t="s">
        <v>411</v>
      </c>
      <c r="G36" s="86" t="s">
        <v>454</v>
      </c>
      <c r="H36" s="86">
        <v>1</v>
      </c>
      <c r="I36" s="88" t="str">
        <f>IF(COUNTIF(J36:AW36,"&lt;&gt;")=0,"",SUMPRODUCT(((Recommendations[ImplStatus]="Implemented")+(Recommendations[ImplStatus]="Compensated"))*ISNUMBER(MATCH(Recommendations[Id],J36:AW36,0)))/COUNTIF(J36:AW36,"&lt;&gt;"))</f>
        <v/>
      </c>
      <c r="J36" s="90"/>
      <c r="K36" s="90"/>
      <c r="L36" s="90"/>
      <c r="M36" s="90"/>
      <c r="N36" s="90"/>
      <c r="O36" s="90"/>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523</v>
      </c>
      <c r="B37" s="81" t="s">
        <v>546</v>
      </c>
      <c r="C37" s="83" t="s">
        <v>547</v>
      </c>
      <c r="D37" s="85" t="s">
        <v>548</v>
      </c>
      <c r="E37" s="85" t="s">
        <v>549</v>
      </c>
      <c r="F37" s="86" t="s">
        <v>411</v>
      </c>
      <c r="G37" s="86" t="s">
        <v>454</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523</v>
      </c>
      <c r="B38" s="81" t="s">
        <v>550</v>
      </c>
      <c r="C38" s="83" t="s">
        <v>551</v>
      </c>
      <c r="D38" s="85" t="s">
        <v>552</v>
      </c>
      <c r="E38" s="85" t="s">
        <v>553</v>
      </c>
      <c r="F38" s="86" t="s">
        <v>554</v>
      </c>
      <c r="G38" s="86" t="s">
        <v>454</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523</v>
      </c>
      <c r="B39" s="81" t="s">
        <v>555</v>
      </c>
      <c r="C39" s="83" t="s">
        <v>556</v>
      </c>
      <c r="D39" s="85" t="s">
        <v>557</v>
      </c>
      <c r="E39" s="85" t="s">
        <v>558</v>
      </c>
      <c r="F39" s="86" t="s">
        <v>411</v>
      </c>
      <c r="G39" s="86" t="s">
        <v>454</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523</v>
      </c>
      <c r="B40" s="81" t="s">
        <v>559</v>
      </c>
      <c r="C40" s="83" t="s">
        <v>560</v>
      </c>
      <c r="D40" s="85" t="s">
        <v>561</v>
      </c>
      <c r="E40" s="85" t="s">
        <v>562</v>
      </c>
      <c r="F40" s="86" t="s">
        <v>411</v>
      </c>
      <c r="G40" s="86" t="s">
        <v>454</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523</v>
      </c>
      <c r="B41" s="81" t="s">
        <v>563</v>
      </c>
      <c r="C41" s="83" t="s">
        <v>564</v>
      </c>
      <c r="D41" s="85" t="s">
        <v>565</v>
      </c>
      <c r="E41" s="85" t="s">
        <v>566</v>
      </c>
      <c r="F41" s="86" t="s">
        <v>411</v>
      </c>
      <c r="G41" s="86" t="s">
        <v>454</v>
      </c>
      <c r="H41" s="86">
        <v>2</v>
      </c>
      <c r="I41" s="88">
        <f>IF(COUNTIF(J41:AW41,"&lt;&gt;")=0,"",SUMPRODUCT(((Recommendations[ImplStatus]="Implemented")+(Recommendations[ImplStatus]="Compensated"))*ISNUMBER(MATCH(Recommendations[Id],J41:AW41,0)))/COUNTIF(J41:AW41,"&lt;&gt;"))</f>
        <v>0</v>
      </c>
      <c r="J41" s="90" t="s">
        <v>108</v>
      </c>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523</v>
      </c>
      <c r="B42" s="81" t="s">
        <v>567</v>
      </c>
      <c r="C42" s="83" t="s">
        <v>568</v>
      </c>
      <c r="D42" s="85" t="s">
        <v>569</v>
      </c>
      <c r="E42" s="85" t="s">
        <v>570</v>
      </c>
      <c r="F42" s="86" t="s">
        <v>469</v>
      </c>
      <c r="G42" s="86" t="s">
        <v>454</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523</v>
      </c>
      <c r="B43" s="81" t="s">
        <v>571</v>
      </c>
      <c r="C43" s="83" t="s">
        <v>572</v>
      </c>
      <c r="D43" s="85" t="s">
        <v>573</v>
      </c>
      <c r="E43" s="85" t="s">
        <v>574</v>
      </c>
      <c r="F43" s="86" t="s">
        <v>469</v>
      </c>
      <c r="G43" s="86" t="s">
        <v>454</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575</v>
      </c>
      <c r="B44" s="80">
        <v>5</v>
      </c>
      <c r="C44" s="82" t="s">
        <v>19</v>
      </c>
      <c r="D44" s="84" t="s">
        <v>576</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575</v>
      </c>
      <c r="B45" s="81" t="s">
        <v>577</v>
      </c>
      <c r="C45" s="83" t="s">
        <v>578</v>
      </c>
      <c r="D45" s="85" t="s">
        <v>579</v>
      </c>
      <c r="E45" s="85" t="s">
        <v>580</v>
      </c>
      <c r="F45" s="86" t="s">
        <v>554</v>
      </c>
      <c r="G45" s="86" t="s">
        <v>412</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575</v>
      </c>
      <c r="B46" s="81" t="s">
        <v>581</v>
      </c>
      <c r="C46" s="83" t="s">
        <v>582</v>
      </c>
      <c r="D46" s="85" t="s">
        <v>583</v>
      </c>
      <c r="E46" s="85" t="s">
        <v>584</v>
      </c>
      <c r="F46" s="86" t="s">
        <v>554</v>
      </c>
      <c r="G46" s="86" t="s">
        <v>454</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575</v>
      </c>
      <c r="B47" s="81" t="s">
        <v>585</v>
      </c>
      <c r="C47" s="83" t="s">
        <v>586</v>
      </c>
      <c r="D47" s="85" t="s">
        <v>587</v>
      </c>
      <c r="E47" s="85" t="s">
        <v>588</v>
      </c>
      <c r="F47" s="86" t="s">
        <v>554</v>
      </c>
      <c r="G47" s="86" t="s">
        <v>454</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575</v>
      </c>
      <c r="B48" s="81" t="s">
        <v>589</v>
      </c>
      <c r="C48" s="83" t="s">
        <v>590</v>
      </c>
      <c r="D48" s="85" t="s">
        <v>591</v>
      </c>
      <c r="E48" s="85" t="s">
        <v>592</v>
      </c>
      <c r="F48" s="86" t="s">
        <v>554</v>
      </c>
      <c r="G48" s="86" t="s">
        <v>454</v>
      </c>
      <c r="H48" s="86">
        <v>1</v>
      </c>
      <c r="I48" s="88">
        <f>IF(COUNTIF(J48:AW48,"&lt;&gt;")=0,"",SUMPRODUCT(((Recommendations[ImplStatus]="Implemented")+(Recommendations[ImplStatus]="Compensated"))*ISNUMBER(MATCH(Recommendations[Id],J48:AW48,0)))/COUNTIF(J48:AW48,"&lt;&gt;"))</f>
        <v>0</v>
      </c>
      <c r="J48" s="90" t="s">
        <v>43</v>
      </c>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575</v>
      </c>
      <c r="B49" s="81" t="s">
        <v>593</v>
      </c>
      <c r="C49" s="83" t="s">
        <v>594</v>
      </c>
      <c r="D49" s="85" t="s">
        <v>595</v>
      </c>
      <c r="E49" s="85" t="s">
        <v>596</v>
      </c>
      <c r="F49" s="86" t="s">
        <v>554</v>
      </c>
      <c r="G49" s="86" t="s">
        <v>412</v>
      </c>
      <c r="H49" s="86">
        <v>2</v>
      </c>
      <c r="I49" s="88">
        <f>IF(COUNTIF(J49:AW49,"&lt;&gt;")=0,"",SUMPRODUCT(((Recommendations[ImplStatus]="Implemented")+(Recommendations[ImplStatus]="Compensated"))*ISNUMBER(MATCH(Recommendations[Id],J49:AW49,0)))/COUNTIF(J49:AW49,"&lt;&gt;"))</f>
        <v>0</v>
      </c>
      <c r="J49" s="90" t="s">
        <v>78</v>
      </c>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575</v>
      </c>
      <c r="B50" s="81" t="s">
        <v>597</v>
      </c>
      <c r="C50" s="83" t="s">
        <v>598</v>
      </c>
      <c r="D50" s="85" t="s">
        <v>599</v>
      </c>
      <c r="E50" s="85" t="s">
        <v>600</v>
      </c>
      <c r="F50" s="86" t="s">
        <v>554</v>
      </c>
      <c r="G50" s="86" t="s">
        <v>470</v>
      </c>
      <c r="H50" s="86">
        <v>2</v>
      </c>
      <c r="I50" s="88">
        <f>IF(COUNTIF(J50:AW50,"&lt;&gt;")=0,"",SUMPRODUCT(((Recommendations[ImplStatus]="Implemented")+(Recommendations[ImplStatus]="Compensated"))*ISNUMBER(MATCH(Recommendations[Id],J50:AW50,0)))/COUNTIF(J50:AW50,"&lt;&gt;"))</f>
        <v>0</v>
      </c>
      <c r="J50" s="90" t="s">
        <v>48</v>
      </c>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601</v>
      </c>
      <c r="B51" s="80">
        <v>6</v>
      </c>
      <c r="C51" s="82" t="s">
        <v>19</v>
      </c>
      <c r="D51" s="84" t="s">
        <v>602</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601</v>
      </c>
      <c r="B52" s="81" t="s">
        <v>603</v>
      </c>
      <c r="C52" s="83" t="s">
        <v>604</v>
      </c>
      <c r="D52" s="85" t="s">
        <v>605</v>
      </c>
      <c r="E52" s="85" t="s">
        <v>606</v>
      </c>
      <c r="F52" s="86" t="s">
        <v>529</v>
      </c>
      <c r="G52" s="86" t="s">
        <v>470</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601</v>
      </c>
      <c r="B53" s="81" t="s">
        <v>607</v>
      </c>
      <c r="C53" s="83" t="s">
        <v>608</v>
      </c>
      <c r="D53" s="85" t="s">
        <v>609</v>
      </c>
      <c r="E53" s="85" t="s">
        <v>610</v>
      </c>
      <c r="F53" s="86" t="s">
        <v>529</v>
      </c>
      <c r="G53" s="86" t="s">
        <v>470</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601</v>
      </c>
      <c r="B54" s="81" t="s">
        <v>611</v>
      </c>
      <c r="C54" s="83" t="s">
        <v>612</v>
      </c>
      <c r="D54" s="85" t="s">
        <v>613</v>
      </c>
      <c r="E54" s="85" t="s">
        <v>614</v>
      </c>
      <c r="F54" s="86" t="s">
        <v>554</v>
      </c>
      <c r="G54" s="86" t="s">
        <v>454</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601</v>
      </c>
      <c r="B55" s="81" t="s">
        <v>615</v>
      </c>
      <c r="C55" s="83" t="s">
        <v>616</v>
      </c>
      <c r="D55" s="85" t="s">
        <v>617</v>
      </c>
      <c r="E55" s="85" t="s">
        <v>618</v>
      </c>
      <c r="F55" s="86" t="s">
        <v>554</v>
      </c>
      <c r="G55" s="86" t="s">
        <v>454</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601</v>
      </c>
      <c r="B56" s="81" t="s">
        <v>619</v>
      </c>
      <c r="C56" s="83" t="s">
        <v>620</v>
      </c>
      <c r="D56" s="85" t="s">
        <v>621</v>
      </c>
      <c r="E56" s="85" t="s">
        <v>622</v>
      </c>
      <c r="F56" s="86" t="s">
        <v>554</v>
      </c>
      <c r="G56" s="86" t="s">
        <v>454</v>
      </c>
      <c r="H56" s="86">
        <v>1</v>
      </c>
      <c r="I56" s="88">
        <f>IF(COUNTIF(J56:AW56,"&lt;&gt;")=0,"",SUMPRODUCT(((Recommendations[ImplStatus]="Implemented")+(Recommendations[ImplStatus]="Compensated"))*ISNUMBER(MATCH(Recommendations[Id],J56:AW56,0)))/COUNTIF(J56:AW56,"&lt;&gt;"))</f>
        <v>0</v>
      </c>
      <c r="J56" s="90" t="s">
        <v>53</v>
      </c>
      <c r="K56" s="90" t="s">
        <v>113</v>
      </c>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601</v>
      </c>
      <c r="B57" s="81" t="s">
        <v>623</v>
      </c>
      <c r="C57" s="83" t="s">
        <v>624</v>
      </c>
      <c r="D57" s="85" t="s">
        <v>625</v>
      </c>
      <c r="E57" s="85" t="s">
        <v>626</v>
      </c>
      <c r="F57" s="86" t="s">
        <v>437</v>
      </c>
      <c r="G57" s="86" t="s">
        <v>412</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601</v>
      </c>
      <c r="B58" s="81" t="s">
        <v>627</v>
      </c>
      <c r="C58" s="83" t="s">
        <v>628</v>
      </c>
      <c r="D58" s="85" t="s">
        <v>629</v>
      </c>
      <c r="E58" s="85" t="s">
        <v>630</v>
      </c>
      <c r="F58" s="86" t="s">
        <v>554</v>
      </c>
      <c r="G58" s="86" t="s">
        <v>454</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601</v>
      </c>
      <c r="B59" s="81" t="s">
        <v>631</v>
      </c>
      <c r="C59" s="83" t="s">
        <v>632</v>
      </c>
      <c r="D59" s="85" t="s">
        <v>633</v>
      </c>
      <c r="E59" s="85" t="s">
        <v>634</v>
      </c>
      <c r="F59" s="86" t="s">
        <v>554</v>
      </c>
      <c r="G59" s="86" t="s">
        <v>470</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635</v>
      </c>
      <c r="B60" s="80">
        <v>7</v>
      </c>
      <c r="C60" s="82" t="s">
        <v>19</v>
      </c>
      <c r="D60" s="84" t="s">
        <v>636</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635</v>
      </c>
      <c r="B61" s="81" t="s">
        <v>637</v>
      </c>
      <c r="C61" s="83" t="s">
        <v>638</v>
      </c>
      <c r="D61" s="85" t="s">
        <v>639</v>
      </c>
      <c r="E61" s="85" t="s">
        <v>640</v>
      </c>
      <c r="F61" s="86" t="s">
        <v>529</v>
      </c>
      <c r="G61" s="86" t="s">
        <v>470</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635</v>
      </c>
      <c r="B62" s="81" t="s">
        <v>641</v>
      </c>
      <c r="C62" s="83" t="s">
        <v>642</v>
      </c>
      <c r="D62" s="85" t="s">
        <v>643</v>
      </c>
      <c r="E62" s="85" t="s">
        <v>644</v>
      </c>
      <c r="F62" s="86" t="s">
        <v>529</v>
      </c>
      <c r="G62" s="86" t="s">
        <v>470</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635</v>
      </c>
      <c r="B63" s="81" t="s">
        <v>645</v>
      </c>
      <c r="C63" s="83" t="s">
        <v>646</v>
      </c>
      <c r="D63" s="85" t="s">
        <v>647</v>
      </c>
      <c r="E63" s="85" t="s">
        <v>648</v>
      </c>
      <c r="F63" s="86" t="s">
        <v>437</v>
      </c>
      <c r="G63" s="86" t="s">
        <v>454</v>
      </c>
      <c r="H63" s="86">
        <v>1</v>
      </c>
      <c r="I63" s="88">
        <f>IF(COUNTIF(J63:AW63,"&lt;&gt;")=0,"",SUMPRODUCT(((Recommendations[ImplStatus]="Implemented")+(Recommendations[ImplStatus]="Compensated"))*ISNUMBER(MATCH(Recommendations[Id],J63:AW63,0)))/COUNTIF(J63:AW63,"&lt;&gt;"))</f>
        <v>0</v>
      </c>
      <c r="J63" s="90" t="s">
        <v>38</v>
      </c>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635</v>
      </c>
      <c r="B64" s="81" t="s">
        <v>649</v>
      </c>
      <c r="C64" s="83" t="s">
        <v>650</v>
      </c>
      <c r="D64" s="85" t="s">
        <v>651</v>
      </c>
      <c r="E64" s="85" t="s">
        <v>652</v>
      </c>
      <c r="F64" s="86" t="s">
        <v>437</v>
      </c>
      <c r="G64" s="86" t="s">
        <v>454</v>
      </c>
      <c r="H64" s="86">
        <v>1</v>
      </c>
      <c r="I64" s="88">
        <f>IF(COUNTIF(J64:AW64,"&lt;&gt;")=0,"",SUMPRODUCT(((Recommendations[ImplStatus]="Implemented")+(Recommendations[ImplStatus]="Compensated"))*ISNUMBER(MATCH(Recommendations[Id],J64:AW64,0)))/COUNTIF(J64:AW64,"&lt;&gt;"))</f>
        <v>0</v>
      </c>
      <c r="J64" s="90" t="s">
        <v>38</v>
      </c>
      <c r="K64" s="90" t="s">
        <v>57</v>
      </c>
      <c r="L64" s="90" t="s">
        <v>83</v>
      </c>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635</v>
      </c>
      <c r="B65" s="81" t="s">
        <v>653</v>
      </c>
      <c r="C65" s="83" t="s">
        <v>654</v>
      </c>
      <c r="D65" s="85" t="s">
        <v>655</v>
      </c>
      <c r="E65" s="85" t="s">
        <v>656</v>
      </c>
      <c r="F65" s="86" t="s">
        <v>437</v>
      </c>
      <c r="G65" s="86" t="s">
        <v>412</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635</v>
      </c>
      <c r="B66" s="81" t="s">
        <v>657</v>
      </c>
      <c r="C66" s="83" t="s">
        <v>658</v>
      </c>
      <c r="D66" s="85" t="s">
        <v>659</v>
      </c>
      <c r="E66" s="85" t="s">
        <v>660</v>
      </c>
      <c r="F66" s="86" t="s">
        <v>437</v>
      </c>
      <c r="G66" s="86" t="s">
        <v>412</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635</v>
      </c>
      <c r="B67" s="81" t="s">
        <v>661</v>
      </c>
      <c r="C67" s="83" t="s">
        <v>662</v>
      </c>
      <c r="D67" s="85" t="s">
        <v>663</v>
      </c>
      <c r="E67" s="85" t="s">
        <v>664</v>
      </c>
      <c r="F67" s="86" t="s">
        <v>437</v>
      </c>
      <c r="G67" s="86" t="s">
        <v>417</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665</v>
      </c>
      <c r="B68" s="80">
        <v>8</v>
      </c>
      <c r="C68" s="82" t="s">
        <v>19</v>
      </c>
      <c r="D68" s="84" t="s">
        <v>666</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665</v>
      </c>
      <c r="B69" s="81" t="s">
        <v>667</v>
      </c>
      <c r="C69" s="83" t="s">
        <v>668</v>
      </c>
      <c r="D69" s="85" t="s">
        <v>669</v>
      </c>
      <c r="E69" s="85" t="s">
        <v>670</v>
      </c>
      <c r="F69" s="86" t="s">
        <v>529</v>
      </c>
      <c r="G69" s="86" t="s">
        <v>470</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665</v>
      </c>
      <c r="B70" s="81" t="s">
        <v>671</v>
      </c>
      <c r="C70" s="83" t="s">
        <v>672</v>
      </c>
      <c r="D70" s="85" t="s">
        <v>673</v>
      </c>
      <c r="E70" s="85" t="s">
        <v>674</v>
      </c>
      <c r="F70" s="86" t="s">
        <v>469</v>
      </c>
      <c r="G70" s="86" t="s">
        <v>422</v>
      </c>
      <c r="H70" s="86">
        <v>1</v>
      </c>
      <c r="I70" s="88" t="str">
        <f>IF(COUNTIF(J70:AW70,"&lt;&gt;")=0,"",SUMPRODUCT(((Recommendations[ImplStatus]="Implemented")+(Recommendations[ImplStatus]="Compensated"))*ISNUMBER(MATCH(Recommendations[Id],J70:AW70,0)))/COUNTIF(J70:AW70,"&lt;&gt;"))</f>
        <v/>
      </c>
      <c r="J70" s="90"/>
      <c r="K70" s="90"/>
      <c r="L70" s="90"/>
      <c r="M70" s="90"/>
      <c r="N70" s="90"/>
      <c r="O70" s="90"/>
      <c r="P70" s="90"/>
      <c r="Q70" s="90"/>
      <c r="R70" s="90"/>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665</v>
      </c>
      <c r="B71" s="81" t="s">
        <v>675</v>
      </c>
      <c r="C71" s="83" t="s">
        <v>676</v>
      </c>
      <c r="D71" s="85" t="s">
        <v>677</v>
      </c>
      <c r="E71" s="85" t="s">
        <v>678</v>
      </c>
      <c r="F71" s="86" t="s">
        <v>469</v>
      </c>
      <c r="G71" s="86" t="s">
        <v>454</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665</v>
      </c>
      <c r="B72" s="81" t="s">
        <v>679</v>
      </c>
      <c r="C72" s="83" t="s">
        <v>680</v>
      </c>
      <c r="D72" s="85" t="s">
        <v>681</v>
      </c>
      <c r="E72" s="85" t="s">
        <v>682</v>
      </c>
      <c r="F72" s="86" t="s">
        <v>683</v>
      </c>
      <c r="G72" s="86" t="s">
        <v>454</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665</v>
      </c>
      <c r="B73" s="81" t="s">
        <v>684</v>
      </c>
      <c r="C73" s="83" t="s">
        <v>685</v>
      </c>
      <c r="D73" s="85" t="s">
        <v>686</v>
      </c>
      <c r="E73" s="85" t="s">
        <v>687</v>
      </c>
      <c r="F73" s="86" t="s">
        <v>469</v>
      </c>
      <c r="G73" s="86" t="s">
        <v>422</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665</v>
      </c>
      <c r="B74" s="81" t="s">
        <v>688</v>
      </c>
      <c r="C74" s="83" t="s">
        <v>689</v>
      </c>
      <c r="D74" s="85" t="s">
        <v>690</v>
      </c>
      <c r="E74" s="85" t="s">
        <v>691</v>
      </c>
      <c r="F74" s="86" t="s">
        <v>469</v>
      </c>
      <c r="G74" s="86" t="s">
        <v>422</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665</v>
      </c>
      <c r="B75" s="81" t="s">
        <v>692</v>
      </c>
      <c r="C75" s="83" t="s">
        <v>693</v>
      </c>
      <c r="D75" s="85" t="s">
        <v>694</v>
      </c>
      <c r="E75" s="85" t="s">
        <v>695</v>
      </c>
      <c r="F75" s="86" t="s">
        <v>469</v>
      </c>
      <c r="G75" s="86" t="s">
        <v>422</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665</v>
      </c>
      <c r="B76" s="81" t="s">
        <v>696</v>
      </c>
      <c r="C76" s="83" t="s">
        <v>697</v>
      </c>
      <c r="D76" s="85" t="s">
        <v>698</v>
      </c>
      <c r="E76" s="85" t="s">
        <v>699</v>
      </c>
      <c r="F76" s="86" t="s">
        <v>469</v>
      </c>
      <c r="G76" s="86" t="s">
        <v>422</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665</v>
      </c>
      <c r="B77" s="81" t="s">
        <v>700</v>
      </c>
      <c r="C77" s="83" t="s">
        <v>701</v>
      </c>
      <c r="D77" s="85" t="s">
        <v>702</v>
      </c>
      <c r="E77" s="85" t="s">
        <v>703</v>
      </c>
      <c r="F77" s="86" t="s">
        <v>469</v>
      </c>
      <c r="G77" s="86" t="s">
        <v>422</v>
      </c>
      <c r="H77" s="86">
        <v>2</v>
      </c>
      <c r="I77" s="88">
        <f>IF(COUNTIF(J77:AW77,"&lt;&gt;")=0,"",SUMPRODUCT(((Recommendations[ImplStatus]="Implemented")+(Recommendations[ImplStatus]="Compensated"))*ISNUMBER(MATCH(Recommendations[Id],J77:AW77,0)))/COUNTIF(J77:AW77,"&lt;&gt;"))</f>
        <v>0</v>
      </c>
      <c r="J77" s="90" t="s">
        <v>28</v>
      </c>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665</v>
      </c>
      <c r="B78" s="81" t="s">
        <v>704</v>
      </c>
      <c r="C78" s="83" t="s">
        <v>705</v>
      </c>
      <c r="D78" s="85" t="s">
        <v>706</v>
      </c>
      <c r="E78" s="85" t="s">
        <v>707</v>
      </c>
      <c r="F78" s="86" t="s">
        <v>469</v>
      </c>
      <c r="G78" s="86" t="s">
        <v>454</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665</v>
      </c>
      <c r="B79" s="81" t="s">
        <v>708</v>
      </c>
      <c r="C79" s="83" t="s">
        <v>709</v>
      </c>
      <c r="D79" s="85" t="s">
        <v>710</v>
      </c>
      <c r="E79" s="85" t="s">
        <v>711</v>
      </c>
      <c r="F79" s="86" t="s">
        <v>469</v>
      </c>
      <c r="G79" s="86" t="s">
        <v>422</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665</v>
      </c>
      <c r="B80" s="81" t="s">
        <v>712</v>
      </c>
      <c r="C80" s="83" t="s">
        <v>713</v>
      </c>
      <c r="D80" s="85" t="s">
        <v>714</v>
      </c>
      <c r="E80" s="85" t="s">
        <v>715</v>
      </c>
      <c r="F80" s="86" t="s">
        <v>469</v>
      </c>
      <c r="G80" s="86" t="s">
        <v>422</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716</v>
      </c>
      <c r="B81" s="80">
        <v>9</v>
      </c>
      <c r="C81" s="82" t="s">
        <v>19</v>
      </c>
      <c r="D81" s="84" t="s">
        <v>717</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716</v>
      </c>
      <c r="B82" s="81" t="s">
        <v>718</v>
      </c>
      <c r="C82" s="83" t="s">
        <v>719</v>
      </c>
      <c r="D82" s="85" t="s">
        <v>720</v>
      </c>
      <c r="E82" s="85" t="s">
        <v>721</v>
      </c>
      <c r="F82" s="86" t="s">
        <v>437</v>
      </c>
      <c r="G82" s="86" t="s">
        <v>454</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716</v>
      </c>
      <c r="B83" s="81" t="s">
        <v>722</v>
      </c>
      <c r="C83" s="83" t="s">
        <v>723</v>
      </c>
      <c r="D83" s="85" t="s">
        <v>724</v>
      </c>
      <c r="E83" s="85" t="s">
        <v>725</v>
      </c>
      <c r="F83" s="86" t="s">
        <v>411</v>
      </c>
      <c r="G83" s="86" t="s">
        <v>454</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716</v>
      </c>
      <c r="B84" s="81" t="s">
        <v>726</v>
      </c>
      <c r="C84" s="83" t="s">
        <v>727</v>
      </c>
      <c r="D84" s="85" t="s">
        <v>728</v>
      </c>
      <c r="E84" s="85" t="s">
        <v>729</v>
      </c>
      <c r="F84" s="86" t="s">
        <v>683</v>
      </c>
      <c r="G84" s="86" t="s">
        <v>454</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716</v>
      </c>
      <c r="B85" s="81" t="s">
        <v>730</v>
      </c>
      <c r="C85" s="83" t="s">
        <v>731</v>
      </c>
      <c r="D85" s="85" t="s">
        <v>732</v>
      </c>
      <c r="E85" s="85" t="s">
        <v>733</v>
      </c>
      <c r="F85" s="86" t="s">
        <v>437</v>
      </c>
      <c r="G85" s="86" t="s">
        <v>454</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716</v>
      </c>
      <c r="B86" s="81" t="s">
        <v>734</v>
      </c>
      <c r="C86" s="83" t="s">
        <v>735</v>
      </c>
      <c r="D86" s="85" t="s">
        <v>736</v>
      </c>
      <c r="E86" s="85" t="s">
        <v>737</v>
      </c>
      <c r="F86" s="86" t="s">
        <v>683</v>
      </c>
      <c r="G86" s="86" t="s">
        <v>454</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716</v>
      </c>
      <c r="B87" s="81" t="s">
        <v>738</v>
      </c>
      <c r="C87" s="83" t="s">
        <v>739</v>
      </c>
      <c r="D87" s="85" t="s">
        <v>740</v>
      </c>
      <c r="E87" s="85" t="s">
        <v>741</v>
      </c>
      <c r="F87" s="86" t="s">
        <v>683</v>
      </c>
      <c r="G87" s="86" t="s">
        <v>454</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716</v>
      </c>
      <c r="B88" s="81" t="s">
        <v>742</v>
      </c>
      <c r="C88" s="83" t="s">
        <v>743</v>
      </c>
      <c r="D88" s="85" t="s">
        <v>744</v>
      </c>
      <c r="E88" s="85" t="s">
        <v>745</v>
      </c>
      <c r="F88" s="86" t="s">
        <v>683</v>
      </c>
      <c r="G88" s="86" t="s">
        <v>454</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746</v>
      </c>
      <c r="B89" s="80">
        <v>10</v>
      </c>
      <c r="C89" s="82" t="s">
        <v>19</v>
      </c>
      <c r="D89" s="84" t="s">
        <v>747</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746</v>
      </c>
      <c r="B90" s="81" t="s">
        <v>748</v>
      </c>
      <c r="C90" s="83" t="s">
        <v>749</v>
      </c>
      <c r="D90" s="85" t="s">
        <v>750</v>
      </c>
      <c r="E90" s="85" t="s">
        <v>751</v>
      </c>
      <c r="F90" s="86" t="s">
        <v>411</v>
      </c>
      <c r="G90" s="86" t="s">
        <v>422</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746</v>
      </c>
      <c r="B91" s="81" t="s">
        <v>752</v>
      </c>
      <c r="C91" s="83" t="s">
        <v>753</v>
      </c>
      <c r="D91" s="85" t="s">
        <v>754</v>
      </c>
      <c r="E91" s="85" t="s">
        <v>755</v>
      </c>
      <c r="F91" s="86" t="s">
        <v>411</v>
      </c>
      <c r="G91" s="86" t="s">
        <v>454</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746</v>
      </c>
      <c r="B92" s="81" t="s">
        <v>756</v>
      </c>
      <c r="C92" s="83" t="s">
        <v>757</v>
      </c>
      <c r="D92" s="85" t="s">
        <v>758</v>
      </c>
      <c r="E92" s="85" t="s">
        <v>759</v>
      </c>
      <c r="F92" s="86" t="s">
        <v>411</v>
      </c>
      <c r="G92" s="86" t="s">
        <v>454</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746</v>
      </c>
      <c r="B93" s="81" t="s">
        <v>760</v>
      </c>
      <c r="C93" s="83" t="s">
        <v>761</v>
      </c>
      <c r="D93" s="85" t="s">
        <v>762</v>
      </c>
      <c r="E93" s="85" t="s">
        <v>763</v>
      </c>
      <c r="F93" s="86" t="s">
        <v>411</v>
      </c>
      <c r="G93" s="86" t="s">
        <v>422</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746</v>
      </c>
      <c r="B94" s="81" t="s">
        <v>764</v>
      </c>
      <c r="C94" s="83" t="s">
        <v>765</v>
      </c>
      <c r="D94" s="85" t="s">
        <v>766</v>
      </c>
      <c r="E94" s="85" t="s">
        <v>767</v>
      </c>
      <c r="F94" s="86" t="s">
        <v>411</v>
      </c>
      <c r="G94" s="86" t="s">
        <v>454</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746</v>
      </c>
      <c r="B95" s="81" t="s">
        <v>768</v>
      </c>
      <c r="C95" s="83" t="s">
        <v>769</v>
      </c>
      <c r="D95" s="85" t="s">
        <v>770</v>
      </c>
      <c r="E95" s="85" t="s">
        <v>771</v>
      </c>
      <c r="F95" s="86" t="s">
        <v>411</v>
      </c>
      <c r="G95" s="86" t="s">
        <v>454</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746</v>
      </c>
      <c r="B96" s="81" t="s">
        <v>772</v>
      </c>
      <c r="C96" s="83" t="s">
        <v>773</v>
      </c>
      <c r="D96" s="85" t="s">
        <v>774</v>
      </c>
      <c r="E96" s="85" t="s">
        <v>775</v>
      </c>
      <c r="F96" s="86" t="s">
        <v>411</v>
      </c>
      <c r="G96" s="86" t="s">
        <v>422</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776</v>
      </c>
      <c r="B97" s="80">
        <v>11</v>
      </c>
      <c r="C97" s="82" t="s">
        <v>19</v>
      </c>
      <c r="D97" s="84" t="s">
        <v>777</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776</v>
      </c>
      <c r="B98" s="81" t="s">
        <v>778</v>
      </c>
      <c r="C98" s="83" t="s">
        <v>779</v>
      </c>
      <c r="D98" s="85" t="s">
        <v>780</v>
      </c>
      <c r="E98" s="85" t="s">
        <v>781</v>
      </c>
      <c r="F98" s="86" t="s">
        <v>529</v>
      </c>
      <c r="G98" s="86" t="s">
        <v>470</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776</v>
      </c>
      <c r="B99" s="81" t="s">
        <v>782</v>
      </c>
      <c r="C99" s="83" t="s">
        <v>783</v>
      </c>
      <c r="D99" s="85" t="s">
        <v>784</v>
      </c>
      <c r="E99" s="85" t="s">
        <v>785</v>
      </c>
      <c r="F99" s="86" t="s">
        <v>469</v>
      </c>
      <c r="G99" s="86" t="s">
        <v>786</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776</v>
      </c>
      <c r="B100" s="81" t="s">
        <v>787</v>
      </c>
      <c r="C100" s="83" t="s">
        <v>788</v>
      </c>
      <c r="D100" s="85" t="s">
        <v>789</v>
      </c>
      <c r="E100" s="85" t="s">
        <v>790</v>
      </c>
      <c r="F100" s="86" t="s">
        <v>469</v>
      </c>
      <c r="G100" s="86" t="s">
        <v>454</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776</v>
      </c>
      <c r="B101" s="81" t="s">
        <v>791</v>
      </c>
      <c r="C101" s="83" t="s">
        <v>792</v>
      </c>
      <c r="D101" s="85" t="s">
        <v>793</v>
      </c>
      <c r="E101" s="85" t="s">
        <v>794</v>
      </c>
      <c r="F101" s="86" t="s">
        <v>469</v>
      </c>
      <c r="G101" s="86" t="s">
        <v>786</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776</v>
      </c>
      <c r="B102" s="81" t="s">
        <v>795</v>
      </c>
      <c r="C102" s="83" t="s">
        <v>796</v>
      </c>
      <c r="D102" s="85" t="s">
        <v>797</v>
      </c>
      <c r="E102" s="85" t="s">
        <v>798</v>
      </c>
      <c r="F102" s="86" t="s">
        <v>469</v>
      </c>
      <c r="G102" s="86" t="s">
        <v>786</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799</v>
      </c>
      <c r="B103" s="80">
        <v>12</v>
      </c>
      <c r="C103" s="82" t="s">
        <v>19</v>
      </c>
      <c r="D103" s="84" t="s">
        <v>800</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799</v>
      </c>
      <c r="B104" s="81" t="s">
        <v>801</v>
      </c>
      <c r="C104" s="83" t="s">
        <v>802</v>
      </c>
      <c r="D104" s="85" t="s">
        <v>803</v>
      </c>
      <c r="E104" s="85" t="s">
        <v>804</v>
      </c>
      <c r="F104" s="86" t="s">
        <v>683</v>
      </c>
      <c r="G104" s="86" t="s">
        <v>454</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799</v>
      </c>
      <c r="B105" s="81" t="s">
        <v>805</v>
      </c>
      <c r="C105" s="83" t="s">
        <v>806</v>
      </c>
      <c r="D105" s="85" t="s">
        <v>807</v>
      </c>
      <c r="E105" s="85" t="s">
        <v>808</v>
      </c>
      <c r="F105" s="86" t="s">
        <v>683</v>
      </c>
      <c r="G105" s="86" t="s">
        <v>454</v>
      </c>
      <c r="H105" s="86">
        <v>2</v>
      </c>
      <c r="I105" s="88" t="str">
        <f>IF(COUNTIF(J105:AW105,"&lt;&gt;")=0,"",SUMPRODUCT(((Recommendations[ImplStatus]="Implemented")+(Recommendations[ImplStatus]="Compensated"))*ISNUMBER(MATCH(Recommendations[Id],J105:AW105,0)))/COUNTIF(J105:AW105,"&lt;&gt;"))</f>
        <v/>
      </c>
      <c r="J105" s="90"/>
      <c r="K105" s="90"/>
      <c r="L105" s="90"/>
      <c r="M105" s="90"/>
      <c r="N105" s="90"/>
      <c r="O105" s="90"/>
      <c r="P105" s="90"/>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799</v>
      </c>
      <c r="B106" s="81" t="s">
        <v>809</v>
      </c>
      <c r="C106" s="83" t="s">
        <v>810</v>
      </c>
      <c r="D106" s="85" t="s">
        <v>811</v>
      </c>
      <c r="E106" s="85" t="s">
        <v>812</v>
      </c>
      <c r="F106" s="86" t="s">
        <v>683</v>
      </c>
      <c r="G106" s="86" t="s">
        <v>454</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799</v>
      </c>
      <c r="B107" s="81" t="s">
        <v>813</v>
      </c>
      <c r="C107" s="83" t="s">
        <v>814</v>
      </c>
      <c r="D107" s="85" t="s">
        <v>815</v>
      </c>
      <c r="E107" s="85" t="s">
        <v>816</v>
      </c>
      <c r="F107" s="86" t="s">
        <v>529</v>
      </c>
      <c r="G107" s="86" t="s">
        <v>470</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799</v>
      </c>
      <c r="B108" s="81" t="s">
        <v>817</v>
      </c>
      <c r="C108" s="83" t="s">
        <v>818</v>
      </c>
      <c r="D108" s="85" t="s">
        <v>819</v>
      </c>
      <c r="E108" s="85" t="s">
        <v>820</v>
      </c>
      <c r="F108" s="86" t="s">
        <v>683</v>
      </c>
      <c r="G108" s="86" t="s">
        <v>454</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799</v>
      </c>
      <c r="B109" s="81" t="s">
        <v>821</v>
      </c>
      <c r="C109" s="83" t="s">
        <v>822</v>
      </c>
      <c r="D109" s="85" t="s">
        <v>823</v>
      </c>
      <c r="E109" s="85" t="s">
        <v>824</v>
      </c>
      <c r="F109" s="86" t="s">
        <v>683</v>
      </c>
      <c r="G109" s="86" t="s">
        <v>454</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799</v>
      </c>
      <c r="B110" s="81" t="s">
        <v>825</v>
      </c>
      <c r="C110" s="83" t="s">
        <v>826</v>
      </c>
      <c r="D110" s="85" t="s">
        <v>827</v>
      </c>
      <c r="E110" s="85" t="s">
        <v>828</v>
      </c>
      <c r="F110" s="86" t="s">
        <v>411</v>
      </c>
      <c r="G110" s="86" t="s">
        <v>454</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799</v>
      </c>
      <c r="B111" s="81" t="s">
        <v>829</v>
      </c>
      <c r="C111" s="83" t="s">
        <v>830</v>
      </c>
      <c r="D111" s="85" t="s">
        <v>831</v>
      </c>
      <c r="E111" s="85" t="s">
        <v>832</v>
      </c>
      <c r="F111" s="86" t="s">
        <v>411</v>
      </c>
      <c r="G111" s="86" t="s">
        <v>454</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833</v>
      </c>
      <c r="B112" s="80">
        <v>13</v>
      </c>
      <c r="C112" s="82" t="s">
        <v>19</v>
      </c>
      <c r="D112" s="84" t="s">
        <v>834</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833</v>
      </c>
      <c r="B113" s="81" t="s">
        <v>835</v>
      </c>
      <c r="C113" s="83" t="s">
        <v>836</v>
      </c>
      <c r="D113" s="85" t="s">
        <v>837</v>
      </c>
      <c r="E113" s="85" t="s">
        <v>838</v>
      </c>
      <c r="F113" s="86" t="s">
        <v>683</v>
      </c>
      <c r="G113" s="86" t="s">
        <v>422</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833</v>
      </c>
      <c r="B114" s="81" t="s">
        <v>839</v>
      </c>
      <c r="C114" s="83" t="s">
        <v>840</v>
      </c>
      <c r="D114" s="85" t="s">
        <v>841</v>
      </c>
      <c r="E114" s="85" t="s">
        <v>842</v>
      </c>
      <c r="F114" s="86" t="s">
        <v>411</v>
      </c>
      <c r="G114" s="86" t="s">
        <v>422</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833</v>
      </c>
      <c r="B115" s="81" t="s">
        <v>843</v>
      </c>
      <c r="C115" s="83" t="s">
        <v>844</v>
      </c>
      <c r="D115" s="85" t="s">
        <v>845</v>
      </c>
      <c r="E115" s="85" t="s">
        <v>846</v>
      </c>
      <c r="F115" s="86" t="s">
        <v>683</v>
      </c>
      <c r="G115" s="86" t="s">
        <v>422</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833</v>
      </c>
      <c r="B116" s="81" t="s">
        <v>847</v>
      </c>
      <c r="C116" s="83" t="s">
        <v>848</v>
      </c>
      <c r="D116" s="85" t="s">
        <v>849</v>
      </c>
      <c r="E116" s="85" t="s">
        <v>850</v>
      </c>
      <c r="F116" s="86" t="s">
        <v>683</v>
      </c>
      <c r="G116" s="86" t="s">
        <v>454</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833</v>
      </c>
      <c r="B117" s="81" t="s">
        <v>851</v>
      </c>
      <c r="C117" s="83" t="s">
        <v>852</v>
      </c>
      <c r="D117" s="85" t="s">
        <v>853</v>
      </c>
      <c r="E117" s="85" t="s">
        <v>854</v>
      </c>
      <c r="F117" s="86" t="s">
        <v>411</v>
      </c>
      <c r="G117" s="86" t="s">
        <v>454</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833</v>
      </c>
      <c r="B118" s="81" t="s">
        <v>855</v>
      </c>
      <c r="C118" s="83" t="s">
        <v>856</v>
      </c>
      <c r="D118" s="85" t="s">
        <v>857</v>
      </c>
      <c r="E118" s="85" t="s">
        <v>858</v>
      </c>
      <c r="F118" s="86" t="s">
        <v>683</v>
      </c>
      <c r="G118" s="86" t="s">
        <v>422</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833</v>
      </c>
      <c r="B119" s="81" t="s">
        <v>859</v>
      </c>
      <c r="C119" s="83" t="s">
        <v>860</v>
      </c>
      <c r="D119" s="85" t="s">
        <v>861</v>
      </c>
      <c r="E119" s="85" t="s">
        <v>862</v>
      </c>
      <c r="F119" s="86" t="s">
        <v>411</v>
      </c>
      <c r="G119" s="86" t="s">
        <v>454</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833</v>
      </c>
      <c r="B120" s="81" t="s">
        <v>863</v>
      </c>
      <c r="C120" s="83" t="s">
        <v>864</v>
      </c>
      <c r="D120" s="85" t="s">
        <v>865</v>
      </c>
      <c r="E120" s="85" t="s">
        <v>866</v>
      </c>
      <c r="F120" s="86" t="s">
        <v>683</v>
      </c>
      <c r="G120" s="86" t="s">
        <v>454</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833</v>
      </c>
      <c r="B121" s="81" t="s">
        <v>867</v>
      </c>
      <c r="C121" s="83" t="s">
        <v>868</v>
      </c>
      <c r="D121" s="85" t="s">
        <v>869</v>
      </c>
      <c r="E121" s="85" t="s">
        <v>870</v>
      </c>
      <c r="F121" s="86" t="s">
        <v>683</v>
      </c>
      <c r="G121" s="86" t="s">
        <v>454</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833</v>
      </c>
      <c r="B122" s="81" t="s">
        <v>871</v>
      </c>
      <c r="C122" s="83" t="s">
        <v>872</v>
      </c>
      <c r="D122" s="85" t="s">
        <v>873</v>
      </c>
      <c r="E122" s="85" t="s">
        <v>874</v>
      </c>
      <c r="F122" s="86" t="s">
        <v>683</v>
      </c>
      <c r="G122" s="86" t="s">
        <v>454</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833</v>
      </c>
      <c r="B123" s="81" t="s">
        <v>875</v>
      </c>
      <c r="C123" s="83" t="s">
        <v>876</v>
      </c>
      <c r="D123" s="85" t="s">
        <v>877</v>
      </c>
      <c r="E123" s="85" t="s">
        <v>878</v>
      </c>
      <c r="F123" s="86" t="s">
        <v>683</v>
      </c>
      <c r="G123" s="86" t="s">
        <v>422</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879</v>
      </c>
      <c r="B124" s="80">
        <v>14</v>
      </c>
      <c r="C124" s="82" t="s">
        <v>19</v>
      </c>
      <c r="D124" s="84" t="s">
        <v>880</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879</v>
      </c>
      <c r="B125" s="81" t="s">
        <v>881</v>
      </c>
      <c r="C125" s="83" t="s">
        <v>882</v>
      </c>
      <c r="D125" s="85" t="s">
        <v>883</v>
      </c>
      <c r="E125" s="85" t="s">
        <v>884</v>
      </c>
      <c r="F125" s="86" t="s">
        <v>529</v>
      </c>
      <c r="G125" s="86" t="s">
        <v>470</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879</v>
      </c>
      <c r="B126" s="81" t="s">
        <v>885</v>
      </c>
      <c r="C126" s="83" t="s">
        <v>886</v>
      </c>
      <c r="D126" s="85" t="s">
        <v>887</v>
      </c>
      <c r="E126" s="85" t="s">
        <v>888</v>
      </c>
      <c r="F126" s="86" t="s">
        <v>554</v>
      </c>
      <c r="G126" s="86" t="s">
        <v>454</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879</v>
      </c>
      <c r="B127" s="81" t="s">
        <v>889</v>
      </c>
      <c r="C127" s="83" t="s">
        <v>890</v>
      </c>
      <c r="D127" s="85" t="s">
        <v>891</v>
      </c>
      <c r="E127" s="85" t="s">
        <v>892</v>
      </c>
      <c r="F127" s="86" t="s">
        <v>554</v>
      </c>
      <c r="G127" s="86" t="s">
        <v>454</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879</v>
      </c>
      <c r="B128" s="81" t="s">
        <v>893</v>
      </c>
      <c r="C128" s="83" t="s">
        <v>894</v>
      </c>
      <c r="D128" s="85" t="s">
        <v>895</v>
      </c>
      <c r="E128" s="85" t="s">
        <v>896</v>
      </c>
      <c r="F128" s="86" t="s">
        <v>554</v>
      </c>
      <c r="G128" s="86" t="s">
        <v>454</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879</v>
      </c>
      <c r="B129" s="81" t="s">
        <v>897</v>
      </c>
      <c r="C129" s="83" t="s">
        <v>898</v>
      </c>
      <c r="D129" s="85" t="s">
        <v>899</v>
      </c>
      <c r="E129" s="85" t="s">
        <v>900</v>
      </c>
      <c r="F129" s="86" t="s">
        <v>554</v>
      </c>
      <c r="G129" s="86" t="s">
        <v>454</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879</v>
      </c>
      <c r="B130" s="81" t="s">
        <v>901</v>
      </c>
      <c r="C130" s="83" t="s">
        <v>902</v>
      </c>
      <c r="D130" s="85" t="s">
        <v>903</v>
      </c>
      <c r="E130" s="85" t="s">
        <v>904</v>
      </c>
      <c r="F130" s="86" t="s">
        <v>554</v>
      </c>
      <c r="G130" s="86" t="s">
        <v>454</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879</v>
      </c>
      <c r="B131" s="81" t="s">
        <v>905</v>
      </c>
      <c r="C131" s="83" t="s">
        <v>906</v>
      </c>
      <c r="D131" s="85" t="s">
        <v>907</v>
      </c>
      <c r="E131" s="85" t="s">
        <v>908</v>
      </c>
      <c r="F131" s="86" t="s">
        <v>554</v>
      </c>
      <c r="G131" s="86" t="s">
        <v>454</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879</v>
      </c>
      <c r="B132" s="81" t="s">
        <v>909</v>
      </c>
      <c r="C132" s="83" t="s">
        <v>910</v>
      </c>
      <c r="D132" s="85" t="s">
        <v>911</v>
      </c>
      <c r="E132" s="85" t="s">
        <v>912</v>
      </c>
      <c r="F132" s="86" t="s">
        <v>554</v>
      </c>
      <c r="G132" s="86" t="s">
        <v>454</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879</v>
      </c>
      <c r="B133" s="81" t="s">
        <v>913</v>
      </c>
      <c r="C133" s="83" t="s">
        <v>914</v>
      </c>
      <c r="D133" s="85" t="s">
        <v>915</v>
      </c>
      <c r="E133" s="85" t="s">
        <v>916</v>
      </c>
      <c r="F133" s="86" t="s">
        <v>554</v>
      </c>
      <c r="G133" s="86" t="s">
        <v>454</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917</v>
      </c>
      <c r="B134" s="80">
        <v>15</v>
      </c>
      <c r="C134" s="82" t="s">
        <v>19</v>
      </c>
      <c r="D134" s="84" t="s">
        <v>918</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917</v>
      </c>
      <c r="B135" s="81" t="s">
        <v>919</v>
      </c>
      <c r="C135" s="83" t="s">
        <v>920</v>
      </c>
      <c r="D135" s="85" t="s">
        <v>921</v>
      </c>
      <c r="E135" s="85" t="s">
        <v>922</v>
      </c>
      <c r="F135" s="86" t="s">
        <v>554</v>
      </c>
      <c r="G135" s="86" t="s">
        <v>412</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917</v>
      </c>
      <c r="B136" s="81" t="s">
        <v>923</v>
      </c>
      <c r="C136" s="83" t="s">
        <v>924</v>
      </c>
      <c r="D136" s="85" t="s">
        <v>925</v>
      </c>
      <c r="E136" s="85" t="s">
        <v>926</v>
      </c>
      <c r="F136" s="86" t="s">
        <v>529</v>
      </c>
      <c r="G136" s="86" t="s">
        <v>470</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917</v>
      </c>
      <c r="B137" s="81" t="s">
        <v>927</v>
      </c>
      <c r="C137" s="83" t="s">
        <v>928</v>
      </c>
      <c r="D137" s="85" t="s">
        <v>929</v>
      </c>
      <c r="E137" s="85" t="s">
        <v>930</v>
      </c>
      <c r="F137" s="86" t="s">
        <v>554</v>
      </c>
      <c r="G137" s="86" t="s">
        <v>470</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917</v>
      </c>
      <c r="B138" s="81" t="s">
        <v>931</v>
      </c>
      <c r="C138" s="83" t="s">
        <v>932</v>
      </c>
      <c r="D138" s="85" t="s">
        <v>933</v>
      </c>
      <c r="E138" s="85" t="s">
        <v>934</v>
      </c>
      <c r="F138" s="86" t="s">
        <v>529</v>
      </c>
      <c r="G138" s="86" t="s">
        <v>470</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917</v>
      </c>
      <c r="B139" s="81" t="s">
        <v>935</v>
      </c>
      <c r="C139" s="83" t="s">
        <v>936</v>
      </c>
      <c r="D139" s="85" t="s">
        <v>937</v>
      </c>
      <c r="E139" s="85" t="s">
        <v>938</v>
      </c>
      <c r="F139" s="86" t="s">
        <v>554</v>
      </c>
      <c r="G139" s="86" t="s">
        <v>470</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917</v>
      </c>
      <c r="B140" s="81" t="s">
        <v>939</v>
      </c>
      <c r="C140" s="83" t="s">
        <v>940</v>
      </c>
      <c r="D140" s="85" t="s">
        <v>941</v>
      </c>
      <c r="E140" s="85" t="s">
        <v>942</v>
      </c>
      <c r="F140" s="86" t="s">
        <v>469</v>
      </c>
      <c r="G140" s="86" t="s">
        <v>470</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917</v>
      </c>
      <c r="B141" s="81" t="s">
        <v>943</v>
      </c>
      <c r="C141" s="83" t="s">
        <v>944</v>
      </c>
      <c r="D141" s="85" t="s">
        <v>945</v>
      </c>
      <c r="E141" s="85" t="s">
        <v>946</v>
      </c>
      <c r="F141" s="86" t="s">
        <v>469</v>
      </c>
      <c r="G141" s="86" t="s">
        <v>454</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947</v>
      </c>
      <c r="B142" s="80">
        <v>16</v>
      </c>
      <c r="C142" s="82" t="s">
        <v>19</v>
      </c>
      <c r="D142" s="84" t="s">
        <v>948</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947</v>
      </c>
      <c r="B143" s="81" t="s">
        <v>949</v>
      </c>
      <c r="C143" s="83" t="s">
        <v>950</v>
      </c>
      <c r="D143" s="85" t="s">
        <v>951</v>
      </c>
      <c r="E143" s="85" t="s">
        <v>952</v>
      </c>
      <c r="F143" s="86" t="s">
        <v>529</v>
      </c>
      <c r="G143" s="86" t="s">
        <v>470</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947</v>
      </c>
      <c r="B144" s="81" t="s">
        <v>953</v>
      </c>
      <c r="C144" s="83" t="s">
        <v>954</v>
      </c>
      <c r="D144" s="85" t="s">
        <v>955</v>
      </c>
      <c r="E144" s="85" t="s">
        <v>956</v>
      </c>
      <c r="F144" s="86" t="s">
        <v>529</v>
      </c>
      <c r="G144" s="86" t="s">
        <v>470</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947</v>
      </c>
      <c r="B145" s="81" t="s">
        <v>957</v>
      </c>
      <c r="C145" s="83" t="s">
        <v>958</v>
      </c>
      <c r="D145" s="85" t="s">
        <v>959</v>
      </c>
      <c r="E145" s="85" t="s">
        <v>960</v>
      </c>
      <c r="F145" s="86" t="s">
        <v>437</v>
      </c>
      <c r="G145" s="86" t="s">
        <v>422</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947</v>
      </c>
      <c r="B146" s="81" t="s">
        <v>961</v>
      </c>
      <c r="C146" s="83" t="s">
        <v>962</v>
      </c>
      <c r="D146" s="85" t="s">
        <v>963</v>
      </c>
      <c r="E146" s="85" t="s">
        <v>964</v>
      </c>
      <c r="F146" s="86" t="s">
        <v>437</v>
      </c>
      <c r="G146" s="86" t="s">
        <v>412</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947</v>
      </c>
      <c r="B147" s="81" t="s">
        <v>965</v>
      </c>
      <c r="C147" s="83" t="s">
        <v>966</v>
      </c>
      <c r="D147" s="85" t="s">
        <v>967</v>
      </c>
      <c r="E147" s="85" t="s">
        <v>968</v>
      </c>
      <c r="F147" s="86" t="s">
        <v>437</v>
      </c>
      <c r="G147" s="86" t="s">
        <v>454</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947</v>
      </c>
      <c r="B148" s="81" t="s">
        <v>969</v>
      </c>
      <c r="C148" s="83" t="s">
        <v>970</v>
      </c>
      <c r="D148" s="85" t="s">
        <v>971</v>
      </c>
      <c r="E148" s="85" t="s">
        <v>972</v>
      </c>
      <c r="F148" s="86" t="s">
        <v>529</v>
      </c>
      <c r="G148" s="86" t="s">
        <v>470</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947</v>
      </c>
      <c r="B149" s="81" t="s">
        <v>973</v>
      </c>
      <c r="C149" s="83" t="s">
        <v>974</v>
      </c>
      <c r="D149" s="85" t="s">
        <v>975</v>
      </c>
      <c r="E149" s="85" t="s">
        <v>976</v>
      </c>
      <c r="F149" s="86" t="s">
        <v>437</v>
      </c>
      <c r="G149" s="86" t="s">
        <v>454</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947</v>
      </c>
      <c r="B150" s="81" t="s">
        <v>977</v>
      </c>
      <c r="C150" s="83" t="s">
        <v>978</v>
      </c>
      <c r="D150" s="85" t="s">
        <v>979</v>
      </c>
      <c r="E150" s="85" t="s">
        <v>980</v>
      </c>
      <c r="F150" s="86" t="s">
        <v>683</v>
      </c>
      <c r="G150" s="86" t="s">
        <v>454</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947</v>
      </c>
      <c r="B151" s="81" t="s">
        <v>981</v>
      </c>
      <c r="C151" s="83" t="s">
        <v>982</v>
      </c>
      <c r="D151" s="85" t="s">
        <v>983</v>
      </c>
      <c r="E151" s="85" t="s">
        <v>984</v>
      </c>
      <c r="F151" s="86" t="s">
        <v>554</v>
      </c>
      <c r="G151" s="86" t="s">
        <v>454</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947</v>
      </c>
      <c r="B152" s="81" t="s">
        <v>985</v>
      </c>
      <c r="C152" s="83" t="s">
        <v>986</v>
      </c>
      <c r="D152" s="85" t="s">
        <v>987</v>
      </c>
      <c r="E152" s="85" t="s">
        <v>988</v>
      </c>
      <c r="F152" s="86" t="s">
        <v>437</v>
      </c>
      <c r="G152" s="86" t="s">
        <v>454</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947</v>
      </c>
      <c r="B153" s="81" t="s">
        <v>989</v>
      </c>
      <c r="C153" s="83" t="s">
        <v>990</v>
      </c>
      <c r="D153" s="85" t="s">
        <v>991</v>
      </c>
      <c r="E153" s="85" t="s">
        <v>992</v>
      </c>
      <c r="F153" s="86" t="s">
        <v>437</v>
      </c>
      <c r="G153" s="86" t="s">
        <v>454</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947</v>
      </c>
      <c r="B154" s="81" t="s">
        <v>993</v>
      </c>
      <c r="C154" s="83" t="s">
        <v>994</v>
      </c>
      <c r="D154" s="85" t="s">
        <v>995</v>
      </c>
      <c r="E154" s="85" t="s">
        <v>996</v>
      </c>
      <c r="F154" s="86" t="s">
        <v>437</v>
      </c>
      <c r="G154" s="86" t="s">
        <v>454</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947</v>
      </c>
      <c r="B155" s="81" t="s">
        <v>997</v>
      </c>
      <c r="C155" s="83" t="s">
        <v>998</v>
      </c>
      <c r="D155" s="85" t="s">
        <v>999</v>
      </c>
      <c r="E155" s="85" t="s">
        <v>1000</v>
      </c>
      <c r="F155" s="86" t="s">
        <v>437</v>
      </c>
      <c r="G155" s="86" t="s">
        <v>422</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947</v>
      </c>
      <c r="B156" s="81" t="s">
        <v>1001</v>
      </c>
      <c r="C156" s="83" t="s">
        <v>1002</v>
      </c>
      <c r="D156" s="85" t="s">
        <v>1003</v>
      </c>
      <c r="E156" s="85" t="s">
        <v>1004</v>
      </c>
      <c r="F156" s="86" t="s">
        <v>437</v>
      </c>
      <c r="G156" s="86" t="s">
        <v>454</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1005</v>
      </c>
      <c r="B157" s="80">
        <v>17</v>
      </c>
      <c r="C157" s="82" t="s">
        <v>19</v>
      </c>
      <c r="D157" s="84" t="s">
        <v>1006</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1005</v>
      </c>
      <c r="B158" s="81" t="s">
        <v>1007</v>
      </c>
      <c r="C158" s="83" t="s">
        <v>1008</v>
      </c>
      <c r="D158" s="85" t="s">
        <v>1009</v>
      </c>
      <c r="E158" s="85" t="s">
        <v>1010</v>
      </c>
      <c r="F158" s="86" t="s">
        <v>554</v>
      </c>
      <c r="G158" s="86" t="s">
        <v>417</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1005</v>
      </c>
      <c r="B159" s="81" t="s">
        <v>1011</v>
      </c>
      <c r="C159" s="83" t="s">
        <v>1012</v>
      </c>
      <c r="D159" s="85" t="s">
        <v>1013</v>
      </c>
      <c r="E159" s="85" t="s">
        <v>1014</v>
      </c>
      <c r="F159" s="86" t="s">
        <v>529</v>
      </c>
      <c r="G159" s="86" t="s">
        <v>470</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1005</v>
      </c>
      <c r="B160" s="81" t="s">
        <v>1015</v>
      </c>
      <c r="C160" s="83" t="s">
        <v>1016</v>
      </c>
      <c r="D160" s="85" t="s">
        <v>1017</v>
      </c>
      <c r="E160" s="85" t="s">
        <v>1018</v>
      </c>
      <c r="F160" s="86" t="s">
        <v>529</v>
      </c>
      <c r="G160" s="86" t="s">
        <v>470</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1005</v>
      </c>
      <c r="B161" s="81" t="s">
        <v>1019</v>
      </c>
      <c r="C161" s="83" t="s">
        <v>1020</v>
      </c>
      <c r="D161" s="85" t="s">
        <v>1021</v>
      </c>
      <c r="E161" s="85" t="s">
        <v>1022</v>
      </c>
      <c r="F161" s="86" t="s">
        <v>529</v>
      </c>
      <c r="G161" s="86" t="s">
        <v>470</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1005</v>
      </c>
      <c r="B162" s="81" t="s">
        <v>1023</v>
      </c>
      <c r="C162" s="83" t="s">
        <v>1024</v>
      </c>
      <c r="D162" s="85" t="s">
        <v>1025</v>
      </c>
      <c r="E162" s="85" t="s">
        <v>1026</v>
      </c>
      <c r="F162" s="86" t="s">
        <v>554</v>
      </c>
      <c r="G162" s="86" t="s">
        <v>417</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1005</v>
      </c>
      <c r="B163" s="81" t="s">
        <v>1027</v>
      </c>
      <c r="C163" s="83" t="s">
        <v>1028</v>
      </c>
      <c r="D163" s="85" t="s">
        <v>1029</v>
      </c>
      <c r="E163" s="85" t="s">
        <v>1030</v>
      </c>
      <c r="F163" s="86" t="s">
        <v>554</v>
      </c>
      <c r="G163" s="86" t="s">
        <v>417</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1005</v>
      </c>
      <c r="B164" s="81" t="s">
        <v>1031</v>
      </c>
      <c r="C164" s="83" t="s">
        <v>1032</v>
      </c>
      <c r="D164" s="85" t="s">
        <v>1033</v>
      </c>
      <c r="E164" s="85" t="s">
        <v>1034</v>
      </c>
      <c r="F164" s="86" t="s">
        <v>554</v>
      </c>
      <c r="G164" s="86" t="s">
        <v>786</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1005</v>
      </c>
      <c r="B165" s="81" t="s">
        <v>1035</v>
      </c>
      <c r="C165" s="83" t="s">
        <v>1036</v>
      </c>
      <c r="D165" s="85" t="s">
        <v>1037</v>
      </c>
      <c r="E165" s="85" t="s">
        <v>1038</v>
      </c>
      <c r="F165" s="86" t="s">
        <v>554</v>
      </c>
      <c r="G165" s="86" t="s">
        <v>786</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1005</v>
      </c>
      <c r="B166" s="81" t="s">
        <v>1039</v>
      </c>
      <c r="C166" s="83" t="s">
        <v>1040</v>
      </c>
      <c r="D166" s="85" t="s">
        <v>1041</v>
      </c>
      <c r="E166" s="85" t="s">
        <v>1042</v>
      </c>
      <c r="F166" s="86" t="s">
        <v>529</v>
      </c>
      <c r="G166" s="86" t="s">
        <v>786</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1043</v>
      </c>
      <c r="B167" s="80">
        <v>18</v>
      </c>
      <c r="C167" s="82" t="s">
        <v>19</v>
      </c>
      <c r="D167" s="84" t="s">
        <v>1044</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1043</v>
      </c>
      <c r="B168" s="81" t="s">
        <v>1045</v>
      </c>
      <c r="C168" s="83" t="s">
        <v>1046</v>
      </c>
      <c r="D168" s="85" t="s">
        <v>1047</v>
      </c>
      <c r="E168" s="85" t="s">
        <v>1048</v>
      </c>
      <c r="F168" s="86" t="s">
        <v>529</v>
      </c>
      <c r="G168" s="86" t="s">
        <v>470</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1043</v>
      </c>
      <c r="B169" s="81" t="s">
        <v>1049</v>
      </c>
      <c r="C169" s="83" t="s">
        <v>1050</v>
      </c>
      <c r="D169" s="85" t="s">
        <v>1051</v>
      </c>
      <c r="E169" s="85" t="s">
        <v>1052</v>
      </c>
      <c r="F169" s="86" t="s">
        <v>683</v>
      </c>
      <c r="G169" s="86" t="s">
        <v>422</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1043</v>
      </c>
      <c r="B170" s="81" t="s">
        <v>1053</v>
      </c>
      <c r="C170" s="83" t="s">
        <v>1054</v>
      </c>
      <c r="D170" s="85" t="s">
        <v>1055</v>
      </c>
      <c r="E170" s="85" t="s">
        <v>1056</v>
      </c>
      <c r="F170" s="86" t="s">
        <v>683</v>
      </c>
      <c r="G170" s="86" t="s">
        <v>454</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1043</v>
      </c>
      <c r="B171" s="81" t="s">
        <v>1057</v>
      </c>
      <c r="C171" s="83" t="s">
        <v>1058</v>
      </c>
      <c r="D171" s="85" t="s">
        <v>1059</v>
      </c>
      <c r="E171" s="85" t="s">
        <v>1060</v>
      </c>
      <c r="F171" s="86" t="s">
        <v>683</v>
      </c>
      <c r="G171" s="86" t="s">
        <v>454</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1043</v>
      </c>
      <c r="B172" s="91" t="s">
        <v>1061</v>
      </c>
      <c r="C172" s="92" t="s">
        <v>1062</v>
      </c>
      <c r="D172" s="93" t="s">
        <v>1063</v>
      </c>
      <c r="E172" s="93" t="s">
        <v>1064</v>
      </c>
      <c r="F172" s="94" t="s">
        <v>683</v>
      </c>
      <c r="G172" s="94" t="s">
        <v>422</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118</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IFERROR(INDEX('Recommendations'!$G$2:$G$21, MATCH(J2,'Recommendations'!$A$2:$A$21,0))="Implemented", FALSE))</xm:f>
            <x14:dxf>
              <font>
                <color rgb="FF000000"/>
              </font>
              <fill>
                <patternFill>
                  <bgColor rgb="FF3C7D22"/>
                </patternFill>
              </fill>
            </x14:dxf>
          </x14:cfRule>
          <x14:cfRule type="expression" priority="2" id="{00000000-000E-0000-0400-000002000000}">
            <xm:f>AND(J2&lt;&gt;"", IFERROR(INDEX('Recommendations'!$G$2:$G$21, MATCH(J2,'Recommendations'!$A$2:$A$21,0))="Compensated", FALSE))</xm:f>
            <x14:dxf>
              <font>
                <color rgb="FF000000"/>
              </font>
              <fill>
                <patternFill>
                  <bgColor rgb="FFC6E0B4"/>
                </patternFill>
              </fill>
            </x14:dxf>
          </x14:cfRule>
          <x14:cfRule type="expression" priority="3" id="{00000000-000E-0000-0400-000003000000}">
            <xm:f>AND(J2&lt;&gt;"", IFERROR(INDEX('Recommendations'!$G$2:$G$21, MATCH(J2,'Recommendations'!$A$2:$A$21,0))="Testing", FALSE))</xm:f>
            <x14:dxf>
              <font>
                <color rgb="FF000000"/>
              </font>
              <fill>
                <patternFill>
                  <bgColor rgb="FFFFC000"/>
                </patternFill>
              </fill>
            </x14:dxf>
          </x14:cfRule>
          <x14:cfRule type="expression" priority="4" id="{00000000-000E-0000-0400-000004000000}">
            <xm:f>AND(J2&lt;&gt;"", IFERROR(INDEX('Recommendations'!$G$2:$G$21, MATCH(J2,'Recommendations'!$A$2:$A$21,0))="Failed", FALSE))</xm:f>
            <x14:dxf>
              <font>
                <color rgb="FF000000"/>
              </font>
              <fill>
                <patternFill>
                  <bgColor rgb="FFD82891"/>
                </patternFill>
              </fill>
            </x14:dxf>
          </x14:cfRule>
          <x14:cfRule type="expression" priority="5" id="{00000000-000E-0000-0400-000005000000}">
            <xm:f>AND(J2&lt;&gt;"", IFERROR(INDEX('Recommendations'!$G$2:$G$21, MATCH(J2,'Recommendations'!$A$2:$A$21,0))="Risk Accepted", FALSE))</xm:f>
            <x14:dxf>
              <font>
                <color rgb="FF000000"/>
              </font>
              <fill>
                <patternFill>
                  <bgColor rgb="FFD9D9D9"/>
                </patternFill>
              </fill>
            </x14:dxf>
          </x14:cfRule>
          <x14:cfRule type="expression" priority="6" id="{00000000-000E-0000-0400-000006000000}">
            <xm:f>AND(J2&lt;&gt;"", IFERROR(INDEX('Recommendations'!$G$2:$G$21, MATCH(J2,'Recommendations'!$A$2:$A$21,0))="N/A",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1065</v>
      </c>
      <c r="C1" s="121" t="s">
        <v>9</v>
      </c>
      <c r="D1" s="121" t="s">
        <v>270</v>
      </c>
      <c r="E1" s="121" t="s">
        <v>1066</v>
      </c>
      <c r="F1" s="121" t="s">
        <v>1067</v>
      </c>
      <c r="G1" s="121" t="s">
        <v>364</v>
      </c>
      <c r="H1" s="121" t="s">
        <v>365</v>
      </c>
      <c r="I1" s="121" t="s">
        <v>366</v>
      </c>
      <c r="J1" s="121" t="s">
        <v>367</v>
      </c>
      <c r="K1" s="121" t="s">
        <v>368</v>
      </c>
      <c r="L1" s="121" t="s">
        <v>369</v>
      </c>
      <c r="M1" s="121" t="s">
        <v>370</v>
      </c>
      <c r="N1" s="121" t="s">
        <v>371</v>
      </c>
      <c r="O1" s="121" t="s">
        <v>372</v>
      </c>
      <c r="P1" s="121" t="s">
        <v>373</v>
      </c>
      <c r="Q1" s="121" t="s">
        <v>374</v>
      </c>
      <c r="R1" s="121" t="s">
        <v>375</v>
      </c>
      <c r="S1" s="121" t="s">
        <v>376</v>
      </c>
      <c r="T1" s="121" t="s">
        <v>377</v>
      </c>
      <c r="U1" s="121" t="s">
        <v>378</v>
      </c>
      <c r="V1" s="121" t="s">
        <v>379</v>
      </c>
      <c r="W1" s="121" t="s">
        <v>380</v>
      </c>
      <c r="X1" s="121" t="s">
        <v>381</v>
      </c>
      <c r="Y1" s="121" t="s">
        <v>382</v>
      </c>
      <c r="Z1" s="121" t="s">
        <v>383</v>
      </c>
      <c r="AA1" s="121" t="s">
        <v>384</v>
      </c>
      <c r="AB1" s="121" t="s">
        <v>385</v>
      </c>
      <c r="AC1" s="121" t="s">
        <v>386</v>
      </c>
      <c r="AD1" s="121" t="s">
        <v>387</v>
      </c>
      <c r="AE1" s="121" t="s">
        <v>388</v>
      </c>
      <c r="AF1" s="121" t="s">
        <v>389</v>
      </c>
      <c r="AG1" s="121" t="s">
        <v>390</v>
      </c>
      <c r="AH1" s="121" t="s">
        <v>391</v>
      </c>
      <c r="AI1" s="121" t="s">
        <v>392</v>
      </c>
      <c r="AJ1" s="121" t="s">
        <v>393</v>
      </c>
      <c r="AK1" s="121" t="s">
        <v>394</v>
      </c>
      <c r="AL1" s="121" t="s">
        <v>395</v>
      </c>
      <c r="AM1" s="121" t="s">
        <v>396</v>
      </c>
      <c r="AN1" s="121" t="s">
        <v>397</v>
      </c>
      <c r="AO1" s="121" t="s">
        <v>398</v>
      </c>
      <c r="AP1" s="121" t="s">
        <v>399</v>
      </c>
      <c r="AQ1" s="121" t="s">
        <v>400</v>
      </c>
      <c r="AR1" s="121" t="s">
        <v>401</v>
      </c>
      <c r="AS1" s="121" t="s">
        <v>402</v>
      </c>
      <c r="AT1" s="121" t="s">
        <v>403</v>
      </c>
      <c r="AU1" s="122" t="s">
        <v>404</v>
      </c>
    </row>
    <row r="2" spans="1:47" ht="60" customHeight="1" x14ac:dyDescent="0.35">
      <c r="A2" s="116" t="s">
        <v>1068</v>
      </c>
      <c r="B2" s="106" t="s">
        <v>1069</v>
      </c>
      <c r="C2" s="107" t="s">
        <v>1070</v>
      </c>
      <c r="D2" s="107" t="s">
        <v>1071</v>
      </c>
      <c r="E2" s="107" t="s">
        <v>1072</v>
      </c>
      <c r="F2" s="108" t="s">
        <v>1073</v>
      </c>
      <c r="G2" s="109">
        <f>IF(COUNTIF(H2:AU2,"&lt;&gt;")=0,"",SUMPRODUCT(((Recommendations[ImplStatus]="Implemented")+(Recommendations[ImplStatus]="Compensated"))*ISNUMBER(MATCH(Recommendations[Id],H2:AU2,0)))/COUNTIF(H2:AU2,"&lt;&gt;"))</f>
        <v>0</v>
      </c>
      <c r="H2" s="110" t="s">
        <v>108</v>
      </c>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1074</v>
      </c>
      <c r="B3" s="106" t="s">
        <v>1075</v>
      </c>
      <c r="C3" s="107" t="s">
        <v>1076</v>
      </c>
      <c r="D3" s="107" t="s">
        <v>1077</v>
      </c>
      <c r="E3" s="107" t="s">
        <v>1078</v>
      </c>
      <c r="F3" s="108" t="s">
        <v>1079</v>
      </c>
      <c r="G3" s="109">
        <f>IF(COUNTIF(H3:AU3,"&lt;&gt;")=0,"",SUMPRODUCT(((Recommendations[ImplStatus]="Implemented")+(Recommendations[ImplStatus]="Compensated"))*ISNUMBER(MATCH(Recommendations[Id],H3:AU3,0)))/COUNTIF(H3:AU3,"&lt;&gt;"))</f>
        <v>0</v>
      </c>
      <c r="H3" s="110" t="s">
        <v>48</v>
      </c>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1080</v>
      </c>
      <c r="B4" s="106" t="s">
        <v>1081</v>
      </c>
      <c r="C4" s="107" t="s">
        <v>1082</v>
      </c>
      <c r="D4" s="107" t="s">
        <v>1083</v>
      </c>
      <c r="E4" s="107" t="s">
        <v>1084</v>
      </c>
      <c r="F4" s="108" t="s">
        <v>1085</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1086</v>
      </c>
      <c r="B5" s="106" t="s">
        <v>1087</v>
      </c>
      <c r="C5" s="107" t="s">
        <v>1088</v>
      </c>
      <c r="D5" s="107" t="s">
        <v>1089</v>
      </c>
      <c r="E5" s="107" t="s">
        <v>1090</v>
      </c>
      <c r="F5" s="108" t="s">
        <v>1091</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1092</v>
      </c>
      <c r="B6" s="106" t="s">
        <v>1093</v>
      </c>
      <c r="C6" s="107" t="s">
        <v>1094</v>
      </c>
      <c r="D6" s="107" t="s">
        <v>1095</v>
      </c>
      <c r="E6" s="107" t="s">
        <v>19</v>
      </c>
      <c r="F6" s="108" t="s">
        <v>1096</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1097</v>
      </c>
      <c r="B7" s="106" t="s">
        <v>10</v>
      </c>
      <c r="C7" s="107" t="s">
        <v>1098</v>
      </c>
      <c r="D7" s="107" t="s">
        <v>1099</v>
      </c>
      <c r="E7" s="107" t="s">
        <v>19</v>
      </c>
      <c r="F7" s="108" t="s">
        <v>1100</v>
      </c>
      <c r="G7" s="109">
        <f>IF(COUNTIF(H7:AU7,"&lt;&gt;")=0,"",SUMPRODUCT(((Recommendations[ImplStatus]="Implemented")+(Recommendations[ImplStatus]="Compensated"))*ISNUMBER(MATCH(Recommendations[Id],H7:AU7,0)))/COUNTIF(H7:AU7,"&lt;&gt;"))</f>
        <v>0</v>
      </c>
      <c r="H7" s="110" t="s">
        <v>28</v>
      </c>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1101</v>
      </c>
      <c r="B8" s="106" t="s">
        <v>1102</v>
      </c>
      <c r="C8" s="107" t="s">
        <v>1103</v>
      </c>
      <c r="D8" s="107" t="s">
        <v>1104</v>
      </c>
      <c r="E8" s="107" t="s">
        <v>19</v>
      </c>
      <c r="F8" s="108" t="s">
        <v>1105</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1106</v>
      </c>
      <c r="B9" s="106" t="s">
        <v>1107</v>
      </c>
      <c r="C9" s="107" t="s">
        <v>1108</v>
      </c>
      <c r="D9" s="107" t="s">
        <v>1109</v>
      </c>
      <c r="E9" s="107" t="s">
        <v>19</v>
      </c>
      <c r="F9" s="108" t="s">
        <v>1110</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1111</v>
      </c>
      <c r="B10" s="106" t="s">
        <v>1112</v>
      </c>
      <c r="C10" s="107" t="s">
        <v>1113</v>
      </c>
      <c r="D10" s="107" t="s">
        <v>1114</v>
      </c>
      <c r="E10" s="107" t="s">
        <v>19</v>
      </c>
      <c r="F10" s="108" t="s">
        <v>1115</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1116</v>
      </c>
      <c r="B11" s="106" t="s">
        <v>1117</v>
      </c>
      <c r="C11" s="107" t="s">
        <v>1118</v>
      </c>
      <c r="D11" s="107" t="s">
        <v>1119</v>
      </c>
      <c r="E11" s="107" t="s">
        <v>19</v>
      </c>
      <c r="F11" s="108" t="s">
        <v>1120</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1121</v>
      </c>
      <c r="B12" s="106" t="s">
        <v>1122</v>
      </c>
      <c r="C12" s="107" t="s">
        <v>1123</v>
      </c>
      <c r="D12" s="107" t="s">
        <v>1124</v>
      </c>
      <c r="E12" s="107" t="s">
        <v>19</v>
      </c>
      <c r="F12" s="108" t="s">
        <v>1125</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1126</v>
      </c>
      <c r="B13" s="106" t="s">
        <v>1127</v>
      </c>
      <c r="C13" s="107" t="s">
        <v>1128</v>
      </c>
      <c r="D13" s="107" t="s">
        <v>1129</v>
      </c>
      <c r="E13" s="107" t="s">
        <v>19</v>
      </c>
      <c r="F13" s="108" t="s">
        <v>1130</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1131</v>
      </c>
      <c r="B14" s="106" t="s">
        <v>1132</v>
      </c>
      <c r="C14" s="107" t="s">
        <v>1133</v>
      </c>
      <c r="D14" s="107" t="s">
        <v>1134</v>
      </c>
      <c r="E14" s="107" t="s">
        <v>19</v>
      </c>
      <c r="F14" s="108" t="s">
        <v>1135</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1136</v>
      </c>
      <c r="B15" s="106" t="s">
        <v>1137</v>
      </c>
      <c r="C15" s="107" t="s">
        <v>1138</v>
      </c>
      <c r="D15" s="107" t="s">
        <v>1139</v>
      </c>
      <c r="E15" s="107" t="s">
        <v>19</v>
      </c>
      <c r="F15" s="108" t="s">
        <v>1140</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1141</v>
      </c>
      <c r="B16" s="106" t="s">
        <v>1142</v>
      </c>
      <c r="C16" s="107" t="s">
        <v>1143</v>
      </c>
      <c r="D16" s="107" t="s">
        <v>1144</v>
      </c>
      <c r="E16" s="107" t="s">
        <v>19</v>
      </c>
      <c r="F16" s="108" t="s">
        <v>1145</v>
      </c>
      <c r="G16" s="109">
        <f>IF(COUNTIF(H16:AU16,"&lt;&gt;")=0,"",SUMPRODUCT(((Recommendations[ImplStatus]="Implemented")+(Recommendations[ImplStatus]="Compensated"))*ISNUMBER(MATCH(Recommendations[Id],H16:AU16,0)))/COUNTIF(H16:AU16,"&lt;&gt;"))</f>
        <v>0</v>
      </c>
      <c r="H16" s="110" t="s">
        <v>23</v>
      </c>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1146</v>
      </c>
      <c r="B17" s="106" t="s">
        <v>1147</v>
      </c>
      <c r="C17" s="107" t="s">
        <v>1148</v>
      </c>
      <c r="D17" s="107" t="s">
        <v>1149</v>
      </c>
      <c r="E17" s="107" t="s">
        <v>19</v>
      </c>
      <c r="F17" s="108" t="s">
        <v>1150</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1151</v>
      </c>
      <c r="B18" s="106" t="s">
        <v>1152</v>
      </c>
      <c r="C18" s="107" t="s">
        <v>1153</v>
      </c>
      <c r="D18" s="107" t="s">
        <v>1154</v>
      </c>
      <c r="E18" s="107" t="s">
        <v>19</v>
      </c>
      <c r="F18" s="108" t="s">
        <v>1155</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1156</v>
      </c>
      <c r="B19" s="106" t="s">
        <v>1157</v>
      </c>
      <c r="C19" s="107" t="s">
        <v>1158</v>
      </c>
      <c r="D19" s="107" t="s">
        <v>1159</v>
      </c>
      <c r="E19" s="107" t="s">
        <v>19</v>
      </c>
      <c r="F19" s="108" t="s">
        <v>1160</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1161</v>
      </c>
      <c r="B20" s="106" t="s">
        <v>1162</v>
      </c>
      <c r="C20" s="107" t="s">
        <v>1163</v>
      </c>
      <c r="D20" s="107" t="s">
        <v>1164</v>
      </c>
      <c r="E20" s="107" t="s">
        <v>19</v>
      </c>
      <c r="F20" s="108" t="s">
        <v>1165</v>
      </c>
      <c r="G20" s="109">
        <f>IF(COUNTIF(H20:AU20,"&lt;&gt;")=0,"",SUMPRODUCT(((Recommendations[ImplStatus]="Implemented")+(Recommendations[ImplStatus]="Compensated"))*ISNUMBER(MATCH(Recommendations[Id],H20:AU20,0)))/COUNTIF(H20:AU20,"&lt;&gt;"))</f>
        <v>0</v>
      </c>
      <c r="H20" s="110" t="s">
        <v>63</v>
      </c>
      <c r="I20" s="110" t="s">
        <v>68</v>
      </c>
      <c r="J20" s="110" t="s">
        <v>73</v>
      </c>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1166</v>
      </c>
      <c r="B21" s="106" t="s">
        <v>1167</v>
      </c>
      <c r="C21" s="107" t="s">
        <v>1168</v>
      </c>
      <c r="D21" s="107" t="s">
        <v>1169</v>
      </c>
      <c r="E21" s="107" t="s">
        <v>1170</v>
      </c>
      <c r="F21" s="108" t="s">
        <v>1171</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1172</v>
      </c>
      <c r="B22" s="106" t="s">
        <v>1173</v>
      </c>
      <c r="C22" s="107" t="s">
        <v>1174</v>
      </c>
      <c r="D22" s="107" t="s">
        <v>1175</v>
      </c>
      <c r="E22" s="107" t="s">
        <v>1176</v>
      </c>
      <c r="F22" s="108" t="s">
        <v>1177</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1178</v>
      </c>
      <c r="B23" s="106" t="s">
        <v>1179</v>
      </c>
      <c r="C23" s="107" t="s">
        <v>1180</v>
      </c>
      <c r="D23" s="107" t="s">
        <v>1181</v>
      </c>
      <c r="E23" s="107" t="s">
        <v>1182</v>
      </c>
      <c r="F23" s="108" t="s">
        <v>1183</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1184</v>
      </c>
      <c r="B24" s="106" t="s">
        <v>1185</v>
      </c>
      <c r="C24" s="107" t="s">
        <v>1186</v>
      </c>
      <c r="D24" s="107" t="s">
        <v>1187</v>
      </c>
      <c r="E24" s="107" t="s">
        <v>19</v>
      </c>
      <c r="F24" s="108" t="s">
        <v>1188</v>
      </c>
      <c r="G24" s="109">
        <f>IF(COUNTIF(H24:AU24,"&lt;&gt;")=0,"",SUMPRODUCT(((Recommendations[ImplStatus]="Implemented")+(Recommendations[ImplStatus]="Compensated"))*ISNUMBER(MATCH(Recommendations[Id],H24:AU24,0)))/COUNTIF(H24:AU24,"&lt;&gt;"))</f>
        <v>0</v>
      </c>
      <c r="H24" s="110" t="s">
        <v>53</v>
      </c>
      <c r="I24" s="110" t="s">
        <v>113</v>
      </c>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1189</v>
      </c>
      <c r="B25" s="106" t="s">
        <v>1190</v>
      </c>
      <c r="C25" s="107" t="s">
        <v>1191</v>
      </c>
      <c r="D25" s="107" t="s">
        <v>19</v>
      </c>
      <c r="E25" s="107" t="s">
        <v>19</v>
      </c>
      <c r="F25" s="108" t="s">
        <v>1192</v>
      </c>
      <c r="G25" s="109" t="str">
        <f>IF(COUNTIF(H25:AU25,"&lt;&gt;")=0,"",SUMPRODUCT(((Recommendations[ImplStatus]="Implemented")+(Recommendations[ImplStatus]="Compensated"))*ISNUMBER(MATCH(Recommendations[Id],H25:AU25,0)))/COUNTIF(H25:AU25,"&lt;&gt;"))</f>
        <v/>
      </c>
      <c r="H25" s="110"/>
      <c r="I25" s="110"/>
      <c r="J25" s="110"/>
      <c r="K25" s="110"/>
      <c r="L25" s="110"/>
      <c r="M25" s="110"/>
      <c r="N25" s="110"/>
      <c r="O25" s="110"/>
      <c r="P25" s="110"/>
      <c r="Q25" s="110"/>
      <c r="R25" s="110"/>
      <c r="S25" s="110"/>
      <c r="T25" s="110"/>
      <c r="U25" s="110"/>
      <c r="V25" s="110"/>
      <c r="W25" s="110"/>
      <c r="X25" s="110"/>
      <c r="Y25" s="110"/>
      <c r="Z25" s="110"/>
      <c r="AA25" s="110"/>
      <c r="AB25" s="110"/>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1193</v>
      </c>
      <c r="B26" s="106" t="s">
        <v>1194</v>
      </c>
      <c r="C26" s="107" t="s">
        <v>1195</v>
      </c>
      <c r="D26" s="107" t="s">
        <v>1196</v>
      </c>
      <c r="E26" s="107" t="s">
        <v>19</v>
      </c>
      <c r="F26" s="108" t="s">
        <v>1197</v>
      </c>
      <c r="G26" s="109" t="str">
        <f>IF(COUNTIF(H26:AU26,"&lt;&gt;")=0,"",SUMPRODUCT(((Recommendations[ImplStatus]="Implemented")+(Recommendations[ImplStatus]="Compensated"))*ISNUMBER(MATCH(Recommendations[Id],H26:AU26,0)))/COUNTIF(H26:AU26,"&lt;&gt;"))</f>
        <v/>
      </c>
      <c r="H26" s="110"/>
      <c r="I26" s="110"/>
      <c r="J26" s="110"/>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1198</v>
      </c>
      <c r="B27" s="106" t="s">
        <v>1199</v>
      </c>
      <c r="C27" s="107" t="s">
        <v>1200</v>
      </c>
      <c r="D27" s="107" t="s">
        <v>1201</v>
      </c>
      <c r="E27" s="107" t="s">
        <v>1202</v>
      </c>
      <c r="F27" s="108" t="s">
        <v>1203</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1204</v>
      </c>
      <c r="B28" s="106" t="s">
        <v>1205</v>
      </c>
      <c r="C28" s="107" t="s">
        <v>1206</v>
      </c>
      <c r="D28" s="107" t="s">
        <v>19</v>
      </c>
      <c r="E28" s="107" t="s">
        <v>19</v>
      </c>
      <c r="F28" s="108" t="s">
        <v>1207</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1208</v>
      </c>
      <c r="B29" s="106" t="s">
        <v>1209</v>
      </c>
      <c r="C29" s="107" t="s">
        <v>1210</v>
      </c>
      <c r="D29" s="107" t="s">
        <v>1211</v>
      </c>
      <c r="E29" s="107" t="s">
        <v>1212</v>
      </c>
      <c r="F29" s="108" t="s">
        <v>1213</v>
      </c>
      <c r="G29" s="109">
        <f>IF(COUNTIF(H29:AU29,"&lt;&gt;")=0,"",SUMPRODUCT(((Recommendations[ImplStatus]="Implemented")+(Recommendations[ImplStatus]="Compensated"))*ISNUMBER(MATCH(Recommendations[Id],H29:AU29,0)))/COUNTIF(H29:AU29,"&lt;&gt;"))</f>
        <v>0</v>
      </c>
      <c r="H29" s="110" t="s">
        <v>88</v>
      </c>
      <c r="I29" s="110" t="s">
        <v>93</v>
      </c>
      <c r="J29" s="110" t="s">
        <v>98</v>
      </c>
      <c r="K29" s="110" t="s">
        <v>103</v>
      </c>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1214</v>
      </c>
      <c r="B30" s="106" t="s">
        <v>1215</v>
      </c>
      <c r="C30" s="107" t="s">
        <v>1216</v>
      </c>
      <c r="D30" s="107" t="s">
        <v>1217</v>
      </c>
      <c r="E30" s="107" t="s">
        <v>19</v>
      </c>
      <c r="F30" s="108" t="s">
        <v>1218</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1219</v>
      </c>
      <c r="B31" s="106" t="s">
        <v>1220</v>
      </c>
      <c r="C31" s="107" t="s">
        <v>1221</v>
      </c>
      <c r="D31" s="107" t="s">
        <v>1222</v>
      </c>
      <c r="E31" s="107" t="s">
        <v>1223</v>
      </c>
      <c r="F31" s="108" t="s">
        <v>1224</v>
      </c>
      <c r="G31" s="109">
        <f>IF(COUNTIF(H31:AU31,"&lt;&gt;")=0,"",SUMPRODUCT(((Recommendations[ImplStatus]="Implemented")+(Recommendations[ImplStatus]="Compensated"))*ISNUMBER(MATCH(Recommendations[Id],H31:AU31,0)))/COUNTIF(H31:AU31,"&lt;&gt;"))</f>
        <v>0</v>
      </c>
      <c r="H31" s="110" t="s">
        <v>43</v>
      </c>
      <c r="I31" s="110" t="s">
        <v>78</v>
      </c>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1225</v>
      </c>
      <c r="B32" s="106" t="s">
        <v>1226</v>
      </c>
      <c r="C32" s="107" t="s">
        <v>1227</v>
      </c>
      <c r="D32" s="107" t="s">
        <v>1228</v>
      </c>
      <c r="E32" s="107" t="s">
        <v>1229</v>
      </c>
      <c r="F32" s="108" t="s">
        <v>1230</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1231</v>
      </c>
      <c r="B33" s="106" t="s">
        <v>1232</v>
      </c>
      <c r="C33" s="107" t="s">
        <v>1233</v>
      </c>
      <c r="D33" s="107" t="s">
        <v>1234</v>
      </c>
      <c r="E33" s="107" t="s">
        <v>19</v>
      </c>
      <c r="F33" s="108" t="s">
        <v>1235</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1236</v>
      </c>
      <c r="B34" s="106" t="s">
        <v>1237</v>
      </c>
      <c r="C34" s="107" t="s">
        <v>1238</v>
      </c>
      <c r="D34" s="107" t="s">
        <v>1239</v>
      </c>
      <c r="E34" s="107" t="s">
        <v>19</v>
      </c>
      <c r="F34" s="108" t="s">
        <v>1240</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1241</v>
      </c>
      <c r="B35" s="106" t="s">
        <v>1242</v>
      </c>
      <c r="C35" s="107" t="s">
        <v>1243</v>
      </c>
      <c r="D35" s="107" t="s">
        <v>1244</v>
      </c>
      <c r="E35" s="107" t="s">
        <v>1245</v>
      </c>
      <c r="F35" s="108" t="s">
        <v>1246</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1247</v>
      </c>
      <c r="B36" s="106" t="s">
        <v>1248</v>
      </c>
      <c r="C36" s="107" t="s">
        <v>1249</v>
      </c>
      <c r="D36" s="107" t="s">
        <v>1250</v>
      </c>
      <c r="E36" s="107" t="s">
        <v>1251</v>
      </c>
      <c r="F36" s="108" t="s">
        <v>1252</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1253</v>
      </c>
      <c r="B37" s="106" t="s">
        <v>1254</v>
      </c>
      <c r="C37" s="107" t="s">
        <v>1255</v>
      </c>
      <c r="D37" s="107" t="s">
        <v>1256</v>
      </c>
      <c r="E37" s="107" t="s">
        <v>19</v>
      </c>
      <c r="F37" s="108" t="s">
        <v>1257</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1258</v>
      </c>
      <c r="B38" s="106" t="s">
        <v>1259</v>
      </c>
      <c r="C38" s="107" t="s">
        <v>1260</v>
      </c>
      <c r="D38" s="107" t="s">
        <v>1261</v>
      </c>
      <c r="E38" s="107" t="s">
        <v>1262</v>
      </c>
      <c r="F38" s="108" t="s">
        <v>1263</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1264</v>
      </c>
      <c r="B39" s="106" t="s">
        <v>1265</v>
      </c>
      <c r="C39" s="107" t="s">
        <v>1266</v>
      </c>
      <c r="D39" s="107" t="s">
        <v>1267</v>
      </c>
      <c r="E39" s="107" t="s">
        <v>19</v>
      </c>
      <c r="F39" s="108" t="s">
        <v>1268</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1269</v>
      </c>
      <c r="B40" s="106" t="s">
        <v>1270</v>
      </c>
      <c r="C40" s="107" t="s">
        <v>1271</v>
      </c>
      <c r="D40" s="107" t="s">
        <v>1272</v>
      </c>
      <c r="E40" s="107" t="s">
        <v>1273</v>
      </c>
      <c r="F40" s="108" t="s">
        <v>1274</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1275</v>
      </c>
      <c r="B41" s="106" t="s">
        <v>1276</v>
      </c>
      <c r="C41" s="107" t="s">
        <v>1277</v>
      </c>
      <c r="D41" s="107" t="s">
        <v>1278</v>
      </c>
      <c r="E41" s="107" t="s">
        <v>1279</v>
      </c>
      <c r="F41" s="108" t="s">
        <v>1280</v>
      </c>
      <c r="G41" s="109">
        <f>IF(COUNTIF(H41:AU41,"&lt;&gt;")=0,"",SUMPRODUCT(((Recommendations[ImplStatus]="Implemented")+(Recommendations[ImplStatus]="Compensated"))*ISNUMBER(MATCH(Recommendations[Id],H41:AU41,0)))/COUNTIF(H41:AU41,"&lt;&gt;"))</f>
        <v>0</v>
      </c>
      <c r="H41" s="110" t="s">
        <v>38</v>
      </c>
      <c r="I41" s="110" t="s">
        <v>57</v>
      </c>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1281</v>
      </c>
      <c r="B42" s="106" t="s">
        <v>1282</v>
      </c>
      <c r="C42" s="107" t="s">
        <v>1283</v>
      </c>
      <c r="D42" s="107" t="s">
        <v>1284</v>
      </c>
      <c r="E42" s="107" t="s">
        <v>1285</v>
      </c>
      <c r="F42" s="108" t="s">
        <v>1286</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1287</v>
      </c>
      <c r="B43" s="106" t="s">
        <v>1288</v>
      </c>
      <c r="C43" s="107" t="s">
        <v>1289</v>
      </c>
      <c r="D43" s="107" t="s">
        <v>1290</v>
      </c>
      <c r="E43" s="107" t="s">
        <v>1291</v>
      </c>
      <c r="F43" s="108" t="s">
        <v>1292</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1293</v>
      </c>
      <c r="B44" s="106" t="s">
        <v>1294</v>
      </c>
      <c r="C44" s="107" t="s">
        <v>1295</v>
      </c>
      <c r="D44" s="107" t="s">
        <v>1296</v>
      </c>
      <c r="E44" s="107" t="s">
        <v>19</v>
      </c>
      <c r="F44" s="108" t="s">
        <v>1297</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1298</v>
      </c>
      <c r="B45" s="111" t="s">
        <v>1299</v>
      </c>
      <c r="C45" s="112" t="s">
        <v>1300</v>
      </c>
      <c r="D45" s="112" t="s">
        <v>1301</v>
      </c>
      <c r="E45" s="112" t="s">
        <v>1302</v>
      </c>
      <c r="F45" s="113" t="s">
        <v>1303</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118</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IFERROR(INDEX('Recommendations'!$G$2:$G$21, MATCH(H2,'Recommendations'!$A$2:$A$21,0))="Implemented", FALSE))</xm:f>
            <x14:dxf>
              <font>
                <color rgb="FF000000"/>
              </font>
              <fill>
                <patternFill>
                  <bgColor rgb="FF3C7D22"/>
                </patternFill>
              </fill>
            </x14:dxf>
          </x14:cfRule>
          <x14:cfRule type="expression" priority="2" id="{00000000-000E-0000-0500-000002000000}">
            <xm:f>AND(H2&lt;&gt;"", IFERROR(INDEX('Recommendations'!$G$2:$G$21, MATCH(H2,'Recommendations'!$A$2:$A$21,0))="Compensated", FALSE))</xm:f>
            <x14:dxf>
              <font>
                <color rgb="FF000000"/>
              </font>
              <fill>
                <patternFill>
                  <bgColor rgb="FFC6E0B4"/>
                </patternFill>
              </fill>
            </x14:dxf>
          </x14:cfRule>
          <x14:cfRule type="expression" priority="3" id="{00000000-000E-0000-0500-000003000000}">
            <xm:f>AND(H2&lt;&gt;"", IFERROR(INDEX('Recommendations'!$G$2:$G$21, MATCH(H2,'Recommendations'!$A$2:$A$21,0))="Testing", FALSE))</xm:f>
            <x14:dxf>
              <font>
                <color rgb="FF000000"/>
              </font>
              <fill>
                <patternFill>
                  <bgColor rgb="FFFFC000"/>
                </patternFill>
              </fill>
            </x14:dxf>
          </x14:cfRule>
          <x14:cfRule type="expression" priority="4" id="{00000000-000E-0000-0500-000004000000}">
            <xm:f>AND(H2&lt;&gt;"", IFERROR(INDEX('Recommendations'!$G$2:$G$21, MATCH(H2,'Recommendations'!$A$2:$A$21,0))="Failed", FALSE))</xm:f>
            <x14:dxf>
              <font>
                <color rgb="FF000000"/>
              </font>
              <fill>
                <patternFill>
                  <bgColor rgb="FFD82891"/>
                </patternFill>
              </fill>
            </x14:dxf>
          </x14:cfRule>
          <x14:cfRule type="expression" priority="5" id="{00000000-000E-0000-0500-000005000000}">
            <xm:f>AND(H2&lt;&gt;"", IFERROR(INDEX('Recommendations'!$G$2:$G$21, MATCH(H2,'Recommendations'!$A$2:$A$21,0))="Risk Accepted", FALSE))</xm:f>
            <x14:dxf>
              <font>
                <color rgb="FF000000"/>
              </font>
              <fill>
                <patternFill>
                  <bgColor rgb="FFD9D9D9"/>
                </patternFill>
              </fill>
            </x14:dxf>
          </x14:cfRule>
          <x14:cfRule type="expression" priority="6" id="{00000000-000E-0000-0500-000006000000}">
            <xm:f>AND(H2&lt;&gt;"", IFERROR(INDEX('Recommendations'!$G$2:$G$21, MATCH(H2,'Recommendations'!$A$2:$A$21,0))="N/A",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1304</v>
      </c>
      <c r="B1" s="145" t="s">
        <v>358</v>
      </c>
      <c r="C1" s="145" t="s">
        <v>0</v>
      </c>
      <c r="D1" s="145" t="s">
        <v>359</v>
      </c>
      <c r="E1" s="145" t="s">
        <v>1305</v>
      </c>
      <c r="F1" s="145" t="s">
        <v>1306</v>
      </c>
      <c r="G1" s="145" t="s">
        <v>1307</v>
      </c>
      <c r="H1" s="145" t="s">
        <v>1308</v>
      </c>
      <c r="I1" s="145" t="s">
        <v>364</v>
      </c>
      <c r="J1" s="145" t="s">
        <v>365</v>
      </c>
      <c r="K1" s="145" t="s">
        <v>366</v>
      </c>
      <c r="L1" s="145" t="s">
        <v>367</v>
      </c>
      <c r="M1" s="145" t="s">
        <v>368</v>
      </c>
      <c r="N1" s="145" t="s">
        <v>369</v>
      </c>
      <c r="O1" s="145" t="s">
        <v>370</v>
      </c>
      <c r="P1" s="145" t="s">
        <v>371</v>
      </c>
      <c r="Q1" s="145" t="s">
        <v>372</v>
      </c>
      <c r="R1" s="145" t="s">
        <v>373</v>
      </c>
      <c r="S1" s="145" t="s">
        <v>374</v>
      </c>
      <c r="T1" s="145" t="s">
        <v>375</v>
      </c>
      <c r="U1" s="145" t="s">
        <v>376</v>
      </c>
      <c r="V1" s="145" t="s">
        <v>377</v>
      </c>
      <c r="W1" s="145" t="s">
        <v>378</v>
      </c>
      <c r="X1" s="145" t="s">
        <v>379</v>
      </c>
      <c r="Y1" s="145" t="s">
        <v>380</v>
      </c>
      <c r="Z1" s="145" t="s">
        <v>381</v>
      </c>
      <c r="AA1" s="145" t="s">
        <v>382</v>
      </c>
      <c r="AB1" s="145" t="s">
        <v>383</v>
      </c>
      <c r="AC1" s="145" t="s">
        <v>384</v>
      </c>
      <c r="AD1" s="145" t="s">
        <v>385</v>
      </c>
      <c r="AE1" s="145" t="s">
        <v>386</v>
      </c>
      <c r="AF1" s="145" t="s">
        <v>387</v>
      </c>
      <c r="AG1" s="145" t="s">
        <v>388</v>
      </c>
      <c r="AH1" s="145" t="s">
        <v>389</v>
      </c>
      <c r="AI1" s="145" t="s">
        <v>390</v>
      </c>
      <c r="AJ1" s="145" t="s">
        <v>391</v>
      </c>
      <c r="AK1" s="145" t="s">
        <v>392</v>
      </c>
      <c r="AL1" s="145" t="s">
        <v>393</v>
      </c>
      <c r="AM1" s="145" t="s">
        <v>394</v>
      </c>
      <c r="AN1" s="145" t="s">
        <v>395</v>
      </c>
      <c r="AO1" s="145" t="s">
        <v>396</v>
      </c>
      <c r="AP1" s="145" t="s">
        <v>397</v>
      </c>
      <c r="AQ1" s="145" t="s">
        <v>398</v>
      </c>
      <c r="AR1" s="145" t="s">
        <v>399</v>
      </c>
      <c r="AS1" s="145" t="s">
        <v>400</v>
      </c>
      <c r="AT1" s="145" t="s">
        <v>401</v>
      </c>
      <c r="AU1" s="145" t="s">
        <v>402</v>
      </c>
      <c r="AV1" s="145" t="s">
        <v>403</v>
      </c>
      <c r="AW1" s="146" t="s">
        <v>404</v>
      </c>
    </row>
    <row r="2" spans="1:49" ht="60" customHeight="1" outlineLevel="1" x14ac:dyDescent="0.35">
      <c r="A2" s="138" t="s">
        <v>1309</v>
      </c>
      <c r="B2" s="124"/>
      <c r="C2" s="123" t="s">
        <v>1310</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1309</v>
      </c>
      <c r="B3" s="125" t="s">
        <v>575</v>
      </c>
      <c r="C3" s="126" t="s">
        <v>1311</v>
      </c>
      <c r="D3" s="128" t="s">
        <v>1312</v>
      </c>
      <c r="E3" s="128" t="s">
        <v>1313</v>
      </c>
      <c r="F3" s="128" t="s">
        <v>1314</v>
      </c>
      <c r="G3" s="128" t="s">
        <v>1315</v>
      </c>
      <c r="H3" s="128" t="s">
        <v>1316</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1309</v>
      </c>
      <c r="B4" s="125" t="s">
        <v>1317</v>
      </c>
      <c r="C4" s="126" t="s">
        <v>1318</v>
      </c>
      <c r="D4" s="128" t="s">
        <v>1319</v>
      </c>
      <c r="E4" s="128" t="s">
        <v>1320</v>
      </c>
      <c r="F4" s="128" t="s">
        <v>1321</v>
      </c>
      <c r="G4" s="128" t="s">
        <v>1322</v>
      </c>
      <c r="H4" s="128" t="s">
        <v>1323</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1309</v>
      </c>
      <c r="B5" s="125" t="s">
        <v>1324</v>
      </c>
      <c r="C5" s="126" t="s">
        <v>1325</v>
      </c>
      <c r="D5" s="128" t="s">
        <v>1326</v>
      </c>
      <c r="E5" s="128" t="s">
        <v>1327</v>
      </c>
      <c r="F5" s="128" t="s">
        <v>1328</v>
      </c>
      <c r="G5" s="128" t="s">
        <v>1329</v>
      </c>
      <c r="H5" s="128" t="s">
        <v>1330</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1309</v>
      </c>
      <c r="B6" s="125" t="s">
        <v>1331</v>
      </c>
      <c r="C6" s="126" t="s">
        <v>1332</v>
      </c>
      <c r="D6" s="128" t="s">
        <v>1333</v>
      </c>
      <c r="E6" s="128" t="s">
        <v>1334</v>
      </c>
      <c r="F6" s="128" t="s">
        <v>1335</v>
      </c>
      <c r="G6" s="128" t="s">
        <v>1336</v>
      </c>
      <c r="H6" s="128" t="s">
        <v>1337</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1309</v>
      </c>
      <c r="B7" s="125" t="s">
        <v>1338</v>
      </c>
      <c r="C7" s="126" t="s">
        <v>1339</v>
      </c>
      <c r="D7" s="128" t="s">
        <v>1340</v>
      </c>
      <c r="E7" s="128" t="s">
        <v>1341</v>
      </c>
      <c r="F7" s="128" t="s">
        <v>1342</v>
      </c>
      <c r="G7" s="128" t="s">
        <v>1343</v>
      </c>
      <c r="H7" s="128" t="s">
        <v>1344</v>
      </c>
      <c r="I7" s="130">
        <f>IF(COUNTIF(J7:AW7,"&lt;&gt;")=0,"",SUMPRODUCT(((Recommendations[ImplStatus]="Implemented")+(Recommendations[ImplStatus]="Compensated"))*ISNUMBER(MATCH(Recommendations[Id],J7:AW7,0)))/COUNTIF(J7:AW7,"&lt;&gt;"))</f>
        <v>0</v>
      </c>
      <c r="J7" s="132" t="s">
        <v>43</v>
      </c>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1309</v>
      </c>
      <c r="B8" s="125" t="s">
        <v>1345</v>
      </c>
      <c r="C8" s="126" t="s">
        <v>1346</v>
      </c>
      <c r="D8" s="128" t="s">
        <v>1347</v>
      </c>
      <c r="E8" s="128" t="s">
        <v>1348</v>
      </c>
      <c r="F8" s="128" t="s">
        <v>1349</v>
      </c>
      <c r="G8" s="128" t="s">
        <v>1343</v>
      </c>
      <c r="H8" s="128" t="s">
        <v>1350</v>
      </c>
      <c r="I8" s="130">
        <f>IF(COUNTIF(J8:AW8,"&lt;&gt;")=0,"",SUMPRODUCT(((Recommendations[ImplStatus]="Implemented")+(Recommendations[ImplStatus]="Compensated"))*ISNUMBER(MATCH(Recommendations[Id],J8:AW8,0)))/COUNTIF(J8:AW8,"&lt;&gt;"))</f>
        <v>0</v>
      </c>
      <c r="J8" s="132" t="s">
        <v>43</v>
      </c>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1309</v>
      </c>
      <c r="B9" s="125" t="s">
        <v>1351</v>
      </c>
      <c r="C9" s="126" t="s">
        <v>1352</v>
      </c>
      <c r="D9" s="128" t="s">
        <v>1353</v>
      </c>
      <c r="E9" s="128" t="s">
        <v>1354</v>
      </c>
      <c r="F9" s="128" t="s">
        <v>1355</v>
      </c>
      <c r="G9" s="128" t="s">
        <v>1356</v>
      </c>
      <c r="H9" s="128" t="s">
        <v>1357</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1309</v>
      </c>
      <c r="B10" s="125" t="s">
        <v>1358</v>
      </c>
      <c r="C10" s="126" t="s">
        <v>1359</v>
      </c>
      <c r="D10" s="128" t="s">
        <v>1360</v>
      </c>
      <c r="E10" s="128" t="s">
        <v>1361</v>
      </c>
      <c r="F10" s="128" t="s">
        <v>1362</v>
      </c>
      <c r="G10" s="128" t="s">
        <v>1363</v>
      </c>
      <c r="H10" s="128" t="s">
        <v>1364</v>
      </c>
      <c r="I10" s="130">
        <f>IF(COUNTIF(J10:AW10,"&lt;&gt;")=0,"",SUMPRODUCT(((Recommendations[ImplStatus]="Implemented")+(Recommendations[ImplStatus]="Compensated"))*ISNUMBER(MATCH(Recommendations[Id],J10:AW10,0)))/COUNTIF(J10:AW10,"&lt;&gt;"))</f>
        <v>0</v>
      </c>
      <c r="J10" s="132" t="s">
        <v>108</v>
      </c>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1309</v>
      </c>
      <c r="B11" s="125" t="s">
        <v>1365</v>
      </c>
      <c r="C11" s="126" t="s">
        <v>1366</v>
      </c>
      <c r="D11" s="128" t="s">
        <v>1367</v>
      </c>
      <c r="E11" s="128" t="s">
        <v>1368</v>
      </c>
      <c r="F11" s="128" t="s">
        <v>1369</v>
      </c>
      <c r="G11" s="128" t="s">
        <v>1370</v>
      </c>
      <c r="H11" s="128" t="s">
        <v>1371</v>
      </c>
      <c r="I11" s="130">
        <f>IF(COUNTIF(J11:AW11,"&lt;&gt;")=0,"",SUMPRODUCT(((Recommendations[ImplStatus]="Implemented")+(Recommendations[ImplStatus]="Compensated"))*ISNUMBER(MATCH(Recommendations[Id],J11:AW11,0)))/COUNTIF(J11:AW11,"&lt;&gt;"))</f>
        <v>0</v>
      </c>
      <c r="J11" s="132" t="s">
        <v>33</v>
      </c>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1309</v>
      </c>
      <c r="B12" s="125" t="s">
        <v>1372</v>
      </c>
      <c r="C12" s="126" t="s">
        <v>1373</v>
      </c>
      <c r="D12" s="128" t="s">
        <v>1374</v>
      </c>
      <c r="E12" s="128" t="s">
        <v>1375</v>
      </c>
      <c r="F12" s="128" t="s">
        <v>1376</v>
      </c>
      <c r="G12" s="128" t="s">
        <v>1363</v>
      </c>
      <c r="H12" s="128" t="s">
        <v>1377</v>
      </c>
      <c r="I12" s="130">
        <f>IF(COUNTIF(J12:AW12,"&lt;&gt;")=0,"",SUMPRODUCT(((Recommendations[ImplStatus]="Implemented")+(Recommendations[ImplStatus]="Compensated"))*ISNUMBER(MATCH(Recommendations[Id],J12:AW12,0)))/COUNTIF(J12:AW12,"&lt;&gt;"))</f>
        <v>0</v>
      </c>
      <c r="J12" s="132" t="s">
        <v>13</v>
      </c>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1309</v>
      </c>
      <c r="B13" s="125" t="s">
        <v>1378</v>
      </c>
      <c r="C13" s="126" t="s">
        <v>1379</v>
      </c>
      <c r="D13" s="128" t="s">
        <v>1380</v>
      </c>
      <c r="E13" s="128" t="s">
        <v>1381</v>
      </c>
      <c r="F13" s="128" t="s">
        <v>1382</v>
      </c>
      <c r="G13" s="128" t="s">
        <v>1363</v>
      </c>
      <c r="H13" s="128" t="s">
        <v>1383</v>
      </c>
      <c r="I13" s="130">
        <f>IF(COUNTIF(J13:AW13,"&lt;&gt;")=0,"",SUMPRODUCT(((Recommendations[ImplStatus]="Implemented")+(Recommendations[ImplStatus]="Compensated"))*ISNUMBER(MATCH(Recommendations[Id],J13:AW13,0)))/COUNTIF(J13:AW13,"&lt;&gt;"))</f>
        <v>0</v>
      </c>
      <c r="J13" s="132" t="s">
        <v>13</v>
      </c>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1309</v>
      </c>
      <c r="B14" s="125" t="s">
        <v>1384</v>
      </c>
      <c r="C14" s="126" t="s">
        <v>1385</v>
      </c>
      <c r="D14" s="128" t="s">
        <v>1386</v>
      </c>
      <c r="E14" s="128" t="s">
        <v>1387</v>
      </c>
      <c r="F14" s="128" t="s">
        <v>1388</v>
      </c>
      <c r="G14" s="128" t="s">
        <v>1389</v>
      </c>
      <c r="H14" s="128" t="s">
        <v>1390</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1309</v>
      </c>
      <c r="B15" s="125" t="s">
        <v>1391</v>
      </c>
      <c r="C15" s="126" t="s">
        <v>1392</v>
      </c>
      <c r="D15" s="128" t="s">
        <v>1393</v>
      </c>
      <c r="E15" s="128" t="s">
        <v>1394</v>
      </c>
      <c r="F15" s="128" t="s">
        <v>1395</v>
      </c>
      <c r="G15" s="128" t="s">
        <v>1396</v>
      </c>
      <c r="H15" s="128" t="s">
        <v>1397</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1309</v>
      </c>
      <c r="B16" s="125" t="s">
        <v>1398</v>
      </c>
      <c r="C16" s="126" t="s">
        <v>1399</v>
      </c>
      <c r="D16" s="128" t="s">
        <v>1400</v>
      </c>
      <c r="E16" s="128" t="s">
        <v>1401</v>
      </c>
      <c r="F16" s="128" t="s">
        <v>1402</v>
      </c>
      <c r="G16" s="128" t="s">
        <v>1403</v>
      </c>
      <c r="H16" s="128" t="s">
        <v>1404</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1309</v>
      </c>
      <c r="B17" s="125" t="s">
        <v>1405</v>
      </c>
      <c r="C17" s="126" t="s">
        <v>1406</v>
      </c>
      <c r="D17" s="128" t="s">
        <v>1407</v>
      </c>
      <c r="E17" s="128" t="s">
        <v>1408</v>
      </c>
      <c r="F17" s="128" t="s">
        <v>1409</v>
      </c>
      <c r="G17" s="128" t="s">
        <v>1410</v>
      </c>
      <c r="H17" s="128" t="s">
        <v>1411</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1309</v>
      </c>
      <c r="B18" s="125" t="s">
        <v>1412</v>
      </c>
      <c r="C18" s="126" t="s">
        <v>1413</v>
      </c>
      <c r="D18" s="128" t="s">
        <v>1414</v>
      </c>
      <c r="E18" s="128" t="s">
        <v>1415</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1416</v>
      </c>
      <c r="B19" s="124"/>
      <c r="C19" s="123" t="s">
        <v>1417</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1416</v>
      </c>
      <c r="B20" s="125" t="s">
        <v>1418</v>
      </c>
      <c r="C20" s="126" t="s">
        <v>1419</v>
      </c>
      <c r="D20" s="128" t="s">
        <v>1420</v>
      </c>
      <c r="E20" s="128" t="s">
        <v>1421</v>
      </c>
      <c r="F20" s="128" t="s">
        <v>1422</v>
      </c>
      <c r="G20" s="128" t="s">
        <v>1423</v>
      </c>
      <c r="H20" s="128" t="s">
        <v>1424</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1416</v>
      </c>
      <c r="B21" s="125" t="s">
        <v>1425</v>
      </c>
      <c r="C21" s="126" t="s">
        <v>1426</v>
      </c>
      <c r="D21" s="128" t="s">
        <v>1427</v>
      </c>
      <c r="E21" s="128" t="s">
        <v>1428</v>
      </c>
      <c r="F21" s="128" t="s">
        <v>1429</v>
      </c>
      <c r="G21" s="128" t="s">
        <v>1430</v>
      </c>
      <c r="H21" s="128" t="s">
        <v>1431</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1432</v>
      </c>
      <c r="B22" s="124"/>
      <c r="C22" s="123" t="s">
        <v>1433</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1432</v>
      </c>
      <c r="B23" s="125" t="s">
        <v>1434</v>
      </c>
      <c r="C23" s="126" t="s">
        <v>1435</v>
      </c>
      <c r="D23" s="128" t="s">
        <v>1436</v>
      </c>
      <c r="E23" s="128" t="s">
        <v>1437</v>
      </c>
      <c r="F23" s="128" t="s">
        <v>1438</v>
      </c>
      <c r="G23" s="128" t="s">
        <v>1439</v>
      </c>
      <c r="H23" s="128" t="s">
        <v>1440</v>
      </c>
      <c r="I23" s="130">
        <f>IF(COUNTIF(J23:AW23,"&lt;&gt;")=0,"",SUMPRODUCT(((Recommendations[ImplStatus]="Implemented")+(Recommendations[ImplStatus]="Compensated"))*ISNUMBER(MATCH(Recommendations[Id],J23:AW23,0)))/COUNTIF(J23:AW23,"&lt;&gt;"))</f>
        <v>0</v>
      </c>
      <c r="J23" s="132" t="s">
        <v>28</v>
      </c>
      <c r="K23" s="132"/>
      <c r="L23" s="132"/>
      <c r="M23" s="132"/>
      <c r="N23" s="132"/>
      <c r="O23" s="132"/>
      <c r="P23" s="132"/>
      <c r="Q23" s="132"/>
      <c r="R23" s="132"/>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1432</v>
      </c>
      <c r="B24" s="125" t="s">
        <v>1441</v>
      </c>
      <c r="C24" s="126" t="s">
        <v>1442</v>
      </c>
      <c r="D24" s="128" t="s">
        <v>1443</v>
      </c>
      <c r="E24" s="128" t="s">
        <v>1444</v>
      </c>
      <c r="F24" s="128" t="s">
        <v>1445</v>
      </c>
      <c r="G24" s="128" t="s">
        <v>1446</v>
      </c>
      <c r="H24" s="128" t="s">
        <v>1447</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1432</v>
      </c>
      <c r="B25" s="125" t="s">
        <v>1448</v>
      </c>
      <c r="C25" s="126" t="s">
        <v>1449</v>
      </c>
      <c r="D25" s="128" t="s">
        <v>1450</v>
      </c>
      <c r="E25" s="128" t="s">
        <v>1451</v>
      </c>
      <c r="F25" s="128" t="s">
        <v>1452</v>
      </c>
      <c r="G25" s="128" t="s">
        <v>1453</v>
      </c>
      <c r="H25" s="128" t="s">
        <v>1454</v>
      </c>
      <c r="I25" s="130">
        <f>IF(COUNTIF(J25:AW25,"&lt;&gt;")=0,"",SUMPRODUCT(((Recommendations[ImplStatus]="Implemented")+(Recommendations[ImplStatus]="Compensated"))*ISNUMBER(MATCH(Recommendations[Id],J25:AW25,0)))/COUNTIF(J25:AW25,"&lt;&gt;"))</f>
        <v>0</v>
      </c>
      <c r="J25" s="132" t="s">
        <v>28</v>
      </c>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1432</v>
      </c>
      <c r="B26" s="125" t="s">
        <v>1455</v>
      </c>
      <c r="C26" s="126" t="s">
        <v>1456</v>
      </c>
      <c r="D26" s="128" t="s">
        <v>1457</v>
      </c>
      <c r="E26" s="128" t="s">
        <v>1458</v>
      </c>
      <c r="F26" s="128" t="s">
        <v>1459</v>
      </c>
      <c r="G26" s="128" t="s">
        <v>1446</v>
      </c>
      <c r="H26" s="128" t="s">
        <v>1460</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1432</v>
      </c>
      <c r="B27" s="125" t="s">
        <v>1461</v>
      </c>
      <c r="C27" s="126" t="s">
        <v>1462</v>
      </c>
      <c r="D27" s="128" t="s">
        <v>1463</v>
      </c>
      <c r="E27" s="128" t="s">
        <v>1464</v>
      </c>
      <c r="F27" s="128" t="s">
        <v>1465</v>
      </c>
      <c r="G27" s="128" t="s">
        <v>1466</v>
      </c>
      <c r="H27" s="128" t="s">
        <v>1467</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1432</v>
      </c>
      <c r="B28" s="125" t="s">
        <v>1468</v>
      </c>
      <c r="C28" s="126" t="s">
        <v>1469</v>
      </c>
      <c r="D28" s="128" t="s">
        <v>1470</v>
      </c>
      <c r="E28" s="128" t="s">
        <v>1471</v>
      </c>
      <c r="F28" s="128" t="s">
        <v>1472</v>
      </c>
      <c r="G28" s="128" t="s">
        <v>1473</v>
      </c>
      <c r="H28" s="128" t="s">
        <v>1474</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1432</v>
      </c>
      <c r="B29" s="125" t="s">
        <v>1475</v>
      </c>
      <c r="C29" s="126" t="s">
        <v>1476</v>
      </c>
      <c r="D29" s="128" t="s">
        <v>1477</v>
      </c>
      <c r="E29" s="128" t="s">
        <v>1478</v>
      </c>
      <c r="F29" s="128" t="s">
        <v>1479</v>
      </c>
      <c r="G29" s="128" t="s">
        <v>1363</v>
      </c>
      <c r="H29" s="128" t="s">
        <v>1480</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1432</v>
      </c>
      <c r="B30" s="125" t="s">
        <v>1481</v>
      </c>
      <c r="C30" s="126" t="s">
        <v>1482</v>
      </c>
      <c r="D30" s="128" t="s">
        <v>1483</v>
      </c>
      <c r="E30" s="128" t="s">
        <v>1484</v>
      </c>
      <c r="F30" s="128" t="s">
        <v>1485</v>
      </c>
      <c r="G30" s="128" t="s">
        <v>1446</v>
      </c>
      <c r="H30" s="128" t="s">
        <v>1486</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1487</v>
      </c>
      <c r="B31" s="124"/>
      <c r="C31" s="123" t="s">
        <v>1488</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1487</v>
      </c>
      <c r="B32" s="125" t="s">
        <v>1489</v>
      </c>
      <c r="C32" s="126" t="s">
        <v>1490</v>
      </c>
      <c r="D32" s="128" t="s">
        <v>1491</v>
      </c>
      <c r="E32" s="128" t="s">
        <v>1492</v>
      </c>
      <c r="F32" s="128" t="s">
        <v>1493</v>
      </c>
      <c r="G32" s="128" t="s">
        <v>1494</v>
      </c>
      <c r="H32" s="128" t="s">
        <v>1495</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1487</v>
      </c>
      <c r="B33" s="125" t="s">
        <v>1496</v>
      </c>
      <c r="C33" s="126" t="s">
        <v>1497</v>
      </c>
      <c r="D33" s="128" t="s">
        <v>1498</v>
      </c>
      <c r="E33" s="128" t="s">
        <v>1499</v>
      </c>
      <c r="F33" s="128" t="s">
        <v>1500</v>
      </c>
      <c r="G33" s="128" t="s">
        <v>1501</v>
      </c>
      <c r="H33" s="128" t="s">
        <v>1502</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1487</v>
      </c>
      <c r="B34" s="125" t="s">
        <v>1503</v>
      </c>
      <c r="C34" s="126" t="s">
        <v>1504</v>
      </c>
      <c r="D34" s="128" t="s">
        <v>1505</v>
      </c>
      <c r="E34" s="128" t="s">
        <v>1506</v>
      </c>
      <c r="F34" s="128" t="s">
        <v>1507</v>
      </c>
      <c r="G34" s="128" t="s">
        <v>1508</v>
      </c>
      <c r="H34" s="128" t="s">
        <v>1509</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1487</v>
      </c>
      <c r="B35" s="125" t="s">
        <v>1510</v>
      </c>
      <c r="C35" s="126" t="s">
        <v>1511</v>
      </c>
      <c r="D35" s="128" t="s">
        <v>1512</v>
      </c>
      <c r="E35" s="128" t="s">
        <v>1513</v>
      </c>
      <c r="F35" s="128" t="s">
        <v>1514</v>
      </c>
      <c r="G35" s="128" t="s">
        <v>1515</v>
      </c>
      <c r="H35" s="128" t="s">
        <v>1516</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1487</v>
      </c>
      <c r="B36" s="125" t="s">
        <v>1517</v>
      </c>
      <c r="C36" s="126" t="s">
        <v>1518</v>
      </c>
      <c r="D36" s="128" t="s">
        <v>1519</v>
      </c>
      <c r="E36" s="128" t="s">
        <v>1520</v>
      </c>
      <c r="F36" s="128" t="s">
        <v>1521</v>
      </c>
      <c r="G36" s="128" t="s">
        <v>1522</v>
      </c>
      <c r="H36" s="128" t="s">
        <v>1523</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1487</v>
      </c>
      <c r="B37" s="125" t="s">
        <v>1524</v>
      </c>
      <c r="C37" s="126" t="s">
        <v>1525</v>
      </c>
      <c r="D37" s="128" t="s">
        <v>1526</v>
      </c>
      <c r="E37" s="128" t="s">
        <v>1527</v>
      </c>
      <c r="F37" s="128" t="s">
        <v>1528</v>
      </c>
      <c r="G37" s="128" t="s">
        <v>1529</v>
      </c>
      <c r="H37" s="128" t="s">
        <v>1530</v>
      </c>
      <c r="I37" s="130" t="str">
        <f>IF(COUNTIF(J37:AW37,"&lt;&gt;")=0,"",SUMPRODUCT(((Recommendations[ImplStatus]="Implemented")+(Recommendations[ImplStatus]="Compensated"))*ISNUMBER(MATCH(Recommendations[Id],J37:AW37,0)))/COUNTIF(J37:AW37,"&lt;&gt;"))</f>
        <v/>
      </c>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1487</v>
      </c>
      <c r="B38" s="125" t="s">
        <v>1531</v>
      </c>
      <c r="C38" s="126" t="s">
        <v>1532</v>
      </c>
      <c r="D38" s="128" t="s">
        <v>1533</v>
      </c>
      <c r="E38" s="128" t="s">
        <v>1534</v>
      </c>
      <c r="F38" s="128" t="s">
        <v>1535</v>
      </c>
      <c r="G38" s="128" t="s">
        <v>1536</v>
      </c>
      <c r="H38" s="128" t="s">
        <v>1537</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1487</v>
      </c>
      <c r="B39" s="125" t="s">
        <v>1538</v>
      </c>
      <c r="C39" s="126" t="s">
        <v>1539</v>
      </c>
      <c r="D39" s="128" t="s">
        <v>1540</v>
      </c>
      <c r="E39" s="128" t="s">
        <v>1541</v>
      </c>
      <c r="F39" s="128" t="s">
        <v>1542</v>
      </c>
      <c r="G39" s="128" t="s">
        <v>1543</v>
      </c>
      <c r="H39" s="128" t="s">
        <v>1544</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1487</v>
      </c>
      <c r="B40" s="125" t="s">
        <v>1545</v>
      </c>
      <c r="C40" s="126" t="s">
        <v>1546</v>
      </c>
      <c r="D40" s="128" t="s">
        <v>1547</v>
      </c>
      <c r="E40" s="128" t="s">
        <v>1548</v>
      </c>
      <c r="F40" s="128" t="s">
        <v>1549</v>
      </c>
      <c r="G40" s="128" t="s">
        <v>1550</v>
      </c>
      <c r="H40" s="128" t="s">
        <v>1551</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1487</v>
      </c>
      <c r="B41" s="125" t="s">
        <v>1552</v>
      </c>
      <c r="C41" s="126" t="s">
        <v>1553</v>
      </c>
      <c r="D41" s="128" t="s">
        <v>1554</v>
      </c>
      <c r="E41" s="128" t="s">
        <v>1555</v>
      </c>
      <c r="F41" s="128" t="s">
        <v>1556</v>
      </c>
      <c r="G41" s="128" t="s">
        <v>1494</v>
      </c>
      <c r="H41" s="128" t="s">
        <v>1557</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1558</v>
      </c>
      <c r="B42" s="124"/>
      <c r="C42" s="123" t="s">
        <v>1559</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1558</v>
      </c>
      <c r="B43" s="125" t="s">
        <v>1560</v>
      </c>
      <c r="C43" s="126" t="s">
        <v>1561</v>
      </c>
      <c r="D43" s="128" t="s">
        <v>1562</v>
      </c>
      <c r="E43" s="128" t="s">
        <v>1563</v>
      </c>
      <c r="F43" s="128" t="s">
        <v>1564</v>
      </c>
      <c r="G43" s="128" t="s">
        <v>1565</v>
      </c>
      <c r="H43" s="128" t="s">
        <v>1566</v>
      </c>
      <c r="I43" s="130">
        <f>IF(COUNTIF(J43:AW43,"&lt;&gt;")=0,"",SUMPRODUCT(((Recommendations[ImplStatus]="Implemented")+(Recommendations[ImplStatus]="Compensated"))*ISNUMBER(MATCH(Recommendations[Id],J43:AW43,0)))/COUNTIF(J43:AW43,"&lt;&gt;"))</f>
        <v>0</v>
      </c>
      <c r="J43" s="132" t="s">
        <v>48</v>
      </c>
      <c r="K43" s="132" t="s">
        <v>78</v>
      </c>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1558</v>
      </c>
      <c r="B44" s="125" t="s">
        <v>1567</v>
      </c>
      <c r="C44" s="126" t="s">
        <v>1568</v>
      </c>
      <c r="D44" s="128" t="s">
        <v>1569</v>
      </c>
      <c r="E44" s="128" t="s">
        <v>1570</v>
      </c>
      <c r="F44" s="128" t="s">
        <v>1571</v>
      </c>
      <c r="G44" s="128" t="s">
        <v>1572</v>
      </c>
      <c r="H44" s="128" t="s">
        <v>1573</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1558</v>
      </c>
      <c r="B45" s="125" t="s">
        <v>1574</v>
      </c>
      <c r="C45" s="126" t="s">
        <v>1575</v>
      </c>
      <c r="D45" s="128" t="s">
        <v>1576</v>
      </c>
      <c r="E45" s="128" t="s">
        <v>1577</v>
      </c>
      <c r="F45" s="128" t="s">
        <v>1578</v>
      </c>
      <c r="G45" s="128" t="s">
        <v>1579</v>
      </c>
      <c r="H45" s="128" t="s">
        <v>1580</v>
      </c>
      <c r="I45" s="130">
        <f>IF(COUNTIF(J45:AW45,"&lt;&gt;")=0,"",SUMPRODUCT(((Recommendations[ImplStatus]="Implemented")+(Recommendations[ImplStatus]="Compensated"))*ISNUMBER(MATCH(Recommendations[Id],J45:AW45,0)))/COUNTIF(J45:AW45,"&lt;&gt;"))</f>
        <v>0</v>
      </c>
      <c r="J45" s="132" t="s">
        <v>53</v>
      </c>
      <c r="K45" s="132" t="s">
        <v>113</v>
      </c>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1558</v>
      </c>
      <c r="B46" s="125" t="s">
        <v>1581</v>
      </c>
      <c r="C46" s="126" t="s">
        <v>1582</v>
      </c>
      <c r="D46" s="128" t="s">
        <v>1583</v>
      </c>
      <c r="E46" s="128" t="s">
        <v>1584</v>
      </c>
      <c r="F46" s="128" t="s">
        <v>1585</v>
      </c>
      <c r="G46" s="128" t="s">
        <v>1579</v>
      </c>
      <c r="H46" s="128" t="s">
        <v>1586</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1558</v>
      </c>
      <c r="B47" s="125" t="s">
        <v>1587</v>
      </c>
      <c r="C47" s="126" t="s">
        <v>1588</v>
      </c>
      <c r="D47" s="128" t="s">
        <v>1589</v>
      </c>
      <c r="E47" s="128" t="s">
        <v>1590</v>
      </c>
      <c r="F47" s="128" t="s">
        <v>1591</v>
      </c>
      <c r="G47" s="128" t="s">
        <v>1592</v>
      </c>
      <c r="H47" s="128" t="s">
        <v>1593</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1558</v>
      </c>
      <c r="B48" s="125" t="s">
        <v>1594</v>
      </c>
      <c r="C48" s="126" t="s">
        <v>1595</v>
      </c>
      <c r="D48" s="128" t="s">
        <v>1596</v>
      </c>
      <c r="E48" s="128" t="s">
        <v>1597</v>
      </c>
      <c r="F48" s="128" t="s">
        <v>1598</v>
      </c>
      <c r="G48" s="128" t="s">
        <v>1599</v>
      </c>
      <c r="H48" s="128" t="s">
        <v>1600</v>
      </c>
      <c r="I48" s="130">
        <f>IF(COUNTIF(J48:AW48,"&lt;&gt;")=0,"",SUMPRODUCT(((Recommendations[ImplStatus]="Implemented")+(Recommendations[ImplStatus]="Compensated"))*ISNUMBER(MATCH(Recommendations[Id],J48:AW48,0)))/COUNTIF(J48:AW48,"&lt;&gt;"))</f>
        <v>0</v>
      </c>
      <c r="J48" s="132" t="s">
        <v>88</v>
      </c>
      <c r="K48" s="132" t="s">
        <v>93</v>
      </c>
      <c r="L48" s="132" t="s">
        <v>98</v>
      </c>
      <c r="M48" s="132" t="s">
        <v>103</v>
      </c>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1558</v>
      </c>
      <c r="B49" s="125" t="s">
        <v>1601</v>
      </c>
      <c r="C49" s="126" t="s">
        <v>1602</v>
      </c>
      <c r="D49" s="128" t="s">
        <v>1603</v>
      </c>
      <c r="E49" s="128" t="s">
        <v>1604</v>
      </c>
      <c r="F49" s="128" t="s">
        <v>1605</v>
      </c>
      <c r="G49" s="128" t="s">
        <v>1363</v>
      </c>
      <c r="H49" s="128" t="s">
        <v>1606</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1558</v>
      </c>
      <c r="B50" s="125" t="s">
        <v>1607</v>
      </c>
      <c r="C50" s="126" t="s">
        <v>1608</v>
      </c>
      <c r="D50" s="128" t="s">
        <v>1609</v>
      </c>
      <c r="E50" s="128" t="s">
        <v>1610</v>
      </c>
      <c r="F50" s="128" t="s">
        <v>1611</v>
      </c>
      <c r="G50" s="128" t="s">
        <v>1612</v>
      </c>
      <c r="H50" s="128" t="s">
        <v>1613</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1614</v>
      </c>
      <c r="B51" s="124"/>
      <c r="C51" s="123" t="s">
        <v>1615</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1614</v>
      </c>
      <c r="B52" s="125" t="s">
        <v>1616</v>
      </c>
      <c r="C52" s="126" t="s">
        <v>1617</v>
      </c>
      <c r="D52" s="128" t="s">
        <v>1618</v>
      </c>
      <c r="E52" s="128" t="s">
        <v>1619</v>
      </c>
      <c r="F52" s="128" t="s">
        <v>1620</v>
      </c>
      <c r="G52" s="128" t="s">
        <v>1621</v>
      </c>
      <c r="H52" s="128" t="s">
        <v>1622</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1614</v>
      </c>
      <c r="B53" s="125" t="s">
        <v>1623</v>
      </c>
      <c r="C53" s="126" t="s">
        <v>1624</v>
      </c>
      <c r="D53" s="128" t="s">
        <v>1625</v>
      </c>
      <c r="E53" s="128" t="s">
        <v>1626</v>
      </c>
      <c r="F53" s="128" t="s">
        <v>1627</v>
      </c>
      <c r="G53" s="128" t="s">
        <v>1628</v>
      </c>
      <c r="H53" s="128" t="s">
        <v>1629</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1614</v>
      </c>
      <c r="B54" s="125" t="s">
        <v>1630</v>
      </c>
      <c r="C54" s="126" t="s">
        <v>1631</v>
      </c>
      <c r="D54" s="128" t="s">
        <v>1632</v>
      </c>
      <c r="E54" s="128" t="s">
        <v>1633</v>
      </c>
      <c r="F54" s="128" t="s">
        <v>1634</v>
      </c>
      <c r="G54" s="128" t="s">
        <v>1635</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1614</v>
      </c>
      <c r="B55" s="125" t="s">
        <v>1636</v>
      </c>
      <c r="C55" s="126" t="s">
        <v>1637</v>
      </c>
      <c r="D55" s="128" t="s">
        <v>1638</v>
      </c>
      <c r="E55" s="128" t="s">
        <v>1639</v>
      </c>
      <c r="F55" s="128" t="s">
        <v>1640</v>
      </c>
      <c r="G55" s="128" t="s">
        <v>1641</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1614</v>
      </c>
      <c r="B56" s="125" t="s">
        <v>1642</v>
      </c>
      <c r="C56" s="126" t="s">
        <v>1643</v>
      </c>
      <c r="D56" s="128" t="s">
        <v>1644</v>
      </c>
      <c r="E56" s="128" t="s">
        <v>1645</v>
      </c>
      <c r="F56" s="128" t="s">
        <v>1646</v>
      </c>
      <c r="G56" s="128" t="s">
        <v>1647</v>
      </c>
      <c r="H56" s="128" t="s">
        <v>1648</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1649</v>
      </c>
      <c r="B57" s="124"/>
      <c r="C57" s="123" t="s">
        <v>1650</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1649</v>
      </c>
      <c r="B58" s="125" t="s">
        <v>1651</v>
      </c>
      <c r="C58" s="126" t="s">
        <v>1652</v>
      </c>
      <c r="D58" s="128" t="s">
        <v>1653</v>
      </c>
      <c r="E58" s="128" t="s">
        <v>1654</v>
      </c>
      <c r="F58" s="128" t="s">
        <v>1655</v>
      </c>
      <c r="G58" s="128" t="s">
        <v>1656</v>
      </c>
      <c r="H58" s="128" t="s">
        <v>1657</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1649</v>
      </c>
      <c r="B59" s="125" t="s">
        <v>1658</v>
      </c>
      <c r="C59" s="126" t="s">
        <v>1659</v>
      </c>
      <c r="D59" s="128" t="s">
        <v>1660</v>
      </c>
      <c r="E59" s="128" t="s">
        <v>1661</v>
      </c>
      <c r="F59" s="128" t="s">
        <v>1662</v>
      </c>
      <c r="G59" s="128" t="s">
        <v>1663</v>
      </c>
      <c r="H59" s="128" t="s">
        <v>1664</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1649</v>
      </c>
      <c r="B60" s="125" t="s">
        <v>1665</v>
      </c>
      <c r="C60" s="126" t="s">
        <v>1666</v>
      </c>
      <c r="D60" s="128" t="s">
        <v>1667</v>
      </c>
      <c r="E60" s="128" t="s">
        <v>1668</v>
      </c>
      <c r="F60" s="128" t="s">
        <v>1669</v>
      </c>
      <c r="G60" s="128" t="s">
        <v>1670</v>
      </c>
      <c r="H60" s="128" t="s">
        <v>1671</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1672</v>
      </c>
      <c r="B61" s="124"/>
      <c r="C61" s="123" t="s">
        <v>1673</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1672</v>
      </c>
      <c r="B62" s="125" t="s">
        <v>1674</v>
      </c>
      <c r="C62" s="126" t="s">
        <v>1675</v>
      </c>
      <c r="D62" s="128" t="s">
        <v>1676</v>
      </c>
      <c r="E62" s="128" t="s">
        <v>1677</v>
      </c>
      <c r="F62" s="128" t="s">
        <v>1678</v>
      </c>
      <c r="G62" s="128" t="s">
        <v>1679</v>
      </c>
      <c r="H62" s="128" t="s">
        <v>1680</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1672</v>
      </c>
      <c r="B63" s="125" t="s">
        <v>1681</v>
      </c>
      <c r="C63" s="126" t="s">
        <v>1682</v>
      </c>
      <c r="D63" s="128" t="s">
        <v>1683</v>
      </c>
      <c r="E63" s="128" t="s">
        <v>1684</v>
      </c>
      <c r="F63" s="128" t="s">
        <v>1685</v>
      </c>
      <c r="G63" s="128" t="s">
        <v>1686</v>
      </c>
      <c r="H63" s="128" t="s">
        <v>1687</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1672</v>
      </c>
      <c r="B64" s="125" t="s">
        <v>1688</v>
      </c>
      <c r="C64" s="126" t="s">
        <v>1689</v>
      </c>
      <c r="D64" s="128" t="s">
        <v>1690</v>
      </c>
      <c r="E64" s="128" t="s">
        <v>1691</v>
      </c>
      <c r="F64" s="128" t="s">
        <v>1692</v>
      </c>
      <c r="G64" s="128" t="s">
        <v>1693</v>
      </c>
      <c r="H64" s="128" t="s">
        <v>1694</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1672</v>
      </c>
      <c r="B65" s="125" t="s">
        <v>1695</v>
      </c>
      <c r="C65" s="126" t="s">
        <v>1696</v>
      </c>
      <c r="D65" s="128" t="s">
        <v>1697</v>
      </c>
      <c r="E65" s="128" t="s">
        <v>1698</v>
      </c>
      <c r="F65" s="128" t="s">
        <v>1699</v>
      </c>
      <c r="G65" s="128" t="s">
        <v>1700</v>
      </c>
      <c r="H65" s="128" t="s">
        <v>1701</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1672</v>
      </c>
      <c r="B66" s="125" t="s">
        <v>1702</v>
      </c>
      <c r="C66" s="126" t="s">
        <v>1703</v>
      </c>
      <c r="D66" s="128" t="s">
        <v>1704</v>
      </c>
      <c r="E66" s="128" t="s">
        <v>1705</v>
      </c>
      <c r="F66" s="128" t="s">
        <v>1706</v>
      </c>
      <c r="G66" s="128" t="s">
        <v>1707</v>
      </c>
      <c r="H66" s="128" t="s">
        <v>1708</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1672</v>
      </c>
      <c r="B67" s="125" t="s">
        <v>1709</v>
      </c>
      <c r="C67" s="126" t="s">
        <v>1710</v>
      </c>
      <c r="D67" s="128" t="s">
        <v>1711</v>
      </c>
      <c r="E67" s="128" t="s">
        <v>1712</v>
      </c>
      <c r="F67" s="128" t="s">
        <v>1713</v>
      </c>
      <c r="G67" s="128" t="s">
        <v>1714</v>
      </c>
      <c r="H67" s="128" t="s">
        <v>1715</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1672</v>
      </c>
      <c r="B68" s="125" t="s">
        <v>1716</v>
      </c>
      <c r="C68" s="126" t="s">
        <v>1717</v>
      </c>
      <c r="D68" s="128" t="s">
        <v>1718</v>
      </c>
      <c r="E68" s="128" t="s">
        <v>1719</v>
      </c>
      <c r="F68" s="128" t="s">
        <v>1720</v>
      </c>
      <c r="G68" s="128" t="s">
        <v>1721</v>
      </c>
      <c r="H68" s="128" t="s">
        <v>1722</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1723</v>
      </c>
      <c r="B69" s="124"/>
      <c r="C69" s="123" t="s">
        <v>1724</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1723</v>
      </c>
      <c r="B70" s="125" t="s">
        <v>1725</v>
      </c>
      <c r="C70" s="126" t="s">
        <v>1726</v>
      </c>
      <c r="D70" s="128" t="s">
        <v>1727</v>
      </c>
      <c r="E70" s="128" t="s">
        <v>1728</v>
      </c>
      <c r="F70" s="128" t="s">
        <v>1729</v>
      </c>
      <c r="G70" s="128" t="s">
        <v>1730</v>
      </c>
      <c r="H70" s="128" t="s">
        <v>1731</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1723</v>
      </c>
      <c r="B71" s="125" t="s">
        <v>1732</v>
      </c>
      <c r="C71" s="126" t="s">
        <v>1733</v>
      </c>
      <c r="D71" s="128" t="s">
        <v>1734</v>
      </c>
      <c r="E71" s="128" t="s">
        <v>1735</v>
      </c>
      <c r="F71" s="128" t="s">
        <v>1736</v>
      </c>
      <c r="G71" s="128" t="s">
        <v>1737</v>
      </c>
      <c r="H71" s="128" t="s">
        <v>1738</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1739</v>
      </c>
      <c r="B72" s="124"/>
      <c r="C72" s="123" t="s">
        <v>1740</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1739</v>
      </c>
      <c r="B73" s="125" t="s">
        <v>1741</v>
      </c>
      <c r="C73" s="126" t="s">
        <v>1742</v>
      </c>
      <c r="D73" s="128" t="s">
        <v>1743</v>
      </c>
      <c r="E73" s="128" t="s">
        <v>1744</v>
      </c>
      <c r="F73" s="128" t="s">
        <v>1745</v>
      </c>
      <c r="G73" s="128" t="s">
        <v>1746</v>
      </c>
      <c r="H73" s="128" t="s">
        <v>1747</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1739</v>
      </c>
      <c r="B74" s="125" t="s">
        <v>1748</v>
      </c>
      <c r="C74" s="126" t="s">
        <v>1749</v>
      </c>
      <c r="D74" s="128" t="s">
        <v>1750</v>
      </c>
      <c r="E74" s="128" t="s">
        <v>1751</v>
      </c>
      <c r="F74" s="128" t="s">
        <v>1752</v>
      </c>
      <c r="G74" s="128" t="s">
        <v>1753</v>
      </c>
      <c r="H74" s="128" t="s">
        <v>1754</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1739</v>
      </c>
      <c r="B75" s="125" t="s">
        <v>1755</v>
      </c>
      <c r="C75" s="126" t="s">
        <v>1756</v>
      </c>
      <c r="D75" s="128" t="s">
        <v>1757</v>
      </c>
      <c r="E75" s="128" t="s">
        <v>1758</v>
      </c>
      <c r="F75" s="128" t="s">
        <v>1759</v>
      </c>
      <c r="G75" s="128" t="s">
        <v>1760</v>
      </c>
      <c r="H75" s="128" t="s">
        <v>1761</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1739</v>
      </c>
      <c r="B76" s="125" t="s">
        <v>1762</v>
      </c>
      <c r="C76" s="126" t="s">
        <v>1763</v>
      </c>
      <c r="D76" s="128" t="s">
        <v>1764</v>
      </c>
      <c r="E76" s="128" t="s">
        <v>1765</v>
      </c>
      <c r="F76" s="128" t="s">
        <v>1766</v>
      </c>
      <c r="G76" s="128" t="s">
        <v>1767</v>
      </c>
      <c r="H76" s="128" t="s">
        <v>1768</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1739</v>
      </c>
      <c r="B77" s="125" t="s">
        <v>1769</v>
      </c>
      <c r="C77" s="126" t="s">
        <v>1770</v>
      </c>
      <c r="D77" s="128" t="s">
        <v>1771</v>
      </c>
      <c r="E77" s="128" t="s">
        <v>1772</v>
      </c>
      <c r="F77" s="128" t="s">
        <v>1773</v>
      </c>
      <c r="G77" s="128" t="s">
        <v>1767</v>
      </c>
      <c r="H77" s="128" t="s">
        <v>1774</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1775</v>
      </c>
      <c r="B78" s="124"/>
      <c r="C78" s="123" t="s">
        <v>1776</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1775</v>
      </c>
      <c r="B79" s="125" t="s">
        <v>1775</v>
      </c>
      <c r="C79" s="126" t="s">
        <v>1777</v>
      </c>
      <c r="D79" s="128" t="s">
        <v>1778</v>
      </c>
      <c r="E79" s="128" t="s">
        <v>1779</v>
      </c>
      <c r="F79" s="128" t="s">
        <v>1780</v>
      </c>
      <c r="G79" s="128" t="s">
        <v>1781</v>
      </c>
      <c r="H79" s="128" t="s">
        <v>1782</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1775</v>
      </c>
      <c r="B80" s="125" t="s">
        <v>1783</v>
      </c>
      <c r="C80" s="126" t="s">
        <v>1784</v>
      </c>
      <c r="D80" s="128" t="s">
        <v>1785</v>
      </c>
      <c r="E80" s="128" t="s">
        <v>1786</v>
      </c>
      <c r="F80" s="128" t="s">
        <v>1787</v>
      </c>
      <c r="G80" s="128" t="s">
        <v>1788</v>
      </c>
      <c r="H80" s="128" t="s">
        <v>1789</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1775</v>
      </c>
      <c r="B81" s="125" t="s">
        <v>1790</v>
      </c>
      <c r="C81" s="126" t="s">
        <v>1791</v>
      </c>
      <c r="D81" s="128" t="s">
        <v>1792</v>
      </c>
      <c r="E81" s="128" t="s">
        <v>1793</v>
      </c>
      <c r="F81" s="128" t="s">
        <v>1794</v>
      </c>
      <c r="G81" s="128" t="s">
        <v>1795</v>
      </c>
      <c r="H81" s="128" t="s">
        <v>1796</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1797</v>
      </c>
      <c r="B82" s="124"/>
      <c r="C82" s="123" t="s">
        <v>1798</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1797</v>
      </c>
      <c r="B83" s="125" t="s">
        <v>1799</v>
      </c>
      <c r="C83" s="126" t="s">
        <v>1800</v>
      </c>
      <c r="D83" s="128" t="s">
        <v>1801</v>
      </c>
      <c r="E83" s="128" t="s">
        <v>1802</v>
      </c>
      <c r="F83" s="128" t="s">
        <v>1803</v>
      </c>
      <c r="G83" s="128" t="s">
        <v>1804</v>
      </c>
      <c r="H83" s="128" t="s">
        <v>1805</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1797</v>
      </c>
      <c r="B84" s="125" t="s">
        <v>1806</v>
      </c>
      <c r="C84" s="126" t="s">
        <v>1807</v>
      </c>
      <c r="D84" s="128" t="s">
        <v>1808</v>
      </c>
      <c r="E84" s="128" t="s">
        <v>1809</v>
      </c>
      <c r="F84" s="128" t="s">
        <v>1810</v>
      </c>
      <c r="G84" s="128" t="s">
        <v>1811</v>
      </c>
      <c r="H84" s="128" t="s">
        <v>1812</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1797</v>
      </c>
      <c r="B85" s="125" t="s">
        <v>1813</v>
      </c>
      <c r="C85" s="126" t="s">
        <v>1814</v>
      </c>
      <c r="D85" s="128" t="s">
        <v>1815</v>
      </c>
      <c r="E85" s="128" t="s">
        <v>1816</v>
      </c>
      <c r="F85" s="128" t="s">
        <v>1817</v>
      </c>
      <c r="G85" s="128" t="s">
        <v>1818</v>
      </c>
      <c r="H85" s="128" t="s">
        <v>1819</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1797</v>
      </c>
      <c r="B86" s="125" t="s">
        <v>1820</v>
      </c>
      <c r="C86" s="126" t="s">
        <v>1821</v>
      </c>
      <c r="D86" s="128" t="s">
        <v>1822</v>
      </c>
      <c r="E86" s="128" t="s">
        <v>1823</v>
      </c>
      <c r="F86" s="128" t="s">
        <v>1824</v>
      </c>
      <c r="G86" s="128" t="s">
        <v>1825</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1826</v>
      </c>
      <c r="B87" s="124"/>
      <c r="C87" s="123" t="s">
        <v>1827</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1826</v>
      </c>
      <c r="B88" s="125" t="s">
        <v>1828</v>
      </c>
      <c r="C88" s="126" t="s">
        <v>1829</v>
      </c>
      <c r="D88" s="128" t="s">
        <v>1830</v>
      </c>
      <c r="E88" s="128" t="s">
        <v>1831</v>
      </c>
      <c r="F88" s="128" t="s">
        <v>1832</v>
      </c>
      <c r="G88" s="128" t="s">
        <v>1833</v>
      </c>
      <c r="H88" s="128" t="s">
        <v>1834</v>
      </c>
      <c r="I88" s="130" t="str">
        <f>IF(COUNTIF(J88:AW88,"&lt;&gt;")=0,"",SUMPRODUCT(((Recommendations[ImplStatus]="Implemented")+(Recommendations[ImplStatus]="Compensated"))*ISNUMBER(MATCH(Recommendations[Id],J88:AW88,0)))/COUNTIF(J88:AW88,"&lt;&gt;"))</f>
        <v/>
      </c>
      <c r="J88" s="132"/>
      <c r="K88" s="132"/>
      <c r="L88" s="132"/>
      <c r="M88" s="132"/>
      <c r="N88" s="132"/>
      <c r="O88" s="132"/>
      <c r="P88" s="132"/>
      <c r="Q88" s="132"/>
      <c r="R88" s="132"/>
      <c r="S88" s="132"/>
      <c r="T88" s="132"/>
      <c r="U88" s="132"/>
      <c r="V88" s="132"/>
      <c r="W88" s="132"/>
      <c r="X88" s="132"/>
      <c r="Y88" s="132"/>
      <c r="Z88" s="132"/>
      <c r="AA88" s="132"/>
      <c r="AB88" s="132"/>
      <c r="AC88" s="132"/>
      <c r="AD88" s="132"/>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1826</v>
      </c>
      <c r="B89" s="125" t="s">
        <v>1835</v>
      </c>
      <c r="C89" s="126" t="s">
        <v>1836</v>
      </c>
      <c r="D89" s="128" t="s">
        <v>1837</v>
      </c>
      <c r="E89" s="128" t="s">
        <v>1838</v>
      </c>
      <c r="F89" s="128" t="s">
        <v>1839</v>
      </c>
      <c r="G89" s="128" t="s">
        <v>1363</v>
      </c>
      <c r="H89" s="128" t="s">
        <v>1840</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1826</v>
      </c>
      <c r="B90" s="125" t="s">
        <v>1841</v>
      </c>
      <c r="C90" s="126" t="s">
        <v>1842</v>
      </c>
      <c r="D90" s="128" t="s">
        <v>1843</v>
      </c>
      <c r="E90" s="128" t="s">
        <v>1844</v>
      </c>
      <c r="F90" s="128" t="s">
        <v>1845</v>
      </c>
      <c r="G90" s="128" t="s">
        <v>1833</v>
      </c>
      <c r="H90" s="128" t="s">
        <v>1846</v>
      </c>
      <c r="I90" s="130">
        <f>IF(COUNTIF(J90:AW90,"&lt;&gt;")=0,"",SUMPRODUCT(((Recommendations[ImplStatus]="Implemented")+(Recommendations[ImplStatus]="Compensated"))*ISNUMBER(MATCH(Recommendations[Id],J90:AW90,0)))/COUNTIF(J90:AW90,"&lt;&gt;"))</f>
        <v>0</v>
      </c>
      <c r="J90" s="132" t="s">
        <v>63</v>
      </c>
      <c r="K90" s="132" t="s">
        <v>68</v>
      </c>
      <c r="L90" s="132" t="s">
        <v>73</v>
      </c>
      <c r="M90" s="132"/>
      <c r="N90" s="132"/>
      <c r="O90" s="132"/>
      <c r="P90" s="132"/>
      <c r="Q90" s="132"/>
      <c r="R90" s="132"/>
      <c r="S90" s="132"/>
      <c r="T90" s="132"/>
      <c r="U90" s="132"/>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1826</v>
      </c>
      <c r="B91" s="125" t="s">
        <v>1847</v>
      </c>
      <c r="C91" s="126" t="s">
        <v>1848</v>
      </c>
      <c r="D91" s="128" t="s">
        <v>1849</v>
      </c>
      <c r="E91" s="128" t="s">
        <v>1850</v>
      </c>
      <c r="F91" s="128" t="s">
        <v>1851</v>
      </c>
      <c r="G91" s="128" t="s">
        <v>1363</v>
      </c>
      <c r="H91" s="128" t="s">
        <v>1852</v>
      </c>
      <c r="I91" s="130">
        <f>IF(COUNTIF(J91:AW91,"&lt;&gt;")=0,"",SUMPRODUCT(((Recommendations[ImplStatus]="Implemented")+(Recommendations[ImplStatus]="Compensated"))*ISNUMBER(MATCH(Recommendations[Id],J91:AW91,0)))/COUNTIF(J91:AW91,"&lt;&gt;"))</f>
        <v>0</v>
      </c>
      <c r="J91" s="132" t="s">
        <v>23</v>
      </c>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1826</v>
      </c>
      <c r="B92" s="125" t="s">
        <v>1853</v>
      </c>
      <c r="C92" s="126" t="s">
        <v>1854</v>
      </c>
      <c r="D92" s="128" t="s">
        <v>1855</v>
      </c>
      <c r="E92" s="128" t="s">
        <v>1856</v>
      </c>
      <c r="F92" s="128" t="s">
        <v>1857</v>
      </c>
      <c r="G92" s="128" t="s">
        <v>1363</v>
      </c>
      <c r="H92" s="128" t="s">
        <v>1858</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1826</v>
      </c>
      <c r="B93" s="125" t="s">
        <v>1859</v>
      </c>
      <c r="C93" s="126" t="s">
        <v>1860</v>
      </c>
      <c r="D93" s="128" t="s">
        <v>1861</v>
      </c>
      <c r="E93" s="128" t="s">
        <v>1862</v>
      </c>
      <c r="F93" s="128" t="s">
        <v>1863</v>
      </c>
      <c r="G93" s="128" t="s">
        <v>1864</v>
      </c>
      <c r="H93" s="128" t="s">
        <v>1865</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1826</v>
      </c>
      <c r="B94" s="125" t="s">
        <v>1866</v>
      </c>
      <c r="C94" s="126" t="s">
        <v>1867</v>
      </c>
      <c r="D94" s="128" t="s">
        <v>1868</v>
      </c>
      <c r="E94" s="128" t="s">
        <v>1869</v>
      </c>
      <c r="F94" s="128" t="s">
        <v>1870</v>
      </c>
      <c r="G94" s="128" t="s">
        <v>1871</v>
      </c>
      <c r="H94" s="128" t="s">
        <v>1872</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1826</v>
      </c>
      <c r="B95" s="125" t="s">
        <v>1873</v>
      </c>
      <c r="C95" s="126" t="s">
        <v>1874</v>
      </c>
      <c r="D95" s="128" t="s">
        <v>1875</v>
      </c>
      <c r="E95" s="128" t="s">
        <v>1876</v>
      </c>
      <c r="F95" s="128" t="s">
        <v>1877</v>
      </c>
      <c r="G95" s="128" t="s">
        <v>1878</v>
      </c>
      <c r="H95" s="128" t="s">
        <v>1879</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1826</v>
      </c>
      <c r="B96" s="125" t="s">
        <v>1880</v>
      </c>
      <c r="C96" s="126" t="s">
        <v>1881</v>
      </c>
      <c r="D96" s="128" t="s">
        <v>1882</v>
      </c>
      <c r="E96" s="128" t="s">
        <v>1883</v>
      </c>
      <c r="F96" s="128" t="s">
        <v>1884</v>
      </c>
      <c r="G96" s="128" t="s">
        <v>1885</v>
      </c>
      <c r="H96" s="128" t="s">
        <v>1886</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1826</v>
      </c>
      <c r="B97" s="125" t="s">
        <v>1887</v>
      </c>
      <c r="C97" s="126" t="s">
        <v>1888</v>
      </c>
      <c r="D97" s="128" t="s">
        <v>1889</v>
      </c>
      <c r="E97" s="128" t="s">
        <v>1890</v>
      </c>
      <c r="F97" s="128" t="s">
        <v>1891</v>
      </c>
      <c r="G97" s="128" t="s">
        <v>1892</v>
      </c>
      <c r="H97" s="128" t="s">
        <v>1893</v>
      </c>
      <c r="I97" s="130">
        <f>IF(COUNTIF(J97:AW97,"&lt;&gt;")=0,"",SUMPRODUCT(((Recommendations[ImplStatus]="Implemented")+(Recommendations[ImplStatus]="Compensated"))*ISNUMBER(MATCH(Recommendations[Id],J97:AW97,0)))/COUNTIF(J97:AW97,"&lt;&gt;"))</f>
        <v>0</v>
      </c>
      <c r="J97" s="132" t="s">
        <v>23</v>
      </c>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1894</v>
      </c>
      <c r="B98" s="124"/>
      <c r="C98" s="123" t="s">
        <v>1895</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1894</v>
      </c>
      <c r="B99" s="125" t="s">
        <v>1896</v>
      </c>
      <c r="C99" s="126" t="s">
        <v>1897</v>
      </c>
      <c r="D99" s="128" t="s">
        <v>1898</v>
      </c>
      <c r="E99" s="128" t="s">
        <v>1899</v>
      </c>
      <c r="F99" s="128" t="s">
        <v>1900</v>
      </c>
      <c r="G99" s="128" t="s">
        <v>1901</v>
      </c>
      <c r="H99" s="128" t="s">
        <v>1902</v>
      </c>
      <c r="I99" s="130">
        <f>IF(COUNTIF(J99:AW99,"&lt;&gt;")=0,"",SUMPRODUCT(((Recommendations[ImplStatus]="Implemented")+(Recommendations[ImplStatus]="Compensated"))*ISNUMBER(MATCH(Recommendations[Id],J99:AW99,0)))/COUNTIF(J99:AW99,"&lt;&gt;"))</f>
        <v>0</v>
      </c>
      <c r="J99" s="132" t="s">
        <v>38</v>
      </c>
      <c r="K99" s="132" t="s">
        <v>57</v>
      </c>
      <c r="L99" s="132" t="s">
        <v>83</v>
      </c>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1894</v>
      </c>
      <c r="B100" s="125" t="s">
        <v>1903</v>
      </c>
      <c r="C100" s="126" t="s">
        <v>1904</v>
      </c>
      <c r="D100" s="128" t="s">
        <v>1905</v>
      </c>
      <c r="E100" s="128" t="s">
        <v>1906</v>
      </c>
      <c r="F100" s="128" t="s">
        <v>1907</v>
      </c>
      <c r="G100" s="128" t="s">
        <v>1908</v>
      </c>
      <c r="H100" s="128" t="s">
        <v>1909</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1894</v>
      </c>
      <c r="B101" s="125" t="s">
        <v>1910</v>
      </c>
      <c r="C101" s="126" t="s">
        <v>1911</v>
      </c>
      <c r="D101" s="128" t="s">
        <v>1912</v>
      </c>
      <c r="E101" s="128" t="s">
        <v>1913</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1894</v>
      </c>
      <c r="B102" s="125" t="s">
        <v>1914</v>
      </c>
      <c r="C102" s="126" t="s">
        <v>1915</v>
      </c>
      <c r="D102" s="128" t="s">
        <v>1916</v>
      </c>
      <c r="E102" s="128" t="s">
        <v>1917</v>
      </c>
      <c r="F102" s="128" t="s">
        <v>1918</v>
      </c>
      <c r="G102" s="128" t="s">
        <v>1919</v>
      </c>
      <c r="H102" s="128" t="s">
        <v>1920</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1894</v>
      </c>
      <c r="B103" s="125" t="s">
        <v>1921</v>
      </c>
      <c r="C103" s="126" t="s">
        <v>1922</v>
      </c>
      <c r="D103" s="128" t="s">
        <v>1923</v>
      </c>
      <c r="E103" s="128" t="s">
        <v>1924</v>
      </c>
      <c r="F103" s="128" t="s">
        <v>1925</v>
      </c>
      <c r="G103" s="128" t="s">
        <v>1926</v>
      </c>
      <c r="H103" s="128" t="s">
        <v>1927</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1928</v>
      </c>
      <c r="B104" s="124"/>
      <c r="C104" s="123" t="s">
        <v>1929</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1928</v>
      </c>
      <c r="B105" s="125" t="s">
        <v>1930</v>
      </c>
      <c r="C105" s="126" t="s">
        <v>1931</v>
      </c>
      <c r="D105" s="128" t="s">
        <v>1932</v>
      </c>
      <c r="E105" s="128" t="s">
        <v>1933</v>
      </c>
      <c r="F105" s="128" t="s">
        <v>1934</v>
      </c>
      <c r="G105" s="128" t="s">
        <v>1935</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1928</v>
      </c>
      <c r="B106" s="125" t="s">
        <v>1936</v>
      </c>
      <c r="C106" s="126" t="s">
        <v>1937</v>
      </c>
      <c r="D106" s="128" t="s">
        <v>1938</v>
      </c>
      <c r="E106" s="128" t="s">
        <v>1939</v>
      </c>
      <c r="F106" s="128" t="s">
        <v>1940</v>
      </c>
      <c r="G106" s="128" t="s">
        <v>1941</v>
      </c>
      <c r="H106" s="128" t="s">
        <v>1942</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1928</v>
      </c>
      <c r="B107" s="125" t="s">
        <v>1943</v>
      </c>
      <c r="C107" s="126" t="s">
        <v>1944</v>
      </c>
      <c r="D107" s="128" t="s">
        <v>1945</v>
      </c>
      <c r="E107" s="128" t="s">
        <v>1946</v>
      </c>
      <c r="F107" s="128" t="s">
        <v>1947</v>
      </c>
      <c r="G107" s="128" t="s">
        <v>1948</v>
      </c>
      <c r="H107" s="128" t="s">
        <v>1949</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1950</v>
      </c>
      <c r="B108" s="124"/>
      <c r="C108" s="123" t="s">
        <v>1951</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1950</v>
      </c>
      <c r="B109" s="125" t="s">
        <v>1952</v>
      </c>
      <c r="C109" s="126" t="s">
        <v>1953</v>
      </c>
      <c r="D109" s="128" t="s">
        <v>1954</v>
      </c>
      <c r="E109" s="128" t="s">
        <v>1955</v>
      </c>
      <c r="F109" s="128" t="s">
        <v>1956</v>
      </c>
      <c r="G109" s="128" t="s">
        <v>1957</v>
      </c>
      <c r="H109" s="128" t="s">
        <v>1958</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1950</v>
      </c>
      <c r="B110" s="125" t="s">
        <v>1959</v>
      </c>
      <c r="C110" s="126" t="s">
        <v>1960</v>
      </c>
      <c r="D110" s="128" t="s">
        <v>1961</v>
      </c>
      <c r="E110" s="128" t="s">
        <v>1962</v>
      </c>
      <c r="F110" s="128" t="s">
        <v>1963</v>
      </c>
      <c r="G110" s="128" t="s">
        <v>1964</v>
      </c>
      <c r="H110" s="128" t="s">
        <v>1965</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1950</v>
      </c>
      <c r="B111" s="125" t="s">
        <v>1966</v>
      </c>
      <c r="C111" s="126" t="s">
        <v>1967</v>
      </c>
      <c r="D111" s="128" t="s">
        <v>1968</v>
      </c>
      <c r="E111" s="128" t="s">
        <v>1969</v>
      </c>
      <c r="F111" s="128" t="s">
        <v>1970</v>
      </c>
      <c r="G111" s="128" t="s">
        <v>1971</v>
      </c>
      <c r="H111" s="128" t="s">
        <v>1972</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1973</v>
      </c>
      <c r="B112" s="124"/>
      <c r="C112" s="123" t="s">
        <v>1974</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1973</v>
      </c>
      <c r="B113" s="125" t="s">
        <v>1975</v>
      </c>
      <c r="C113" s="126" t="s">
        <v>1976</v>
      </c>
      <c r="D113" s="128" t="s">
        <v>1977</v>
      </c>
      <c r="E113" s="128" t="s">
        <v>1978</v>
      </c>
      <c r="F113" s="128" t="s">
        <v>1979</v>
      </c>
      <c r="G113" s="128" t="s">
        <v>1980</v>
      </c>
      <c r="H113" s="128" t="s">
        <v>1981</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1973</v>
      </c>
      <c r="B114" s="125" t="s">
        <v>1982</v>
      </c>
      <c r="C114" s="126" t="s">
        <v>1983</v>
      </c>
      <c r="D114" s="128" t="s">
        <v>1984</v>
      </c>
      <c r="E114" s="128" t="s">
        <v>1985</v>
      </c>
      <c r="F114" s="128" t="s">
        <v>1986</v>
      </c>
      <c r="G114" s="128" t="s">
        <v>1980</v>
      </c>
      <c r="H114" s="128" t="s">
        <v>1987</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1973</v>
      </c>
      <c r="B115" s="133" t="s">
        <v>1988</v>
      </c>
      <c r="C115" s="134" t="s">
        <v>1989</v>
      </c>
      <c r="D115" s="135" t="s">
        <v>1990</v>
      </c>
      <c r="E115" s="135" t="s">
        <v>1991</v>
      </c>
      <c r="F115" s="135" t="s">
        <v>1992</v>
      </c>
      <c r="G115" s="135" t="s">
        <v>1993</v>
      </c>
      <c r="H115" s="135" t="s">
        <v>1994</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118</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IFERROR(INDEX('Recommendations'!$G$2:$G$21, MATCH(J2,'Recommendations'!$A$2:$A$21,0))="Implemented", FALSE))</xm:f>
            <x14:dxf>
              <font>
                <color rgb="FF000000"/>
              </font>
              <fill>
                <patternFill>
                  <bgColor rgb="FF3C7D22"/>
                </patternFill>
              </fill>
            </x14:dxf>
          </x14:cfRule>
          <x14:cfRule type="expression" priority="2" id="{00000000-000E-0000-0600-000002000000}">
            <xm:f>AND(J2&lt;&gt;"", IFERROR(INDEX('Recommendations'!$G$2:$G$21, MATCH(J2,'Recommendations'!$A$2:$A$21,0))="Compensated", FALSE))</xm:f>
            <x14:dxf>
              <font>
                <color rgb="FF000000"/>
              </font>
              <fill>
                <patternFill>
                  <bgColor rgb="FFC6E0B4"/>
                </patternFill>
              </fill>
            </x14:dxf>
          </x14:cfRule>
          <x14:cfRule type="expression" priority="3" id="{00000000-000E-0000-0600-000003000000}">
            <xm:f>AND(J2&lt;&gt;"", IFERROR(INDEX('Recommendations'!$G$2:$G$21, MATCH(J2,'Recommendations'!$A$2:$A$21,0))="Testing", FALSE))</xm:f>
            <x14:dxf>
              <font>
                <color rgb="FF000000"/>
              </font>
              <fill>
                <patternFill>
                  <bgColor rgb="FFFFC000"/>
                </patternFill>
              </fill>
            </x14:dxf>
          </x14:cfRule>
          <x14:cfRule type="expression" priority="4" id="{00000000-000E-0000-0600-000004000000}">
            <xm:f>AND(J2&lt;&gt;"", IFERROR(INDEX('Recommendations'!$G$2:$G$21, MATCH(J2,'Recommendations'!$A$2:$A$21,0))="Failed", FALSE))</xm:f>
            <x14:dxf>
              <font>
                <color rgb="FF000000"/>
              </font>
              <fill>
                <patternFill>
                  <bgColor rgb="FFD82891"/>
                </patternFill>
              </fill>
            </x14:dxf>
          </x14:cfRule>
          <x14:cfRule type="expression" priority="5" id="{00000000-000E-0000-0600-000005000000}">
            <xm:f>AND(J2&lt;&gt;"", IFERROR(INDEX('Recommendations'!$G$2:$G$21, MATCH(J2,'Recommendations'!$A$2:$A$21,0))="Risk Accepted", FALSE))</xm:f>
            <x14:dxf>
              <font>
                <color rgb="FF000000"/>
              </font>
              <fill>
                <patternFill>
                  <bgColor rgb="FFD9D9D9"/>
                </patternFill>
              </fill>
            </x14:dxf>
          </x14:cfRule>
          <x14:cfRule type="expression" priority="6" id="{00000000-000E-0000-0600-000006000000}">
            <xm:f>AND(J2&lt;&gt;"", IFERROR(INDEX('Recommendations'!$G$2:$G$21, MATCH(J2,'Recommendations'!$A$2:$A$21,0))="N/A",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1995</v>
      </c>
      <c r="B1" s="184" t="s">
        <v>1996</v>
      </c>
      <c r="C1" s="184" t="s">
        <v>0</v>
      </c>
      <c r="D1" s="184" t="s">
        <v>1997</v>
      </c>
      <c r="E1" s="184" t="s">
        <v>1998</v>
      </c>
      <c r="F1" s="184" t="s">
        <v>1999</v>
      </c>
      <c r="G1" s="184" t="s">
        <v>364</v>
      </c>
      <c r="H1" s="184" t="s">
        <v>365</v>
      </c>
      <c r="I1" s="184" t="s">
        <v>366</v>
      </c>
      <c r="J1" s="184" t="s">
        <v>367</v>
      </c>
      <c r="K1" s="184" t="s">
        <v>368</v>
      </c>
      <c r="L1" s="184" t="s">
        <v>369</v>
      </c>
      <c r="M1" s="184" t="s">
        <v>370</v>
      </c>
      <c r="N1" s="184" t="s">
        <v>371</v>
      </c>
      <c r="O1" s="184" t="s">
        <v>372</v>
      </c>
      <c r="P1" s="184" t="s">
        <v>373</v>
      </c>
      <c r="Q1" s="184" t="s">
        <v>374</v>
      </c>
      <c r="R1" s="184" t="s">
        <v>375</v>
      </c>
      <c r="S1" s="184" t="s">
        <v>376</v>
      </c>
      <c r="T1" s="184" t="s">
        <v>377</v>
      </c>
      <c r="U1" s="184" t="s">
        <v>378</v>
      </c>
      <c r="V1" s="184" t="s">
        <v>379</v>
      </c>
      <c r="W1" s="184" t="s">
        <v>380</v>
      </c>
      <c r="X1" s="184" t="s">
        <v>381</v>
      </c>
      <c r="Y1" s="184" t="s">
        <v>382</v>
      </c>
      <c r="Z1" s="184" t="s">
        <v>383</v>
      </c>
      <c r="AA1" s="184" t="s">
        <v>384</v>
      </c>
      <c r="AB1" s="184" t="s">
        <v>385</v>
      </c>
      <c r="AC1" s="184" t="s">
        <v>386</v>
      </c>
      <c r="AD1" s="184" t="s">
        <v>387</v>
      </c>
      <c r="AE1" s="184" t="s">
        <v>388</v>
      </c>
      <c r="AF1" s="184" t="s">
        <v>389</v>
      </c>
      <c r="AG1" s="184" t="s">
        <v>390</v>
      </c>
      <c r="AH1" s="184" t="s">
        <v>391</v>
      </c>
      <c r="AI1" s="184" t="s">
        <v>392</v>
      </c>
      <c r="AJ1" s="184" t="s">
        <v>393</v>
      </c>
      <c r="AK1" s="184" t="s">
        <v>394</v>
      </c>
      <c r="AL1" s="184" t="s">
        <v>395</v>
      </c>
      <c r="AM1" s="184" t="s">
        <v>396</v>
      </c>
      <c r="AN1" s="184" t="s">
        <v>397</v>
      </c>
      <c r="AO1" s="184" t="s">
        <v>398</v>
      </c>
      <c r="AP1" s="184" t="s">
        <v>399</v>
      </c>
      <c r="AQ1" s="184" t="s">
        <v>400</v>
      </c>
      <c r="AR1" s="184" t="s">
        <v>401</v>
      </c>
      <c r="AS1" s="184" t="s">
        <v>402</v>
      </c>
      <c r="AT1" s="184" t="s">
        <v>403</v>
      </c>
      <c r="AU1" s="185" t="s">
        <v>404</v>
      </c>
    </row>
    <row r="2" spans="1:47" ht="60" customHeight="1" outlineLevel="1" x14ac:dyDescent="0.35">
      <c r="A2" s="175" t="s">
        <v>2000</v>
      </c>
      <c r="B2" s="149" t="s">
        <v>19</v>
      </c>
      <c r="C2" s="147" t="s">
        <v>2001</v>
      </c>
      <c r="D2" s="153" t="s">
        <v>2002</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2000</v>
      </c>
      <c r="B3" s="150" t="s">
        <v>2003</v>
      </c>
      <c r="C3" s="148" t="s">
        <v>2004</v>
      </c>
      <c r="D3" s="154" t="s">
        <v>2005</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2000</v>
      </c>
      <c r="B4" s="151" t="s">
        <v>2003</v>
      </c>
      <c r="C4" s="152" t="s">
        <v>2006</v>
      </c>
      <c r="D4" s="155" t="s">
        <v>2007</v>
      </c>
      <c r="E4" s="158" t="s">
        <v>2008</v>
      </c>
      <c r="F4" s="161" t="s">
        <v>2009</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2000</v>
      </c>
      <c r="B5" s="151" t="s">
        <v>2003</v>
      </c>
      <c r="C5" s="152" t="s">
        <v>2010</v>
      </c>
      <c r="D5" s="155" t="s">
        <v>2011</v>
      </c>
      <c r="E5" s="158" t="s">
        <v>2012</v>
      </c>
      <c r="F5" s="161" t="s">
        <v>2013</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2000</v>
      </c>
      <c r="B6" s="151" t="s">
        <v>2003</v>
      </c>
      <c r="C6" s="152" t="s">
        <v>2014</v>
      </c>
      <c r="D6" s="155" t="s">
        <v>2015</v>
      </c>
      <c r="E6" s="158" t="s">
        <v>2016</v>
      </c>
      <c r="F6" s="161" t="s">
        <v>2013</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2000</v>
      </c>
      <c r="B7" s="151" t="s">
        <v>2003</v>
      </c>
      <c r="C7" s="152" t="s">
        <v>2017</v>
      </c>
      <c r="D7" s="155" t="s">
        <v>2018</v>
      </c>
      <c r="E7" s="158" t="s">
        <v>2019</v>
      </c>
      <c r="F7" s="161" t="s">
        <v>2013</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2000</v>
      </c>
      <c r="B8" s="151" t="s">
        <v>2003</v>
      </c>
      <c r="C8" s="152" t="s">
        <v>2020</v>
      </c>
      <c r="D8" s="155" t="s">
        <v>2021</v>
      </c>
      <c r="E8" s="158" t="s">
        <v>2022</v>
      </c>
      <c r="F8" s="161" t="s">
        <v>2023</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2000</v>
      </c>
      <c r="B9" s="150" t="s">
        <v>2024</v>
      </c>
      <c r="C9" s="148" t="s">
        <v>2025</v>
      </c>
      <c r="D9" s="154" t="s">
        <v>2026</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2000</v>
      </c>
      <c r="B10" s="151" t="s">
        <v>2024</v>
      </c>
      <c r="C10" s="152" t="s">
        <v>2027</v>
      </c>
      <c r="D10" s="155" t="s">
        <v>2028</v>
      </c>
      <c r="E10" s="158" t="s">
        <v>2029</v>
      </c>
      <c r="F10" s="161" t="s">
        <v>2009</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2000</v>
      </c>
      <c r="B11" s="151" t="s">
        <v>2024</v>
      </c>
      <c r="C11" s="152" t="s">
        <v>2030</v>
      </c>
      <c r="D11" s="155" t="s">
        <v>2031</v>
      </c>
      <c r="E11" s="158" t="s">
        <v>2032</v>
      </c>
      <c r="F11" s="161" t="s">
        <v>2009</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2000</v>
      </c>
      <c r="B12" s="151" t="s">
        <v>2024</v>
      </c>
      <c r="C12" s="152" t="s">
        <v>2033</v>
      </c>
      <c r="D12" s="155" t="s">
        <v>2034</v>
      </c>
      <c r="E12" s="158" t="s">
        <v>2035</v>
      </c>
      <c r="F12" s="161" t="s">
        <v>2009</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2000</v>
      </c>
      <c r="B13" s="150" t="s">
        <v>2036</v>
      </c>
      <c r="C13" s="148" t="s">
        <v>2037</v>
      </c>
      <c r="D13" s="154" t="s">
        <v>2038</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2000</v>
      </c>
      <c r="B14" s="151" t="s">
        <v>2036</v>
      </c>
      <c r="C14" s="152" t="s">
        <v>2039</v>
      </c>
      <c r="D14" s="155" t="s">
        <v>2040</v>
      </c>
      <c r="E14" s="158" t="s">
        <v>2041</v>
      </c>
      <c r="F14" s="161" t="s">
        <v>2009</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2000</v>
      </c>
      <c r="B15" s="151" t="s">
        <v>2036</v>
      </c>
      <c r="C15" s="152" t="s">
        <v>2042</v>
      </c>
      <c r="D15" s="155" t="s">
        <v>2043</v>
      </c>
      <c r="E15" s="158" t="s">
        <v>2044</v>
      </c>
      <c r="F15" s="161" t="s">
        <v>2009</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2000</v>
      </c>
      <c r="B16" s="150" t="s">
        <v>2045</v>
      </c>
      <c r="C16" s="148" t="s">
        <v>2046</v>
      </c>
      <c r="D16" s="154" t="s">
        <v>2047</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2000</v>
      </c>
      <c r="B17" s="151" t="s">
        <v>2045</v>
      </c>
      <c r="C17" s="152" t="s">
        <v>2048</v>
      </c>
      <c r="D17" s="155" t="s">
        <v>2049</v>
      </c>
      <c r="E17" s="158" t="s">
        <v>2050</v>
      </c>
      <c r="F17" s="161" t="s">
        <v>2009</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2000</v>
      </c>
      <c r="B18" s="151" t="s">
        <v>2045</v>
      </c>
      <c r="C18" s="152" t="s">
        <v>2051</v>
      </c>
      <c r="D18" s="155" t="s">
        <v>2052</v>
      </c>
      <c r="E18" s="158" t="s">
        <v>2053</v>
      </c>
      <c r="F18" s="161" t="s">
        <v>2013</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2000</v>
      </c>
      <c r="B19" s="151" t="s">
        <v>2045</v>
      </c>
      <c r="C19" s="152" t="s">
        <v>2054</v>
      </c>
      <c r="D19" s="155" t="s">
        <v>2055</v>
      </c>
      <c r="E19" s="158" t="s">
        <v>2056</v>
      </c>
      <c r="F19" s="161" t="s">
        <v>2009</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2000</v>
      </c>
      <c r="B20" s="151" t="s">
        <v>2045</v>
      </c>
      <c r="C20" s="152" t="s">
        <v>2057</v>
      </c>
      <c r="D20" s="155" t="s">
        <v>2058</v>
      </c>
      <c r="E20" s="158" t="s">
        <v>2059</v>
      </c>
      <c r="F20" s="161" t="s">
        <v>2009</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2000</v>
      </c>
      <c r="B21" s="151" t="s">
        <v>2045</v>
      </c>
      <c r="C21" s="152" t="s">
        <v>2060</v>
      </c>
      <c r="D21" s="155" t="s">
        <v>2061</v>
      </c>
      <c r="E21" s="158" t="s">
        <v>2062</v>
      </c>
      <c r="F21" s="161" t="s">
        <v>2013</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2000</v>
      </c>
      <c r="B22" s="151" t="s">
        <v>2045</v>
      </c>
      <c r="C22" s="152" t="s">
        <v>2063</v>
      </c>
      <c r="D22" s="155" t="s">
        <v>2064</v>
      </c>
      <c r="E22" s="158" t="s">
        <v>2065</v>
      </c>
      <c r="F22" s="161" t="s">
        <v>2009</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2000</v>
      </c>
      <c r="B23" s="151" t="s">
        <v>2045</v>
      </c>
      <c r="C23" s="152" t="s">
        <v>2066</v>
      </c>
      <c r="D23" s="155" t="s">
        <v>2067</v>
      </c>
      <c r="E23" s="158" t="s">
        <v>2068</v>
      </c>
      <c r="F23" s="161" t="s">
        <v>2009</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2000</v>
      </c>
      <c r="B24" s="150" t="s">
        <v>2069</v>
      </c>
      <c r="C24" s="148" t="s">
        <v>2070</v>
      </c>
      <c r="D24" s="154" t="s">
        <v>2071</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2000</v>
      </c>
      <c r="B25" s="151" t="s">
        <v>2069</v>
      </c>
      <c r="C25" s="152" t="s">
        <v>2072</v>
      </c>
      <c r="D25" s="155" t="s">
        <v>2073</v>
      </c>
      <c r="E25" s="158" t="s">
        <v>2074</v>
      </c>
      <c r="F25" s="161" t="s">
        <v>2009</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2000</v>
      </c>
      <c r="B26" s="151" t="s">
        <v>2069</v>
      </c>
      <c r="C26" s="152" t="s">
        <v>2075</v>
      </c>
      <c r="D26" s="155" t="s">
        <v>2076</v>
      </c>
      <c r="E26" s="158" t="s">
        <v>2077</v>
      </c>
      <c r="F26" s="161" t="s">
        <v>2009</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2000</v>
      </c>
      <c r="B27" s="151" t="s">
        <v>2069</v>
      </c>
      <c r="C27" s="152" t="s">
        <v>2078</v>
      </c>
      <c r="D27" s="155" t="s">
        <v>2079</v>
      </c>
      <c r="E27" s="158" t="s">
        <v>2080</v>
      </c>
      <c r="F27" s="161" t="s">
        <v>2013</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2000</v>
      </c>
      <c r="B28" s="151" t="s">
        <v>2069</v>
      </c>
      <c r="C28" s="152" t="s">
        <v>2081</v>
      </c>
      <c r="D28" s="155" t="s">
        <v>2082</v>
      </c>
      <c r="E28" s="158" t="s">
        <v>2083</v>
      </c>
      <c r="F28" s="161" t="s">
        <v>2009</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2000</v>
      </c>
      <c r="B29" s="150" t="s">
        <v>2084</v>
      </c>
      <c r="C29" s="148" t="s">
        <v>2085</v>
      </c>
      <c r="D29" s="154" t="s">
        <v>2086</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2000</v>
      </c>
      <c r="B30" s="151" t="s">
        <v>2084</v>
      </c>
      <c r="C30" s="152" t="s">
        <v>2087</v>
      </c>
      <c r="D30" s="155" t="s">
        <v>2088</v>
      </c>
      <c r="E30" s="158" t="s">
        <v>2089</v>
      </c>
      <c r="F30" s="161" t="s">
        <v>2023</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2000</v>
      </c>
      <c r="B31" s="151" t="s">
        <v>2084</v>
      </c>
      <c r="C31" s="152" t="s">
        <v>2090</v>
      </c>
      <c r="D31" s="155" t="s">
        <v>2091</v>
      </c>
      <c r="E31" s="158" t="s">
        <v>2092</v>
      </c>
      <c r="F31" s="161" t="s">
        <v>2023</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2000</v>
      </c>
      <c r="B32" s="151" t="s">
        <v>2084</v>
      </c>
      <c r="C32" s="152" t="s">
        <v>2093</v>
      </c>
      <c r="D32" s="155" t="s">
        <v>2094</v>
      </c>
      <c r="E32" s="158" t="s">
        <v>2095</v>
      </c>
      <c r="F32" s="161" t="s">
        <v>2023</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2000</v>
      </c>
      <c r="B33" s="151" t="s">
        <v>2084</v>
      </c>
      <c r="C33" s="152" t="s">
        <v>2096</v>
      </c>
      <c r="D33" s="155" t="s">
        <v>2097</v>
      </c>
      <c r="E33" s="158" t="s">
        <v>2098</v>
      </c>
      <c r="F33" s="161" t="s">
        <v>2023</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2000</v>
      </c>
      <c r="B34" s="151" t="s">
        <v>2084</v>
      </c>
      <c r="C34" s="152" t="s">
        <v>2099</v>
      </c>
      <c r="D34" s="155" t="s">
        <v>2100</v>
      </c>
      <c r="E34" s="158" t="s">
        <v>2101</v>
      </c>
      <c r="F34" s="161" t="s">
        <v>2023</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2000</v>
      </c>
      <c r="B35" s="151" t="s">
        <v>2084</v>
      </c>
      <c r="C35" s="152" t="s">
        <v>2102</v>
      </c>
      <c r="D35" s="155" t="s">
        <v>2103</v>
      </c>
      <c r="E35" s="158" t="s">
        <v>2104</v>
      </c>
      <c r="F35" s="161" t="s">
        <v>2023</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2000</v>
      </c>
      <c r="B36" s="151" t="s">
        <v>2084</v>
      </c>
      <c r="C36" s="152" t="s">
        <v>2105</v>
      </c>
      <c r="D36" s="155" t="s">
        <v>2106</v>
      </c>
      <c r="E36" s="158" t="s">
        <v>2107</v>
      </c>
      <c r="F36" s="161" t="s">
        <v>2023</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2000</v>
      </c>
      <c r="B37" s="151" t="s">
        <v>2084</v>
      </c>
      <c r="C37" s="152" t="s">
        <v>2108</v>
      </c>
      <c r="D37" s="155" t="s">
        <v>2109</v>
      </c>
      <c r="E37" s="158" t="s">
        <v>2110</v>
      </c>
      <c r="F37" s="161" t="s">
        <v>2023</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2000</v>
      </c>
      <c r="B38" s="151" t="s">
        <v>2084</v>
      </c>
      <c r="C38" s="152" t="s">
        <v>2111</v>
      </c>
      <c r="D38" s="155" t="s">
        <v>2112</v>
      </c>
      <c r="E38" s="158" t="s">
        <v>2113</v>
      </c>
      <c r="F38" s="161" t="s">
        <v>2023</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2000</v>
      </c>
      <c r="B39" s="151" t="s">
        <v>2084</v>
      </c>
      <c r="C39" s="152" t="s">
        <v>2114</v>
      </c>
      <c r="D39" s="155" t="s">
        <v>2115</v>
      </c>
      <c r="E39" s="158" t="s">
        <v>2116</v>
      </c>
      <c r="F39" s="161" t="s">
        <v>2023</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2117</v>
      </c>
      <c r="B40" s="149" t="s">
        <v>19</v>
      </c>
      <c r="C40" s="147" t="s">
        <v>2118</v>
      </c>
      <c r="D40" s="153" t="s">
        <v>2119</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2117</v>
      </c>
      <c r="B41" s="150" t="s">
        <v>2120</v>
      </c>
      <c r="C41" s="148" t="s">
        <v>2121</v>
      </c>
      <c r="D41" s="154" t="s">
        <v>2122</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2117</v>
      </c>
      <c r="B42" s="151" t="s">
        <v>2120</v>
      </c>
      <c r="C42" s="152" t="s">
        <v>2123</v>
      </c>
      <c r="D42" s="155" t="s">
        <v>2124</v>
      </c>
      <c r="E42" s="158" t="s">
        <v>2125</v>
      </c>
      <c r="F42" s="161" t="s">
        <v>2009</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2117</v>
      </c>
      <c r="B43" s="151" t="s">
        <v>2120</v>
      </c>
      <c r="C43" s="152" t="s">
        <v>2126</v>
      </c>
      <c r="D43" s="155" t="s">
        <v>2127</v>
      </c>
      <c r="E43" s="158" t="s">
        <v>2128</v>
      </c>
      <c r="F43" s="161" t="s">
        <v>2009</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2117</v>
      </c>
      <c r="B44" s="151" t="s">
        <v>2120</v>
      </c>
      <c r="C44" s="152" t="s">
        <v>2129</v>
      </c>
      <c r="D44" s="155" t="s">
        <v>2130</v>
      </c>
      <c r="E44" s="158" t="s">
        <v>2131</v>
      </c>
      <c r="F44" s="161" t="s">
        <v>2013</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2117</v>
      </c>
      <c r="B45" s="151" t="s">
        <v>2120</v>
      </c>
      <c r="C45" s="152" t="s">
        <v>2132</v>
      </c>
      <c r="D45" s="155" t="s">
        <v>2133</v>
      </c>
      <c r="E45" s="158" t="s">
        <v>2134</v>
      </c>
      <c r="F45" s="161" t="s">
        <v>2023</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2117</v>
      </c>
      <c r="B46" s="151" t="s">
        <v>2120</v>
      </c>
      <c r="C46" s="152" t="s">
        <v>2135</v>
      </c>
      <c r="D46" s="155" t="s">
        <v>2136</v>
      </c>
      <c r="E46" s="158" t="s">
        <v>2137</v>
      </c>
      <c r="F46" s="161" t="s">
        <v>2009</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2117</v>
      </c>
      <c r="B47" s="151" t="s">
        <v>2120</v>
      </c>
      <c r="C47" s="152" t="s">
        <v>2138</v>
      </c>
      <c r="D47" s="155" t="s">
        <v>2139</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2117</v>
      </c>
      <c r="B48" s="151" t="s">
        <v>2120</v>
      </c>
      <c r="C48" s="152" t="s">
        <v>2140</v>
      </c>
      <c r="D48" s="155" t="s">
        <v>2141</v>
      </c>
      <c r="E48" s="158" t="s">
        <v>2142</v>
      </c>
      <c r="F48" s="161" t="s">
        <v>2009</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2117</v>
      </c>
      <c r="B49" s="151" t="s">
        <v>2120</v>
      </c>
      <c r="C49" s="152" t="s">
        <v>2143</v>
      </c>
      <c r="D49" s="155" t="s">
        <v>2144</v>
      </c>
      <c r="E49" s="158" t="s">
        <v>2145</v>
      </c>
      <c r="F49" s="161" t="s">
        <v>2013</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2117</v>
      </c>
      <c r="B50" s="150" t="s">
        <v>2146</v>
      </c>
      <c r="C50" s="148" t="s">
        <v>2147</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2117</v>
      </c>
      <c r="B51" s="151" t="s">
        <v>2146</v>
      </c>
      <c r="C51" s="152" t="s">
        <v>2148</v>
      </c>
      <c r="D51" s="155" t="s">
        <v>2149</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2117</v>
      </c>
      <c r="B52" s="151" t="s">
        <v>2146</v>
      </c>
      <c r="C52" s="152" t="s">
        <v>2150</v>
      </c>
      <c r="D52" s="155" t="s">
        <v>2151</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2117</v>
      </c>
      <c r="B53" s="151" t="s">
        <v>2146</v>
      </c>
      <c r="C53" s="152" t="s">
        <v>2152</v>
      </c>
      <c r="D53" s="155" t="s">
        <v>2153</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2117</v>
      </c>
      <c r="B54" s="151" t="s">
        <v>2146</v>
      </c>
      <c r="C54" s="152" t="s">
        <v>2154</v>
      </c>
      <c r="D54" s="155" t="s">
        <v>2155</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2117</v>
      </c>
      <c r="B55" s="151" t="s">
        <v>2146</v>
      </c>
      <c r="C55" s="152" t="s">
        <v>2156</v>
      </c>
      <c r="D55" s="155" t="s">
        <v>2157</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2117</v>
      </c>
      <c r="B56" s="150" t="s">
        <v>271</v>
      </c>
      <c r="C56" s="148" t="s">
        <v>2158</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2117</v>
      </c>
      <c r="B57" s="151" t="s">
        <v>271</v>
      </c>
      <c r="C57" s="152" t="s">
        <v>2159</v>
      </c>
      <c r="D57" s="155" t="s">
        <v>2160</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2117</v>
      </c>
      <c r="B58" s="151" t="s">
        <v>271</v>
      </c>
      <c r="C58" s="152" t="s">
        <v>2161</v>
      </c>
      <c r="D58" s="155" t="s">
        <v>2162</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2117</v>
      </c>
      <c r="B59" s="151" t="s">
        <v>271</v>
      </c>
      <c r="C59" s="152" t="s">
        <v>2163</v>
      </c>
      <c r="D59" s="155" t="s">
        <v>2164</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2117</v>
      </c>
      <c r="B60" s="151" t="s">
        <v>271</v>
      </c>
      <c r="C60" s="152" t="s">
        <v>2165</v>
      </c>
      <c r="D60" s="155" t="s">
        <v>2166</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2117</v>
      </c>
      <c r="B61" s="150" t="s">
        <v>2167</v>
      </c>
      <c r="C61" s="148" t="s">
        <v>2168</v>
      </c>
      <c r="D61" s="154" t="s">
        <v>2169</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2117</v>
      </c>
      <c r="B62" s="151" t="s">
        <v>2167</v>
      </c>
      <c r="C62" s="152" t="s">
        <v>2170</v>
      </c>
      <c r="D62" s="155" t="s">
        <v>2171</v>
      </c>
      <c r="E62" s="158" t="s">
        <v>2172</v>
      </c>
      <c r="F62" s="161" t="s">
        <v>2009</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2117</v>
      </c>
      <c r="B63" s="151" t="s">
        <v>2167</v>
      </c>
      <c r="C63" s="152" t="s">
        <v>2173</v>
      </c>
      <c r="D63" s="155" t="s">
        <v>2174</v>
      </c>
      <c r="E63" s="158" t="s">
        <v>2175</v>
      </c>
      <c r="F63" s="161" t="s">
        <v>2013</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2117</v>
      </c>
      <c r="B64" s="151" t="s">
        <v>2167</v>
      </c>
      <c r="C64" s="152" t="s">
        <v>2176</v>
      </c>
      <c r="D64" s="155" t="s">
        <v>2177</v>
      </c>
      <c r="E64" s="158" t="s">
        <v>2178</v>
      </c>
      <c r="F64" s="161" t="s">
        <v>2009</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2117</v>
      </c>
      <c r="B65" s="151" t="s">
        <v>2167</v>
      </c>
      <c r="C65" s="152" t="s">
        <v>2179</v>
      </c>
      <c r="D65" s="155" t="s">
        <v>2180</v>
      </c>
      <c r="E65" s="158" t="s">
        <v>2181</v>
      </c>
      <c r="F65" s="161" t="s">
        <v>2009</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2117</v>
      </c>
      <c r="B66" s="150" t="s">
        <v>1775</v>
      </c>
      <c r="C66" s="148" t="s">
        <v>2182</v>
      </c>
      <c r="D66" s="154" t="s">
        <v>2183</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2117</v>
      </c>
      <c r="B67" s="151" t="s">
        <v>1775</v>
      </c>
      <c r="C67" s="152" t="s">
        <v>2184</v>
      </c>
      <c r="D67" s="155" t="s">
        <v>2185</v>
      </c>
      <c r="E67" s="158" t="s">
        <v>2186</v>
      </c>
      <c r="F67" s="161" t="s">
        <v>2009</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2117</v>
      </c>
      <c r="B68" s="151" t="s">
        <v>1775</v>
      </c>
      <c r="C68" s="152" t="s">
        <v>2187</v>
      </c>
      <c r="D68" s="155" t="s">
        <v>2188</v>
      </c>
      <c r="E68" s="158" t="s">
        <v>2189</v>
      </c>
      <c r="F68" s="161" t="s">
        <v>2009</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2117</v>
      </c>
      <c r="B69" s="151" t="s">
        <v>1775</v>
      </c>
      <c r="C69" s="152" t="s">
        <v>2190</v>
      </c>
      <c r="D69" s="155" t="s">
        <v>2191</v>
      </c>
      <c r="E69" s="158" t="s">
        <v>2192</v>
      </c>
      <c r="F69" s="161" t="s">
        <v>2013</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2117</v>
      </c>
      <c r="B70" s="151" t="s">
        <v>1775</v>
      </c>
      <c r="C70" s="152" t="s">
        <v>2193</v>
      </c>
      <c r="D70" s="155" t="s">
        <v>2194</v>
      </c>
      <c r="E70" s="158" t="s">
        <v>2195</v>
      </c>
      <c r="F70" s="161" t="s">
        <v>2009</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2117</v>
      </c>
      <c r="B71" s="151" t="s">
        <v>1775</v>
      </c>
      <c r="C71" s="152" t="s">
        <v>2196</v>
      </c>
      <c r="D71" s="155" t="s">
        <v>2197</v>
      </c>
      <c r="E71" s="158" t="s">
        <v>2198</v>
      </c>
      <c r="F71" s="161" t="s">
        <v>2009</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2117</v>
      </c>
      <c r="B72" s="151" t="s">
        <v>1775</v>
      </c>
      <c r="C72" s="152" t="s">
        <v>2199</v>
      </c>
      <c r="D72" s="155" t="s">
        <v>2200</v>
      </c>
      <c r="E72" s="158" t="s">
        <v>2201</v>
      </c>
      <c r="F72" s="161" t="s">
        <v>2009</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2117</v>
      </c>
      <c r="B73" s="151" t="s">
        <v>1775</v>
      </c>
      <c r="C73" s="152" t="s">
        <v>2202</v>
      </c>
      <c r="D73" s="155" t="s">
        <v>2203</v>
      </c>
      <c r="E73" s="158" t="s">
        <v>2204</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2117</v>
      </c>
      <c r="B74" s="151" t="s">
        <v>1775</v>
      </c>
      <c r="C74" s="152" t="s">
        <v>2205</v>
      </c>
      <c r="D74" s="155" t="s">
        <v>2206</v>
      </c>
      <c r="E74" s="158" t="s">
        <v>2207</v>
      </c>
      <c r="F74" s="161" t="s">
        <v>2013</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2117</v>
      </c>
      <c r="B75" s="151" t="s">
        <v>1775</v>
      </c>
      <c r="C75" s="152" t="s">
        <v>2208</v>
      </c>
      <c r="D75" s="155" t="s">
        <v>2209</v>
      </c>
      <c r="E75" s="158" t="s">
        <v>2210</v>
      </c>
      <c r="F75" s="161" t="s">
        <v>2023</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2117</v>
      </c>
      <c r="B76" s="151" t="s">
        <v>1775</v>
      </c>
      <c r="C76" s="152" t="s">
        <v>2211</v>
      </c>
      <c r="D76" s="155" t="s">
        <v>2212</v>
      </c>
      <c r="E76" s="158" t="s">
        <v>2213</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2117</v>
      </c>
      <c r="B77" s="150" t="s">
        <v>2045</v>
      </c>
      <c r="C77" s="148" t="s">
        <v>2214</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2117</v>
      </c>
      <c r="B78" s="151" t="s">
        <v>2045</v>
      </c>
      <c r="C78" s="152" t="s">
        <v>2215</v>
      </c>
      <c r="D78" s="155" t="s">
        <v>2216</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2117</v>
      </c>
      <c r="B79" s="151" t="s">
        <v>2045</v>
      </c>
      <c r="C79" s="152" t="s">
        <v>2217</v>
      </c>
      <c r="D79" s="155" t="s">
        <v>2218</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2117</v>
      </c>
      <c r="B80" s="151" t="s">
        <v>2045</v>
      </c>
      <c r="C80" s="152" t="s">
        <v>2219</v>
      </c>
      <c r="D80" s="155" t="s">
        <v>2220</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2117</v>
      </c>
      <c r="B81" s="150" t="s">
        <v>1973</v>
      </c>
      <c r="C81" s="148" t="s">
        <v>2221</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2117</v>
      </c>
      <c r="B82" s="151" t="s">
        <v>1973</v>
      </c>
      <c r="C82" s="152" t="s">
        <v>2222</v>
      </c>
      <c r="D82" s="155" t="s">
        <v>2223</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2117</v>
      </c>
      <c r="B83" s="151" t="s">
        <v>1973</v>
      </c>
      <c r="C83" s="152" t="s">
        <v>2224</v>
      </c>
      <c r="D83" s="155" t="s">
        <v>2225</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2117</v>
      </c>
      <c r="B84" s="151" t="s">
        <v>1973</v>
      </c>
      <c r="C84" s="152" t="s">
        <v>2226</v>
      </c>
      <c r="D84" s="155" t="s">
        <v>2227</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2117</v>
      </c>
      <c r="B85" s="151" t="s">
        <v>1973</v>
      </c>
      <c r="C85" s="152" t="s">
        <v>2228</v>
      </c>
      <c r="D85" s="155" t="s">
        <v>2229</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2117</v>
      </c>
      <c r="B86" s="151" t="s">
        <v>1973</v>
      </c>
      <c r="C86" s="152" t="s">
        <v>2230</v>
      </c>
      <c r="D86" s="155" t="s">
        <v>2231</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2232</v>
      </c>
      <c r="B87" s="149" t="s">
        <v>19</v>
      </c>
      <c r="C87" s="147" t="s">
        <v>2233</v>
      </c>
      <c r="D87" s="153" t="s">
        <v>2234</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2232</v>
      </c>
      <c r="B88" s="150" t="s">
        <v>2235</v>
      </c>
      <c r="C88" s="148" t="s">
        <v>2236</v>
      </c>
      <c r="D88" s="154" t="s">
        <v>2237</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2232</v>
      </c>
      <c r="B89" s="151" t="s">
        <v>2235</v>
      </c>
      <c r="C89" s="152" t="s">
        <v>2238</v>
      </c>
      <c r="D89" s="155" t="s">
        <v>2239</v>
      </c>
      <c r="E89" s="158" t="s">
        <v>2240</v>
      </c>
      <c r="F89" s="161" t="s">
        <v>2009</v>
      </c>
      <c r="G89" s="164">
        <f>IF(COUNTIF(H89:AU89,"&lt;&gt;")=0,"",SUMPRODUCT(((Recommendations[ImplStatus]="Implemented")+(Recommendations[ImplStatus]="Compensated"))*ISNUMBER(MATCH(Recommendations[Id],H89:AU89,0)))/COUNTIF(H89:AU89,"&lt;&gt;"))</f>
        <v>0</v>
      </c>
      <c r="H89" s="167" t="s">
        <v>48</v>
      </c>
      <c r="I89" s="167" t="s">
        <v>78</v>
      </c>
      <c r="J89" s="167" t="s">
        <v>88</v>
      </c>
      <c r="K89" s="167" t="s">
        <v>93</v>
      </c>
      <c r="L89" s="167" t="s">
        <v>98</v>
      </c>
      <c r="M89" s="167" t="s">
        <v>103</v>
      </c>
      <c r="N89" s="167" t="s">
        <v>108</v>
      </c>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2232</v>
      </c>
      <c r="B90" s="151" t="s">
        <v>2235</v>
      </c>
      <c r="C90" s="152" t="s">
        <v>2241</v>
      </c>
      <c r="D90" s="155" t="s">
        <v>2242</v>
      </c>
      <c r="E90" s="158" t="s">
        <v>2243</v>
      </c>
      <c r="F90" s="161" t="s">
        <v>2013</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2232</v>
      </c>
      <c r="B91" s="151" t="s">
        <v>2235</v>
      </c>
      <c r="C91" s="152" t="s">
        <v>2244</v>
      </c>
      <c r="D91" s="155" t="s">
        <v>2245</v>
      </c>
      <c r="E91" s="158" t="s">
        <v>2246</v>
      </c>
      <c r="F91" s="161" t="s">
        <v>2009</v>
      </c>
      <c r="G91" s="164">
        <f>IF(COUNTIF(H91:AU91,"&lt;&gt;")=0,"",SUMPRODUCT(((Recommendations[ImplStatus]="Implemented")+(Recommendations[ImplStatus]="Compensated"))*ISNUMBER(MATCH(Recommendations[Id],H91:AU91,0)))/COUNTIF(H91:AU91,"&lt;&gt;"))</f>
        <v>0</v>
      </c>
      <c r="H91" s="167" t="s">
        <v>48</v>
      </c>
      <c r="I91" s="167" t="s">
        <v>53</v>
      </c>
      <c r="J91" s="167" t="s">
        <v>113</v>
      </c>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2232</v>
      </c>
      <c r="B92" s="151" t="s">
        <v>2235</v>
      </c>
      <c r="C92" s="152" t="s">
        <v>2247</v>
      </c>
      <c r="D92" s="155" t="s">
        <v>2248</v>
      </c>
      <c r="E92" s="158" t="s">
        <v>2249</v>
      </c>
      <c r="F92" s="161" t="s">
        <v>2009</v>
      </c>
      <c r="G92" s="164">
        <f>IF(COUNTIF(H92:AU92,"&lt;&gt;")=0,"",SUMPRODUCT(((Recommendations[ImplStatus]="Implemented")+(Recommendations[ImplStatus]="Compensated"))*ISNUMBER(MATCH(Recommendations[Id],H92:AU92,0)))/COUNTIF(H92:AU92,"&lt;&gt;"))</f>
        <v>0</v>
      </c>
      <c r="H92" s="167" t="s">
        <v>23</v>
      </c>
      <c r="I92" s="167" t="s">
        <v>53</v>
      </c>
      <c r="J92" s="167" t="s">
        <v>113</v>
      </c>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2232</v>
      </c>
      <c r="B93" s="151" t="s">
        <v>2235</v>
      </c>
      <c r="C93" s="152" t="s">
        <v>2250</v>
      </c>
      <c r="D93" s="155" t="s">
        <v>2251</v>
      </c>
      <c r="E93" s="158" t="s">
        <v>2252</v>
      </c>
      <c r="F93" s="161" t="s">
        <v>2009</v>
      </c>
      <c r="G93" s="164">
        <f>IF(COUNTIF(H93:AU93,"&lt;&gt;")=0,"",SUMPRODUCT(((Recommendations[ImplStatus]="Implemented")+(Recommendations[ImplStatus]="Compensated"))*ISNUMBER(MATCH(Recommendations[Id],H93:AU93,0)))/COUNTIF(H93:AU93,"&lt;&gt;"))</f>
        <v>0</v>
      </c>
      <c r="H93" s="167" t="s">
        <v>13</v>
      </c>
      <c r="I93" s="167" t="s">
        <v>43</v>
      </c>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2232</v>
      </c>
      <c r="B94" s="151" t="s">
        <v>2235</v>
      </c>
      <c r="C94" s="152" t="s">
        <v>2253</v>
      </c>
      <c r="D94" s="155" t="s">
        <v>2254</v>
      </c>
      <c r="E94" s="158" t="s">
        <v>2255</v>
      </c>
      <c r="F94" s="161" t="s">
        <v>2013</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2232</v>
      </c>
      <c r="B95" s="150" t="s">
        <v>2256</v>
      </c>
      <c r="C95" s="148" t="s">
        <v>2257</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2232</v>
      </c>
      <c r="B96" s="151" t="s">
        <v>2256</v>
      </c>
      <c r="C96" s="152" t="s">
        <v>2258</v>
      </c>
      <c r="D96" s="155" t="s">
        <v>2259</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2232</v>
      </c>
      <c r="B97" s="151" t="s">
        <v>2256</v>
      </c>
      <c r="C97" s="152" t="s">
        <v>2260</v>
      </c>
      <c r="D97" s="155" t="s">
        <v>2261</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2232</v>
      </c>
      <c r="B98" s="151" t="s">
        <v>2256</v>
      </c>
      <c r="C98" s="152" t="s">
        <v>2262</v>
      </c>
      <c r="D98" s="155" t="s">
        <v>2263</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2232</v>
      </c>
      <c r="B99" s="151" t="s">
        <v>2256</v>
      </c>
      <c r="C99" s="152" t="s">
        <v>2264</v>
      </c>
      <c r="D99" s="155" t="s">
        <v>2265</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2232</v>
      </c>
      <c r="B100" s="151" t="s">
        <v>2256</v>
      </c>
      <c r="C100" s="152" t="s">
        <v>2266</v>
      </c>
      <c r="D100" s="155" t="s">
        <v>2267</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2232</v>
      </c>
      <c r="B101" s="151" t="s">
        <v>2256</v>
      </c>
      <c r="C101" s="152" t="s">
        <v>2268</v>
      </c>
      <c r="D101" s="155" t="s">
        <v>2269</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2232</v>
      </c>
      <c r="B102" s="151" t="s">
        <v>2256</v>
      </c>
      <c r="C102" s="152" t="s">
        <v>2270</v>
      </c>
      <c r="D102" s="155" t="s">
        <v>2271</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2232</v>
      </c>
      <c r="B103" s="150" t="s">
        <v>1416</v>
      </c>
      <c r="C103" s="148" t="s">
        <v>2272</v>
      </c>
      <c r="D103" s="154" t="s">
        <v>2273</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2232</v>
      </c>
      <c r="B104" s="151" t="s">
        <v>1416</v>
      </c>
      <c r="C104" s="152" t="s">
        <v>2274</v>
      </c>
      <c r="D104" s="155" t="s">
        <v>2275</v>
      </c>
      <c r="E104" s="158" t="s">
        <v>2276</v>
      </c>
      <c r="F104" s="161" t="s">
        <v>2009</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2232</v>
      </c>
      <c r="B105" s="151" t="s">
        <v>1416</v>
      </c>
      <c r="C105" s="152" t="s">
        <v>2277</v>
      </c>
      <c r="D105" s="155" t="s">
        <v>2278</v>
      </c>
      <c r="E105" s="158" t="s">
        <v>2279</v>
      </c>
      <c r="F105" s="161" t="s">
        <v>2013</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2232</v>
      </c>
      <c r="B106" s="151" t="s">
        <v>1416</v>
      </c>
      <c r="C106" s="152" t="s">
        <v>2280</v>
      </c>
      <c r="D106" s="155" t="s">
        <v>2281</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2232</v>
      </c>
      <c r="B107" s="151" t="s">
        <v>1416</v>
      </c>
      <c r="C107" s="152" t="s">
        <v>2282</v>
      </c>
      <c r="D107" s="155" t="s">
        <v>2283</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2232</v>
      </c>
      <c r="B108" s="151" t="s">
        <v>1416</v>
      </c>
      <c r="C108" s="152" t="s">
        <v>2284</v>
      </c>
      <c r="D108" s="155" t="s">
        <v>2285</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2232</v>
      </c>
      <c r="B109" s="150" t="s">
        <v>2286</v>
      </c>
      <c r="C109" s="148" t="s">
        <v>2287</v>
      </c>
      <c r="D109" s="154" t="s">
        <v>2288</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2232</v>
      </c>
      <c r="B110" s="151" t="s">
        <v>2286</v>
      </c>
      <c r="C110" s="152" t="s">
        <v>2289</v>
      </c>
      <c r="D110" s="155" t="s">
        <v>2290</v>
      </c>
      <c r="E110" s="158" t="s">
        <v>2291</v>
      </c>
      <c r="F110" s="161" t="s">
        <v>2009</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2232</v>
      </c>
      <c r="B111" s="151" t="s">
        <v>2286</v>
      </c>
      <c r="C111" s="152" t="s">
        <v>2292</v>
      </c>
      <c r="D111" s="155" t="s">
        <v>2293</v>
      </c>
      <c r="E111" s="158" t="s">
        <v>2294</v>
      </c>
      <c r="F111" s="161" t="s">
        <v>2009</v>
      </c>
      <c r="G111" s="164" t="str">
        <f>IF(COUNTIF(H111:AU111,"&lt;&gt;")=0,"",SUMPRODUCT(((Recommendations[ImplStatus]="Implemented")+(Recommendations[ImplStatus]="Compensated"))*ISNUMBER(MATCH(Recommendations[Id],H111:AU111,0)))/COUNTIF(H111:AU111,"&lt;&gt;"))</f>
        <v/>
      </c>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2232</v>
      </c>
      <c r="B112" s="151" t="s">
        <v>2286</v>
      </c>
      <c r="C112" s="152" t="s">
        <v>2295</v>
      </c>
      <c r="D112" s="155" t="s">
        <v>2296</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2232</v>
      </c>
      <c r="B113" s="151" t="s">
        <v>2286</v>
      </c>
      <c r="C113" s="152" t="s">
        <v>2297</v>
      </c>
      <c r="D113" s="155" t="s">
        <v>2298</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2232</v>
      </c>
      <c r="B114" s="151" t="s">
        <v>2286</v>
      </c>
      <c r="C114" s="152" t="s">
        <v>2299</v>
      </c>
      <c r="D114" s="155" t="s">
        <v>2300</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2232</v>
      </c>
      <c r="B115" s="151" t="s">
        <v>2286</v>
      </c>
      <c r="C115" s="152" t="s">
        <v>2301</v>
      </c>
      <c r="D115" s="155" t="s">
        <v>2302</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2232</v>
      </c>
      <c r="B116" s="151" t="s">
        <v>2286</v>
      </c>
      <c r="C116" s="152" t="s">
        <v>2303</v>
      </c>
      <c r="D116" s="155" t="s">
        <v>2304</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2232</v>
      </c>
      <c r="B117" s="151" t="s">
        <v>2286</v>
      </c>
      <c r="C117" s="152" t="s">
        <v>2305</v>
      </c>
      <c r="D117" s="155" t="s">
        <v>2306</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2232</v>
      </c>
      <c r="B118" s="151" t="s">
        <v>2286</v>
      </c>
      <c r="C118" s="152" t="s">
        <v>2307</v>
      </c>
      <c r="D118" s="155" t="s">
        <v>2308</v>
      </c>
      <c r="E118" s="158" t="s">
        <v>2309</v>
      </c>
      <c r="F118" s="161" t="s">
        <v>2009</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2232</v>
      </c>
      <c r="B119" s="151" t="s">
        <v>2286</v>
      </c>
      <c r="C119" s="152" t="s">
        <v>2310</v>
      </c>
      <c r="D119" s="155" t="s">
        <v>2311</v>
      </c>
      <c r="E119" s="158" t="s">
        <v>2312</v>
      </c>
      <c r="F119" s="161" t="s">
        <v>2009</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2232</v>
      </c>
      <c r="B120" s="150" t="s">
        <v>2313</v>
      </c>
      <c r="C120" s="148" t="s">
        <v>2314</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2232</v>
      </c>
      <c r="B121" s="151" t="s">
        <v>2313</v>
      </c>
      <c r="C121" s="152" t="s">
        <v>2315</v>
      </c>
      <c r="D121" s="155" t="s">
        <v>2316</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2232</v>
      </c>
      <c r="B122" s="151" t="s">
        <v>2313</v>
      </c>
      <c r="C122" s="152" t="s">
        <v>2317</v>
      </c>
      <c r="D122" s="155" t="s">
        <v>2318</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2232</v>
      </c>
      <c r="B123" s="151" t="s">
        <v>2313</v>
      </c>
      <c r="C123" s="152" t="s">
        <v>2319</v>
      </c>
      <c r="D123" s="155" t="s">
        <v>2320</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2232</v>
      </c>
      <c r="B124" s="151" t="s">
        <v>2313</v>
      </c>
      <c r="C124" s="152" t="s">
        <v>2321</v>
      </c>
      <c r="D124" s="155" t="s">
        <v>2322</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2232</v>
      </c>
      <c r="B125" s="151" t="s">
        <v>2313</v>
      </c>
      <c r="C125" s="152" t="s">
        <v>2323</v>
      </c>
      <c r="D125" s="155" t="s">
        <v>2324</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2232</v>
      </c>
      <c r="B126" s="151" t="s">
        <v>2313</v>
      </c>
      <c r="C126" s="152" t="s">
        <v>2325</v>
      </c>
      <c r="D126" s="155" t="s">
        <v>2326</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2232</v>
      </c>
      <c r="B127" s="151" t="s">
        <v>2313</v>
      </c>
      <c r="C127" s="152" t="s">
        <v>2327</v>
      </c>
      <c r="D127" s="155" t="s">
        <v>2328</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2232</v>
      </c>
      <c r="B128" s="151" t="s">
        <v>2313</v>
      </c>
      <c r="C128" s="152" t="s">
        <v>2329</v>
      </c>
      <c r="D128" s="155" t="s">
        <v>2330</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2232</v>
      </c>
      <c r="B129" s="151" t="s">
        <v>2313</v>
      </c>
      <c r="C129" s="152" t="s">
        <v>2331</v>
      </c>
      <c r="D129" s="155" t="s">
        <v>2332</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2232</v>
      </c>
      <c r="B130" s="151" t="s">
        <v>2313</v>
      </c>
      <c r="C130" s="152" t="s">
        <v>2333</v>
      </c>
      <c r="D130" s="155" t="s">
        <v>2334</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2232</v>
      </c>
      <c r="B131" s="151" t="s">
        <v>2313</v>
      </c>
      <c r="C131" s="152" t="s">
        <v>2335</v>
      </c>
      <c r="D131" s="155" t="s">
        <v>2336</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2232</v>
      </c>
      <c r="B132" s="151" t="s">
        <v>2313</v>
      </c>
      <c r="C132" s="152" t="s">
        <v>2337</v>
      </c>
      <c r="D132" s="155" t="s">
        <v>2338</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2232</v>
      </c>
      <c r="B133" s="150" t="s">
        <v>2339</v>
      </c>
      <c r="C133" s="148" t="s">
        <v>2340</v>
      </c>
      <c r="D133" s="154" t="s">
        <v>2341</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2232</v>
      </c>
      <c r="B134" s="151" t="s">
        <v>2339</v>
      </c>
      <c r="C134" s="152" t="s">
        <v>2342</v>
      </c>
      <c r="D134" s="155" t="s">
        <v>2343</v>
      </c>
      <c r="E134" s="158" t="s">
        <v>2344</v>
      </c>
      <c r="F134" s="161" t="s">
        <v>2013</v>
      </c>
      <c r="G134" s="164">
        <f>IF(COUNTIF(H134:AU134,"&lt;&gt;")=0,"",SUMPRODUCT(((Recommendations[ImplStatus]="Implemented")+(Recommendations[ImplStatus]="Compensated"))*ISNUMBER(MATCH(Recommendations[Id],H134:AU134,0)))/COUNTIF(H134:AU134,"&lt;&gt;"))</f>
        <v>0</v>
      </c>
      <c r="H134" s="167" t="s">
        <v>63</v>
      </c>
      <c r="I134" s="167" t="s">
        <v>68</v>
      </c>
      <c r="J134" s="167" t="s">
        <v>73</v>
      </c>
      <c r="K134" s="167"/>
      <c r="L134" s="167"/>
      <c r="M134" s="167"/>
      <c r="N134" s="167"/>
      <c r="O134" s="167"/>
      <c r="P134" s="167"/>
      <c r="Q134" s="167"/>
      <c r="R134" s="167"/>
      <c r="S134" s="167"/>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2232</v>
      </c>
      <c r="B135" s="151" t="s">
        <v>2339</v>
      </c>
      <c r="C135" s="152" t="s">
        <v>2345</v>
      </c>
      <c r="D135" s="155" t="s">
        <v>2346</v>
      </c>
      <c r="E135" s="158" t="s">
        <v>2347</v>
      </c>
      <c r="F135" s="161" t="s">
        <v>2013</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2232</v>
      </c>
      <c r="B136" s="151" t="s">
        <v>2339</v>
      </c>
      <c r="C136" s="152" t="s">
        <v>2348</v>
      </c>
      <c r="D136" s="155" t="s">
        <v>2349</v>
      </c>
      <c r="E136" s="158" t="s">
        <v>2350</v>
      </c>
      <c r="F136" s="161" t="s">
        <v>2009</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2232</v>
      </c>
      <c r="B137" s="151" t="s">
        <v>2339</v>
      </c>
      <c r="C137" s="152" t="s">
        <v>2351</v>
      </c>
      <c r="D137" s="155" t="s">
        <v>2352</v>
      </c>
      <c r="E137" s="158" t="s">
        <v>2353</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2232</v>
      </c>
      <c r="B138" s="150" t="s">
        <v>1649</v>
      </c>
      <c r="C138" s="148" t="s">
        <v>2354</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2232</v>
      </c>
      <c r="B139" s="151" t="s">
        <v>1649</v>
      </c>
      <c r="C139" s="152" t="s">
        <v>2355</v>
      </c>
      <c r="D139" s="155" t="s">
        <v>2356</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2232</v>
      </c>
      <c r="B140" s="151" t="s">
        <v>1649</v>
      </c>
      <c r="C140" s="152" t="s">
        <v>2357</v>
      </c>
      <c r="D140" s="155" t="s">
        <v>2358</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2232</v>
      </c>
      <c r="B141" s="150" t="s">
        <v>2359</v>
      </c>
      <c r="C141" s="148" t="s">
        <v>2360</v>
      </c>
      <c r="D141" s="154" t="s">
        <v>2361</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2232</v>
      </c>
      <c r="B142" s="151" t="s">
        <v>2359</v>
      </c>
      <c r="C142" s="152" t="s">
        <v>2362</v>
      </c>
      <c r="D142" s="155" t="s">
        <v>2363</v>
      </c>
      <c r="E142" s="158" t="s">
        <v>2364</v>
      </c>
      <c r="F142" s="161" t="s">
        <v>2009</v>
      </c>
      <c r="G142" s="164" t="str">
        <f>IF(COUNTIF(H142:AU142,"&lt;&gt;")=0,"",SUMPRODUCT(((Recommendations[ImplStatus]="Implemented")+(Recommendations[ImplStatus]="Compensated"))*ISNUMBER(MATCH(Recommendations[Id],H142:AU142,0)))/COUNTIF(H142:AU142,"&lt;&gt;"))</f>
        <v/>
      </c>
      <c r="H142" s="167"/>
      <c r="I142" s="167"/>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2232</v>
      </c>
      <c r="B143" s="151" t="s">
        <v>2359</v>
      </c>
      <c r="C143" s="152" t="s">
        <v>2365</v>
      </c>
      <c r="D143" s="155" t="s">
        <v>2366</v>
      </c>
      <c r="E143" s="158" t="s">
        <v>2367</v>
      </c>
      <c r="F143" s="161" t="s">
        <v>2009</v>
      </c>
      <c r="G143" s="164">
        <f>IF(COUNTIF(H143:AU143,"&lt;&gt;")=0,"",SUMPRODUCT(((Recommendations[ImplStatus]="Implemented")+(Recommendations[ImplStatus]="Compensated"))*ISNUMBER(MATCH(Recommendations[Id],H143:AU143,0)))/COUNTIF(H143:AU143,"&lt;&gt;"))</f>
        <v>0</v>
      </c>
      <c r="H143" s="167" t="s">
        <v>38</v>
      </c>
      <c r="I143" s="167" t="s">
        <v>57</v>
      </c>
      <c r="J143" s="167" t="s">
        <v>83</v>
      </c>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2232</v>
      </c>
      <c r="B144" s="151" t="s">
        <v>2359</v>
      </c>
      <c r="C144" s="152" t="s">
        <v>2368</v>
      </c>
      <c r="D144" s="155" t="s">
        <v>2369</v>
      </c>
      <c r="E144" s="158" t="s">
        <v>2370</v>
      </c>
      <c r="F144" s="161" t="s">
        <v>2013</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2232</v>
      </c>
      <c r="B145" s="151" t="s">
        <v>2359</v>
      </c>
      <c r="C145" s="152" t="s">
        <v>2371</v>
      </c>
      <c r="D145" s="155" t="s">
        <v>2372</v>
      </c>
      <c r="E145" s="158" t="s">
        <v>2373</v>
      </c>
      <c r="F145" s="161" t="s">
        <v>2009</v>
      </c>
      <c r="G145" s="164">
        <f>IF(COUNTIF(H145:AU145,"&lt;&gt;")=0,"",SUMPRODUCT(((Recommendations[ImplStatus]="Implemented")+(Recommendations[ImplStatus]="Compensated"))*ISNUMBER(MATCH(Recommendations[Id],H145:AU145,0)))/COUNTIF(H145:AU145,"&lt;&gt;"))</f>
        <v>0</v>
      </c>
      <c r="H145" s="167" t="s">
        <v>28</v>
      </c>
      <c r="I145" s="167"/>
      <c r="J145" s="167"/>
      <c r="K145" s="167"/>
      <c r="L145" s="167"/>
      <c r="M145" s="167"/>
      <c r="N145" s="167"/>
      <c r="O145" s="167"/>
      <c r="P145" s="167"/>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2232</v>
      </c>
      <c r="B146" s="151" t="s">
        <v>2359</v>
      </c>
      <c r="C146" s="152" t="s">
        <v>2374</v>
      </c>
      <c r="D146" s="155" t="s">
        <v>2375</v>
      </c>
      <c r="E146" s="158" t="s">
        <v>2376</v>
      </c>
      <c r="F146" s="161" t="s">
        <v>2009</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2232</v>
      </c>
      <c r="B147" s="151" t="s">
        <v>2359</v>
      </c>
      <c r="C147" s="152" t="s">
        <v>2377</v>
      </c>
      <c r="D147" s="155" t="s">
        <v>2378</v>
      </c>
      <c r="E147" s="158" t="s">
        <v>2379</v>
      </c>
      <c r="F147" s="161" t="s">
        <v>2009</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2232</v>
      </c>
      <c r="B148" s="150" t="s">
        <v>2380</v>
      </c>
      <c r="C148" s="148" t="s">
        <v>2381</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2232</v>
      </c>
      <c r="B149" s="151" t="s">
        <v>2380</v>
      </c>
      <c r="C149" s="152" t="s">
        <v>2382</v>
      </c>
      <c r="D149" s="155" t="s">
        <v>2383</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2232</v>
      </c>
      <c r="B150" s="151" t="s">
        <v>2380</v>
      </c>
      <c r="C150" s="152" t="s">
        <v>2384</v>
      </c>
      <c r="D150" s="155" t="s">
        <v>2385</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2232</v>
      </c>
      <c r="B151" s="151" t="s">
        <v>2380</v>
      </c>
      <c r="C151" s="152" t="s">
        <v>2386</v>
      </c>
      <c r="D151" s="155" t="s">
        <v>2387</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2232</v>
      </c>
      <c r="B152" s="151" t="s">
        <v>2380</v>
      </c>
      <c r="C152" s="152" t="s">
        <v>2388</v>
      </c>
      <c r="D152" s="155" t="s">
        <v>2389</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2232</v>
      </c>
      <c r="B153" s="151" t="s">
        <v>2380</v>
      </c>
      <c r="C153" s="152" t="s">
        <v>2390</v>
      </c>
      <c r="D153" s="155" t="s">
        <v>2391</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2392</v>
      </c>
      <c r="B154" s="149" t="s">
        <v>19</v>
      </c>
      <c r="C154" s="147" t="s">
        <v>2393</v>
      </c>
      <c r="D154" s="153" t="s">
        <v>2394</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2392</v>
      </c>
      <c r="B155" s="150" t="s">
        <v>2395</v>
      </c>
      <c r="C155" s="148" t="s">
        <v>2396</v>
      </c>
      <c r="D155" s="154" t="s">
        <v>2397</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2392</v>
      </c>
      <c r="B156" s="151" t="s">
        <v>2395</v>
      </c>
      <c r="C156" s="152" t="s">
        <v>2398</v>
      </c>
      <c r="D156" s="155" t="s">
        <v>2399</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2392</v>
      </c>
      <c r="B157" s="151" t="s">
        <v>2395</v>
      </c>
      <c r="C157" s="152" t="s">
        <v>2400</v>
      </c>
      <c r="D157" s="155" t="s">
        <v>2401</v>
      </c>
      <c r="E157" s="158" t="s">
        <v>2402</v>
      </c>
      <c r="F157" s="161" t="s">
        <v>2009</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2392</v>
      </c>
      <c r="B158" s="151" t="s">
        <v>2395</v>
      </c>
      <c r="C158" s="152" t="s">
        <v>2403</v>
      </c>
      <c r="D158" s="155" t="s">
        <v>2404</v>
      </c>
      <c r="E158" s="158" t="s">
        <v>2405</v>
      </c>
      <c r="F158" s="161" t="s">
        <v>2009</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2392</v>
      </c>
      <c r="B159" s="151" t="s">
        <v>2395</v>
      </c>
      <c r="C159" s="152" t="s">
        <v>2406</v>
      </c>
      <c r="D159" s="155" t="s">
        <v>2407</v>
      </c>
      <c r="E159" s="158" t="s">
        <v>2408</v>
      </c>
      <c r="F159" s="161" t="s">
        <v>2009</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2392</v>
      </c>
      <c r="B160" s="151" t="s">
        <v>2395</v>
      </c>
      <c r="C160" s="152" t="s">
        <v>2409</v>
      </c>
      <c r="D160" s="155" t="s">
        <v>2410</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2392</v>
      </c>
      <c r="B161" s="151" t="s">
        <v>2395</v>
      </c>
      <c r="C161" s="152" t="s">
        <v>2411</v>
      </c>
      <c r="D161" s="155" t="s">
        <v>2412</v>
      </c>
      <c r="E161" s="158" t="s">
        <v>2413</v>
      </c>
      <c r="F161" s="161" t="s">
        <v>2009</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2392</v>
      </c>
      <c r="B162" s="151" t="s">
        <v>2395</v>
      </c>
      <c r="C162" s="152" t="s">
        <v>2414</v>
      </c>
      <c r="D162" s="155" t="s">
        <v>2415</v>
      </c>
      <c r="E162" s="158" t="s">
        <v>2416</v>
      </c>
      <c r="F162" s="161" t="s">
        <v>2009</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2392</v>
      </c>
      <c r="B163" s="151" t="s">
        <v>2395</v>
      </c>
      <c r="C163" s="152" t="s">
        <v>2417</v>
      </c>
      <c r="D163" s="155" t="s">
        <v>2418</v>
      </c>
      <c r="E163" s="158" t="s">
        <v>2419</v>
      </c>
      <c r="F163" s="161" t="s">
        <v>2009</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2392</v>
      </c>
      <c r="B164" s="150" t="s">
        <v>1813</v>
      </c>
      <c r="C164" s="148" t="s">
        <v>2420</v>
      </c>
      <c r="D164" s="154" t="s">
        <v>2421</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2392</v>
      </c>
      <c r="B165" s="151" t="s">
        <v>1813</v>
      </c>
      <c r="C165" s="152" t="s">
        <v>2422</v>
      </c>
      <c r="D165" s="155" t="s">
        <v>2423</v>
      </c>
      <c r="E165" s="158" t="s">
        <v>2424</v>
      </c>
      <c r="F165" s="161" t="s">
        <v>2009</v>
      </c>
      <c r="G165" s="164" t="str">
        <f>IF(COUNTIF(H165:AU165,"&lt;&gt;")=0,"",SUMPRODUCT(((Recommendations[ImplStatus]="Implemented")+(Recommendations[ImplStatus]="Compensated"))*ISNUMBER(MATCH(Recommendations[Id],H165:AU165,0)))/COUNTIF(H165:AU165,"&lt;&gt;"))</f>
        <v/>
      </c>
      <c r="H165" s="167"/>
      <c r="I165" s="167"/>
      <c r="J165" s="167"/>
      <c r="K165" s="167"/>
      <c r="L165" s="167"/>
      <c r="M165" s="167"/>
      <c r="N165" s="167"/>
      <c r="O165" s="167"/>
      <c r="P165" s="167"/>
      <c r="Q165" s="167"/>
      <c r="R165" s="167"/>
      <c r="S165" s="167"/>
      <c r="T165" s="167"/>
      <c r="U165" s="167"/>
      <c r="V165" s="167"/>
      <c r="W165" s="167"/>
      <c r="X165" s="167"/>
      <c r="Y165" s="167"/>
      <c r="Z165" s="167"/>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2392</v>
      </c>
      <c r="B166" s="151" t="s">
        <v>1813</v>
      </c>
      <c r="C166" s="152" t="s">
        <v>2425</v>
      </c>
      <c r="D166" s="155" t="s">
        <v>2426</v>
      </c>
      <c r="E166" s="158" t="s">
        <v>2427</v>
      </c>
      <c r="F166" s="161" t="s">
        <v>2009</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2392</v>
      </c>
      <c r="B167" s="151" t="s">
        <v>1813</v>
      </c>
      <c r="C167" s="152" t="s">
        <v>2428</v>
      </c>
      <c r="D167" s="155" t="s">
        <v>2429</v>
      </c>
      <c r="E167" s="158" t="s">
        <v>2430</v>
      </c>
      <c r="F167" s="161" t="s">
        <v>2009</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2392</v>
      </c>
      <c r="B168" s="151" t="s">
        <v>1813</v>
      </c>
      <c r="C168" s="152" t="s">
        <v>2431</v>
      </c>
      <c r="D168" s="155" t="s">
        <v>2432</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2392</v>
      </c>
      <c r="B169" s="151" t="s">
        <v>1813</v>
      </c>
      <c r="C169" s="152" t="s">
        <v>2433</v>
      </c>
      <c r="D169" s="155" t="s">
        <v>2434</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2392</v>
      </c>
      <c r="B170" s="151" t="s">
        <v>1813</v>
      </c>
      <c r="C170" s="152" t="s">
        <v>2435</v>
      </c>
      <c r="D170" s="155" t="s">
        <v>2436</v>
      </c>
      <c r="E170" s="158" t="s">
        <v>2437</v>
      </c>
      <c r="F170" s="161" t="s">
        <v>2023</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2392</v>
      </c>
      <c r="B171" s="151" t="s">
        <v>1813</v>
      </c>
      <c r="C171" s="152" t="s">
        <v>2438</v>
      </c>
      <c r="D171" s="155" t="s">
        <v>2439</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2392</v>
      </c>
      <c r="B172" s="151" t="s">
        <v>1813</v>
      </c>
      <c r="C172" s="152" t="s">
        <v>2440</v>
      </c>
      <c r="D172" s="155" t="s">
        <v>2441</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2392</v>
      </c>
      <c r="B173" s="151" t="s">
        <v>1813</v>
      </c>
      <c r="C173" s="152" t="s">
        <v>2442</v>
      </c>
      <c r="D173" s="155" t="s">
        <v>2443</v>
      </c>
      <c r="E173" s="158" t="s">
        <v>2444</v>
      </c>
      <c r="F173" s="161" t="s">
        <v>2009</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2392</v>
      </c>
      <c r="B174" s="150" t="s">
        <v>2445</v>
      </c>
      <c r="C174" s="148" t="s">
        <v>2446</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2392</v>
      </c>
      <c r="B175" s="151" t="s">
        <v>2445</v>
      </c>
      <c r="C175" s="152" t="s">
        <v>2447</v>
      </c>
      <c r="D175" s="155" t="s">
        <v>2448</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2392</v>
      </c>
      <c r="B176" s="151" t="s">
        <v>2445</v>
      </c>
      <c r="C176" s="152" t="s">
        <v>2449</v>
      </c>
      <c r="D176" s="155" t="s">
        <v>2450</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2392</v>
      </c>
      <c r="B177" s="151" t="s">
        <v>2445</v>
      </c>
      <c r="C177" s="152" t="s">
        <v>2451</v>
      </c>
      <c r="D177" s="155" t="s">
        <v>2452</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2392</v>
      </c>
      <c r="B178" s="151" t="s">
        <v>2445</v>
      </c>
      <c r="C178" s="152" t="s">
        <v>2453</v>
      </c>
      <c r="D178" s="155" t="s">
        <v>2454</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2392</v>
      </c>
      <c r="B179" s="151" t="s">
        <v>2445</v>
      </c>
      <c r="C179" s="152" t="s">
        <v>2455</v>
      </c>
      <c r="D179" s="155" t="s">
        <v>2456</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2457</v>
      </c>
      <c r="B180" s="149" t="s">
        <v>19</v>
      </c>
      <c r="C180" s="147" t="s">
        <v>2458</v>
      </c>
      <c r="D180" s="153" t="s">
        <v>2459</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2457</v>
      </c>
      <c r="B181" s="150" t="s">
        <v>2460</v>
      </c>
      <c r="C181" s="148" t="s">
        <v>2461</v>
      </c>
      <c r="D181" s="154" t="s">
        <v>2462</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2457</v>
      </c>
      <c r="B182" s="151" t="s">
        <v>2460</v>
      </c>
      <c r="C182" s="152" t="s">
        <v>2463</v>
      </c>
      <c r="D182" s="155" t="s">
        <v>2464</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2457</v>
      </c>
      <c r="B183" s="151" t="s">
        <v>2460</v>
      </c>
      <c r="C183" s="152" t="s">
        <v>2465</v>
      </c>
      <c r="D183" s="155" t="s">
        <v>2466</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2457</v>
      </c>
      <c r="B184" s="151" t="s">
        <v>2460</v>
      </c>
      <c r="C184" s="152" t="s">
        <v>2467</v>
      </c>
      <c r="D184" s="155" t="s">
        <v>2468</v>
      </c>
      <c r="E184" s="158" t="s">
        <v>2469</v>
      </c>
      <c r="F184" s="161" t="s">
        <v>2009</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2457</v>
      </c>
      <c r="B185" s="151" t="s">
        <v>2460</v>
      </c>
      <c r="C185" s="152" t="s">
        <v>2470</v>
      </c>
      <c r="D185" s="155" t="s">
        <v>2471</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2457</v>
      </c>
      <c r="B186" s="151" t="s">
        <v>2460</v>
      </c>
      <c r="C186" s="152" t="s">
        <v>2472</v>
      </c>
      <c r="D186" s="155" t="s">
        <v>2473</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2457</v>
      </c>
      <c r="B187" s="151" t="s">
        <v>2460</v>
      </c>
      <c r="C187" s="152" t="s">
        <v>2474</v>
      </c>
      <c r="D187" s="155" t="s">
        <v>2475</v>
      </c>
      <c r="E187" s="158" t="s">
        <v>2476</v>
      </c>
      <c r="F187" s="161" t="s">
        <v>2009</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2457</v>
      </c>
      <c r="B188" s="151" t="s">
        <v>2460</v>
      </c>
      <c r="C188" s="152" t="s">
        <v>2477</v>
      </c>
      <c r="D188" s="155" t="s">
        <v>2478</v>
      </c>
      <c r="E188" s="158" t="s">
        <v>2479</v>
      </c>
      <c r="F188" s="161" t="s">
        <v>2009</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2457</v>
      </c>
      <c r="B189" s="151" t="s">
        <v>2460</v>
      </c>
      <c r="C189" s="152" t="s">
        <v>2480</v>
      </c>
      <c r="D189" s="155" t="s">
        <v>2481</v>
      </c>
      <c r="E189" s="158" t="s">
        <v>2482</v>
      </c>
      <c r="F189" s="161" t="s">
        <v>2009</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2457</v>
      </c>
      <c r="B190" s="150" t="s">
        <v>2483</v>
      </c>
      <c r="C190" s="148" t="s">
        <v>2484</v>
      </c>
      <c r="D190" s="154" t="s">
        <v>2485</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2457</v>
      </c>
      <c r="B191" s="151" t="s">
        <v>2483</v>
      </c>
      <c r="C191" s="152" t="s">
        <v>2486</v>
      </c>
      <c r="D191" s="155" t="s">
        <v>2487</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2457</v>
      </c>
      <c r="B192" s="151" t="s">
        <v>2483</v>
      </c>
      <c r="C192" s="152" t="s">
        <v>2488</v>
      </c>
      <c r="D192" s="155" t="s">
        <v>2489</v>
      </c>
      <c r="E192" s="158" t="s">
        <v>2490</v>
      </c>
      <c r="F192" s="161" t="s">
        <v>2013</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2457</v>
      </c>
      <c r="B193" s="151" t="s">
        <v>2483</v>
      </c>
      <c r="C193" s="152" t="s">
        <v>2491</v>
      </c>
      <c r="D193" s="155" t="s">
        <v>2492</v>
      </c>
      <c r="E193" s="158" t="s">
        <v>2493</v>
      </c>
      <c r="F193" s="161" t="s">
        <v>2013</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2457</v>
      </c>
      <c r="B194" s="151" t="s">
        <v>2483</v>
      </c>
      <c r="C194" s="152" t="s">
        <v>2494</v>
      </c>
      <c r="D194" s="155" t="s">
        <v>2495</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2457</v>
      </c>
      <c r="B195" s="151" t="s">
        <v>2483</v>
      </c>
      <c r="C195" s="152" t="s">
        <v>2496</v>
      </c>
      <c r="D195" s="155" t="s">
        <v>2497</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2457</v>
      </c>
      <c r="B196" s="150" t="s">
        <v>2498</v>
      </c>
      <c r="C196" s="148" t="s">
        <v>2499</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2457</v>
      </c>
      <c r="B197" s="151" t="s">
        <v>2498</v>
      </c>
      <c r="C197" s="152" t="s">
        <v>2500</v>
      </c>
      <c r="D197" s="155" t="s">
        <v>2501</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2457</v>
      </c>
      <c r="B198" s="151" t="s">
        <v>2498</v>
      </c>
      <c r="C198" s="152" t="s">
        <v>2502</v>
      </c>
      <c r="D198" s="155" t="s">
        <v>2503</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2457</v>
      </c>
      <c r="B199" s="150" t="s">
        <v>2504</v>
      </c>
      <c r="C199" s="148" t="s">
        <v>2505</v>
      </c>
      <c r="D199" s="154" t="s">
        <v>2506</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2457</v>
      </c>
      <c r="B200" s="151" t="s">
        <v>2504</v>
      </c>
      <c r="C200" s="152" t="s">
        <v>2507</v>
      </c>
      <c r="D200" s="155" t="s">
        <v>2508</v>
      </c>
      <c r="E200" s="158" t="s">
        <v>2509</v>
      </c>
      <c r="F200" s="161" t="s">
        <v>2023</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2457</v>
      </c>
      <c r="B201" s="151" t="s">
        <v>2504</v>
      </c>
      <c r="C201" s="152" t="s">
        <v>2510</v>
      </c>
      <c r="D201" s="155" t="s">
        <v>2511</v>
      </c>
      <c r="E201" s="158" t="s">
        <v>2512</v>
      </c>
      <c r="F201" s="161" t="s">
        <v>2009</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2457</v>
      </c>
      <c r="B202" s="151" t="s">
        <v>2504</v>
      </c>
      <c r="C202" s="152" t="s">
        <v>2513</v>
      </c>
      <c r="D202" s="155" t="s">
        <v>2514</v>
      </c>
      <c r="E202" s="158" t="s">
        <v>2515</v>
      </c>
      <c r="F202" s="161" t="s">
        <v>2009</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2457</v>
      </c>
      <c r="B203" s="151" t="s">
        <v>2504</v>
      </c>
      <c r="C203" s="152" t="s">
        <v>2516</v>
      </c>
      <c r="D203" s="155" t="s">
        <v>2517</v>
      </c>
      <c r="E203" s="158" t="s">
        <v>2518</v>
      </c>
      <c r="F203" s="161" t="s">
        <v>2009</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2457</v>
      </c>
      <c r="B204" s="151" t="s">
        <v>2504</v>
      </c>
      <c r="C204" s="152" t="s">
        <v>2519</v>
      </c>
      <c r="D204" s="155" t="s">
        <v>2520</v>
      </c>
      <c r="E204" s="158" t="s">
        <v>2521</v>
      </c>
      <c r="F204" s="161" t="s">
        <v>2009</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2457</v>
      </c>
      <c r="B205" s="150" t="s">
        <v>2522</v>
      </c>
      <c r="C205" s="148" t="s">
        <v>2523</v>
      </c>
      <c r="D205" s="154" t="s">
        <v>2524</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2457</v>
      </c>
      <c r="B206" s="151" t="s">
        <v>2522</v>
      </c>
      <c r="C206" s="152" t="s">
        <v>2525</v>
      </c>
      <c r="D206" s="155" t="s">
        <v>2526</v>
      </c>
      <c r="E206" s="158" t="s">
        <v>2527</v>
      </c>
      <c r="F206" s="161" t="s">
        <v>2013</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2457</v>
      </c>
      <c r="B207" s="151" t="s">
        <v>2522</v>
      </c>
      <c r="C207" s="152" t="s">
        <v>2528</v>
      </c>
      <c r="D207" s="155" t="s">
        <v>2529</v>
      </c>
      <c r="E207" s="158" t="s">
        <v>2530</v>
      </c>
      <c r="F207" s="161" t="s">
        <v>2013</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2457</v>
      </c>
      <c r="B208" s="151" t="s">
        <v>2522</v>
      </c>
      <c r="C208" s="152" t="s">
        <v>2531</v>
      </c>
      <c r="D208" s="155" t="s">
        <v>2532</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2457</v>
      </c>
      <c r="B209" s="150" t="s">
        <v>2533</v>
      </c>
      <c r="C209" s="148" t="s">
        <v>2534</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2457</v>
      </c>
      <c r="B210" s="151" t="s">
        <v>2533</v>
      </c>
      <c r="C210" s="152" t="s">
        <v>2535</v>
      </c>
      <c r="D210" s="155" t="s">
        <v>2536</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2537</v>
      </c>
      <c r="B211" s="149" t="s">
        <v>19</v>
      </c>
      <c r="C211" s="147" t="s">
        <v>2538</v>
      </c>
      <c r="D211" s="153" t="s">
        <v>2539</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2537</v>
      </c>
      <c r="B212" s="150" t="s">
        <v>2540</v>
      </c>
      <c r="C212" s="148" t="s">
        <v>2541</v>
      </c>
      <c r="D212" s="154" t="s">
        <v>2542</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2537</v>
      </c>
      <c r="B213" s="151" t="s">
        <v>2540</v>
      </c>
      <c r="C213" s="152" t="s">
        <v>2543</v>
      </c>
      <c r="D213" s="155" t="s">
        <v>2544</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2537</v>
      </c>
      <c r="B214" s="151" t="s">
        <v>2540</v>
      </c>
      <c r="C214" s="152" t="s">
        <v>2545</v>
      </c>
      <c r="D214" s="155" t="s">
        <v>2546</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2537</v>
      </c>
      <c r="B215" s="151" t="s">
        <v>2540</v>
      </c>
      <c r="C215" s="152" t="s">
        <v>2547</v>
      </c>
      <c r="D215" s="155" t="s">
        <v>2548</v>
      </c>
      <c r="E215" s="158" t="s">
        <v>2549</v>
      </c>
      <c r="F215" s="161" t="s">
        <v>2013</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2537</v>
      </c>
      <c r="B216" s="151" t="s">
        <v>2540</v>
      </c>
      <c r="C216" s="152" t="s">
        <v>2550</v>
      </c>
      <c r="D216" s="155" t="s">
        <v>2551</v>
      </c>
      <c r="E216" s="158" t="s">
        <v>2552</v>
      </c>
      <c r="F216" s="161" t="s">
        <v>2009</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2537</v>
      </c>
      <c r="B217" s="150" t="s">
        <v>2498</v>
      </c>
      <c r="C217" s="148" t="s">
        <v>2553</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2537</v>
      </c>
      <c r="B218" s="151" t="s">
        <v>2498</v>
      </c>
      <c r="C218" s="152" t="s">
        <v>2554</v>
      </c>
      <c r="D218" s="155" t="s">
        <v>2555</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2537</v>
      </c>
      <c r="B219" s="151" t="s">
        <v>2498</v>
      </c>
      <c r="C219" s="152" t="s">
        <v>2556</v>
      </c>
      <c r="D219" s="155" t="s">
        <v>2557</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2537</v>
      </c>
      <c r="B220" s="150" t="s">
        <v>2558</v>
      </c>
      <c r="C220" s="148" t="s">
        <v>2559</v>
      </c>
      <c r="D220" s="154" t="s">
        <v>2560</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2537</v>
      </c>
      <c r="B221" s="151" t="s">
        <v>2558</v>
      </c>
      <c r="C221" s="152" t="s">
        <v>2561</v>
      </c>
      <c r="D221" s="155" t="s">
        <v>2562</v>
      </c>
      <c r="E221" s="158" t="s">
        <v>2563</v>
      </c>
      <c r="F221" s="161" t="s">
        <v>2009</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2537</v>
      </c>
      <c r="B222" s="151" t="s">
        <v>2558</v>
      </c>
      <c r="C222" s="152" t="s">
        <v>2564</v>
      </c>
      <c r="D222" s="155" t="s">
        <v>2565</v>
      </c>
      <c r="E222" s="158" t="s">
        <v>2566</v>
      </c>
      <c r="F222" s="161" t="s">
        <v>2009</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2537</v>
      </c>
      <c r="B223" s="151" t="s">
        <v>2558</v>
      </c>
      <c r="C223" s="152" t="s">
        <v>2567</v>
      </c>
      <c r="D223" s="155" t="s">
        <v>2568</v>
      </c>
      <c r="E223" s="158" t="s">
        <v>2569</v>
      </c>
      <c r="F223" s="161" t="s">
        <v>2009</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2537</v>
      </c>
      <c r="B224" s="151" t="s">
        <v>2558</v>
      </c>
      <c r="C224" s="152" t="s">
        <v>2570</v>
      </c>
      <c r="D224" s="155" t="s">
        <v>2571</v>
      </c>
      <c r="E224" s="158" t="s">
        <v>2572</v>
      </c>
      <c r="F224" s="161" t="s">
        <v>2009</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2537</v>
      </c>
      <c r="B225" s="151" t="s">
        <v>2558</v>
      </c>
      <c r="C225" s="152" t="s">
        <v>2573</v>
      </c>
      <c r="D225" s="155" t="s">
        <v>2574</v>
      </c>
      <c r="E225" s="158" t="s">
        <v>2575</v>
      </c>
      <c r="F225" s="161" t="s">
        <v>2009</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2537</v>
      </c>
      <c r="B226" s="168" t="s">
        <v>2558</v>
      </c>
      <c r="C226" s="169" t="s">
        <v>2576</v>
      </c>
      <c r="D226" s="170" t="s">
        <v>2577</v>
      </c>
      <c r="E226" s="171" t="s">
        <v>2578</v>
      </c>
      <c r="F226" s="172" t="s">
        <v>2009</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118</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IFERROR(INDEX('Recommendations'!$G$2:$G$21, MATCH(H2,'Recommendations'!$A$2:$A$21,0))="Implemented", FALSE))</xm:f>
            <x14:dxf>
              <font>
                <color rgb="FF000000"/>
              </font>
              <fill>
                <patternFill>
                  <bgColor rgb="FF3C7D22"/>
                </patternFill>
              </fill>
            </x14:dxf>
          </x14:cfRule>
          <x14:cfRule type="expression" priority="2" id="{00000000-000E-0000-0700-000002000000}">
            <xm:f>AND(H2&lt;&gt;"", IFERROR(INDEX('Recommendations'!$G$2:$G$21, MATCH(H2,'Recommendations'!$A$2:$A$21,0))="Compensated", FALSE))</xm:f>
            <x14:dxf>
              <font>
                <color rgb="FF000000"/>
              </font>
              <fill>
                <patternFill>
                  <bgColor rgb="FFC6E0B4"/>
                </patternFill>
              </fill>
            </x14:dxf>
          </x14:cfRule>
          <x14:cfRule type="expression" priority="3" id="{00000000-000E-0000-0700-000003000000}">
            <xm:f>AND(H2&lt;&gt;"", IFERROR(INDEX('Recommendations'!$G$2:$G$21, MATCH(H2,'Recommendations'!$A$2:$A$21,0))="Testing", FALSE))</xm:f>
            <x14:dxf>
              <font>
                <color rgb="FF000000"/>
              </font>
              <fill>
                <patternFill>
                  <bgColor rgb="FFFFC000"/>
                </patternFill>
              </fill>
            </x14:dxf>
          </x14:cfRule>
          <x14:cfRule type="expression" priority="4" id="{00000000-000E-0000-0700-000004000000}">
            <xm:f>AND(H2&lt;&gt;"", IFERROR(INDEX('Recommendations'!$G$2:$G$21, MATCH(H2,'Recommendations'!$A$2:$A$21,0))="Failed", FALSE))</xm:f>
            <x14:dxf>
              <font>
                <color rgb="FF000000"/>
              </font>
              <fill>
                <patternFill>
                  <bgColor rgb="FFD82891"/>
                </patternFill>
              </fill>
            </x14:dxf>
          </x14:cfRule>
          <x14:cfRule type="expression" priority="5" id="{00000000-000E-0000-0700-000005000000}">
            <xm:f>AND(H2&lt;&gt;"", IFERROR(INDEX('Recommendations'!$G$2:$G$21, MATCH(H2,'Recommendations'!$A$2:$A$21,0))="Risk Accepted", FALSE))</xm:f>
            <x14:dxf>
              <font>
                <color rgb="FF000000"/>
              </font>
              <fill>
                <patternFill>
                  <bgColor rgb="FFD9D9D9"/>
                </patternFill>
              </fill>
            </x14:dxf>
          </x14:cfRule>
          <x14:cfRule type="expression" priority="6" id="{00000000-000E-0000-0700-000006000000}">
            <xm:f>AND(H2&lt;&gt;"", IFERROR(INDEX('Recommendations'!$G$2:$G$21, MATCH(H2,'Recommendations'!$A$2:$A$21,0))="N/A",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1996</v>
      </c>
      <c r="B1" s="207" t="s">
        <v>2579</v>
      </c>
      <c r="C1" s="207" t="s">
        <v>2580</v>
      </c>
      <c r="D1" s="207" t="s">
        <v>2581</v>
      </c>
      <c r="E1" s="207" t="s">
        <v>1305</v>
      </c>
      <c r="F1" s="207" t="s">
        <v>364</v>
      </c>
      <c r="G1" s="207" t="s">
        <v>365</v>
      </c>
      <c r="H1" s="207" t="s">
        <v>366</v>
      </c>
      <c r="I1" s="207" t="s">
        <v>367</v>
      </c>
      <c r="J1" s="207" t="s">
        <v>368</v>
      </c>
      <c r="K1" s="207" t="s">
        <v>369</v>
      </c>
      <c r="L1" s="207" t="s">
        <v>370</v>
      </c>
      <c r="M1" s="207" t="s">
        <v>371</v>
      </c>
      <c r="N1" s="207" t="s">
        <v>372</v>
      </c>
      <c r="O1" s="207" t="s">
        <v>373</v>
      </c>
      <c r="P1" s="207" t="s">
        <v>374</v>
      </c>
      <c r="Q1" s="207" t="s">
        <v>375</v>
      </c>
      <c r="R1" s="207" t="s">
        <v>376</v>
      </c>
      <c r="S1" s="207" t="s">
        <v>377</v>
      </c>
      <c r="T1" s="207" t="s">
        <v>378</v>
      </c>
      <c r="U1" s="207" t="s">
        <v>379</v>
      </c>
      <c r="V1" s="207" t="s">
        <v>380</v>
      </c>
      <c r="W1" s="207" t="s">
        <v>381</v>
      </c>
      <c r="X1" s="207" t="s">
        <v>382</v>
      </c>
      <c r="Y1" s="207" t="s">
        <v>383</v>
      </c>
      <c r="Z1" s="207" t="s">
        <v>384</v>
      </c>
      <c r="AA1" s="207" t="s">
        <v>385</v>
      </c>
      <c r="AB1" s="207" t="s">
        <v>386</v>
      </c>
      <c r="AC1" s="207" t="s">
        <v>387</v>
      </c>
      <c r="AD1" s="207" t="s">
        <v>388</v>
      </c>
      <c r="AE1" s="207" t="s">
        <v>389</v>
      </c>
      <c r="AF1" s="207" t="s">
        <v>390</v>
      </c>
      <c r="AG1" s="207" t="s">
        <v>391</v>
      </c>
      <c r="AH1" s="207" t="s">
        <v>392</v>
      </c>
      <c r="AI1" s="207" t="s">
        <v>393</v>
      </c>
      <c r="AJ1" s="207" t="s">
        <v>394</v>
      </c>
      <c r="AK1" s="207" t="s">
        <v>395</v>
      </c>
      <c r="AL1" s="207" t="s">
        <v>396</v>
      </c>
      <c r="AM1" s="207" t="s">
        <v>397</v>
      </c>
      <c r="AN1" s="207" t="s">
        <v>398</v>
      </c>
      <c r="AO1" s="207" t="s">
        <v>399</v>
      </c>
      <c r="AP1" s="207" t="s">
        <v>400</v>
      </c>
      <c r="AQ1" s="207" t="s">
        <v>401</v>
      </c>
      <c r="AR1" s="207" t="s">
        <v>402</v>
      </c>
      <c r="AS1" s="207" t="s">
        <v>403</v>
      </c>
      <c r="AT1" s="208" t="s">
        <v>404</v>
      </c>
    </row>
    <row r="2" spans="1:46" ht="60" customHeight="1" outlineLevel="1" x14ac:dyDescent="0.35">
      <c r="A2" s="200" t="s">
        <v>206</v>
      </c>
      <c r="B2" s="186" t="s">
        <v>2582</v>
      </c>
      <c r="C2" s="186"/>
      <c r="D2" s="189" t="s">
        <v>2583</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206</v>
      </c>
      <c r="B3" s="187" t="s">
        <v>2582</v>
      </c>
      <c r="C3" s="188" t="s">
        <v>2584</v>
      </c>
      <c r="D3" s="190" t="s">
        <v>2585</v>
      </c>
      <c r="E3" s="190" t="s">
        <v>2586</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206</v>
      </c>
      <c r="B4" s="187" t="s">
        <v>2582</v>
      </c>
      <c r="C4" s="188" t="s">
        <v>2587</v>
      </c>
      <c r="D4" s="190" t="s">
        <v>2588</v>
      </c>
      <c r="E4" s="190" t="s">
        <v>2589</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206</v>
      </c>
      <c r="B5" s="187" t="s">
        <v>2582</v>
      </c>
      <c r="C5" s="188" t="s">
        <v>2590</v>
      </c>
      <c r="D5" s="190" t="s">
        <v>2591</v>
      </c>
      <c r="E5" s="190" t="s">
        <v>2592</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206</v>
      </c>
      <c r="B6" s="187" t="s">
        <v>2582</v>
      </c>
      <c r="C6" s="188" t="s">
        <v>2593</v>
      </c>
      <c r="D6" s="190" t="s">
        <v>2594</v>
      </c>
      <c r="E6" s="190" t="s">
        <v>2595</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206</v>
      </c>
      <c r="B7" s="187" t="s">
        <v>2582</v>
      </c>
      <c r="C7" s="188" t="s">
        <v>2596</v>
      </c>
      <c r="D7" s="190" t="s">
        <v>2597</v>
      </c>
      <c r="E7" s="190" t="s">
        <v>2598</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206</v>
      </c>
      <c r="B8" s="187" t="s">
        <v>2582</v>
      </c>
      <c r="C8" s="188" t="s">
        <v>2599</v>
      </c>
      <c r="D8" s="190" t="s">
        <v>2600</v>
      </c>
      <c r="E8" s="190" t="s">
        <v>2601</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206</v>
      </c>
      <c r="B9" s="187" t="s">
        <v>2582</v>
      </c>
      <c r="C9" s="188" t="s">
        <v>2602</v>
      </c>
      <c r="D9" s="190" t="s">
        <v>2603</v>
      </c>
      <c r="E9" s="190" t="s">
        <v>2604</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206</v>
      </c>
      <c r="B10" s="187" t="s">
        <v>2582</v>
      </c>
      <c r="C10" s="188" t="s">
        <v>2605</v>
      </c>
      <c r="D10" s="190" t="s">
        <v>2606</v>
      </c>
      <c r="E10" s="190" t="s">
        <v>2607</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206</v>
      </c>
      <c r="B11" s="187" t="s">
        <v>2582</v>
      </c>
      <c r="C11" s="188" t="s">
        <v>2608</v>
      </c>
      <c r="D11" s="190" t="s">
        <v>2609</v>
      </c>
      <c r="E11" s="190" t="s">
        <v>2610</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206</v>
      </c>
      <c r="B12" s="187" t="s">
        <v>2582</v>
      </c>
      <c r="C12" s="188" t="s">
        <v>2611</v>
      </c>
      <c r="D12" s="190" t="s">
        <v>2612</v>
      </c>
      <c r="E12" s="190" t="s">
        <v>2613</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206</v>
      </c>
      <c r="B13" s="187" t="s">
        <v>2582</v>
      </c>
      <c r="C13" s="188" t="s">
        <v>2614</v>
      </c>
      <c r="D13" s="190" t="s">
        <v>2615</v>
      </c>
      <c r="E13" s="190" t="s">
        <v>2616</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206</v>
      </c>
      <c r="B14" s="187" t="s">
        <v>2582</v>
      </c>
      <c r="C14" s="188" t="s">
        <v>2617</v>
      </c>
      <c r="D14" s="190" t="s">
        <v>2618</v>
      </c>
      <c r="E14" s="190" t="s">
        <v>2619</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206</v>
      </c>
      <c r="B15" s="187" t="s">
        <v>2582</v>
      </c>
      <c r="C15" s="188" t="s">
        <v>2620</v>
      </c>
      <c r="D15" s="190" t="s">
        <v>2621</v>
      </c>
      <c r="E15" s="190" t="s">
        <v>2622</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206</v>
      </c>
      <c r="B16" s="187" t="s">
        <v>2582</v>
      </c>
      <c r="C16" s="188" t="s">
        <v>2623</v>
      </c>
      <c r="D16" s="190" t="s">
        <v>2624</v>
      </c>
      <c r="E16" s="190" t="s">
        <v>2625</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206</v>
      </c>
      <c r="B17" s="187" t="s">
        <v>2582</v>
      </c>
      <c r="C17" s="188" t="s">
        <v>2626</v>
      </c>
      <c r="D17" s="190" t="s">
        <v>2627</v>
      </c>
      <c r="E17" s="190" t="s">
        <v>2628</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206</v>
      </c>
      <c r="B18" s="187" t="s">
        <v>2582</v>
      </c>
      <c r="C18" s="188" t="s">
        <v>2629</v>
      </c>
      <c r="D18" s="190" t="s">
        <v>2630</v>
      </c>
      <c r="E18" s="190" t="s">
        <v>2631</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206</v>
      </c>
      <c r="B19" s="186" t="s">
        <v>2632</v>
      </c>
      <c r="C19" s="186"/>
      <c r="D19" s="189" t="s">
        <v>2633</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206</v>
      </c>
      <c r="B20" s="187" t="s">
        <v>2632</v>
      </c>
      <c r="C20" s="188" t="s">
        <v>2634</v>
      </c>
      <c r="D20" s="190" t="s">
        <v>2635</v>
      </c>
      <c r="E20" s="190" t="s">
        <v>2636</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206</v>
      </c>
      <c r="B21" s="187" t="s">
        <v>2632</v>
      </c>
      <c r="C21" s="188" t="s">
        <v>2637</v>
      </c>
      <c r="D21" s="190" t="s">
        <v>2638</v>
      </c>
      <c r="E21" s="190" t="s">
        <v>2639</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206</v>
      </c>
      <c r="B22" s="187" t="s">
        <v>2632</v>
      </c>
      <c r="C22" s="188" t="s">
        <v>2640</v>
      </c>
      <c r="D22" s="190" t="s">
        <v>2641</v>
      </c>
      <c r="E22" s="190" t="s">
        <v>2642</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206</v>
      </c>
      <c r="B23" s="187" t="s">
        <v>2632</v>
      </c>
      <c r="C23" s="188" t="s">
        <v>2643</v>
      </c>
      <c r="D23" s="190" t="s">
        <v>2644</v>
      </c>
      <c r="E23" s="190" t="s">
        <v>2645</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206</v>
      </c>
      <c r="B24" s="187" t="s">
        <v>2632</v>
      </c>
      <c r="C24" s="188" t="s">
        <v>2646</v>
      </c>
      <c r="D24" s="190" t="s">
        <v>2647</v>
      </c>
      <c r="E24" s="190" t="s">
        <v>2648</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206</v>
      </c>
      <c r="B25" s="187" t="s">
        <v>2632</v>
      </c>
      <c r="C25" s="188" t="s">
        <v>2649</v>
      </c>
      <c r="D25" s="190" t="s">
        <v>2650</v>
      </c>
      <c r="E25" s="190" t="s">
        <v>2651</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206</v>
      </c>
      <c r="B26" s="187" t="s">
        <v>2632</v>
      </c>
      <c r="C26" s="188" t="s">
        <v>2652</v>
      </c>
      <c r="D26" s="190" t="s">
        <v>2653</v>
      </c>
      <c r="E26" s="190" t="s">
        <v>2654</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206</v>
      </c>
      <c r="B27" s="187" t="s">
        <v>2632</v>
      </c>
      <c r="C27" s="188" t="s">
        <v>2655</v>
      </c>
      <c r="D27" s="190" t="s">
        <v>2656</v>
      </c>
      <c r="E27" s="190" t="s">
        <v>2657</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206</v>
      </c>
      <c r="B28" s="187" t="s">
        <v>2632</v>
      </c>
      <c r="C28" s="188" t="s">
        <v>2658</v>
      </c>
      <c r="D28" s="190" t="s">
        <v>2659</v>
      </c>
      <c r="E28" s="190" t="s">
        <v>2660</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206</v>
      </c>
      <c r="B29" s="187" t="s">
        <v>2632</v>
      </c>
      <c r="C29" s="188" t="s">
        <v>2661</v>
      </c>
      <c r="D29" s="190" t="s">
        <v>2662</v>
      </c>
      <c r="E29" s="190" t="s">
        <v>2663</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206</v>
      </c>
      <c r="B30" s="187" t="s">
        <v>2632</v>
      </c>
      <c r="C30" s="188" t="s">
        <v>2664</v>
      </c>
      <c r="D30" s="190" t="s">
        <v>2665</v>
      </c>
      <c r="E30" s="190" t="s">
        <v>2666</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206</v>
      </c>
      <c r="B31" s="187" t="s">
        <v>2632</v>
      </c>
      <c r="C31" s="188" t="s">
        <v>2667</v>
      </c>
      <c r="D31" s="190" t="s">
        <v>2668</v>
      </c>
      <c r="E31" s="190" t="s">
        <v>2669</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2670</v>
      </c>
      <c r="B32" s="186"/>
      <c r="C32" s="186"/>
      <c r="D32" s="189" t="s">
        <v>2671</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2670</v>
      </c>
      <c r="B33" s="187"/>
      <c r="C33" s="188" t="s">
        <v>2672</v>
      </c>
      <c r="D33" s="190" t="s">
        <v>2673</v>
      </c>
      <c r="E33" s="190" t="s">
        <v>2674</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2670</v>
      </c>
      <c r="B34" s="187"/>
      <c r="C34" s="188" t="s">
        <v>2675</v>
      </c>
      <c r="D34" s="190" t="s">
        <v>2676</v>
      </c>
      <c r="E34" s="190" t="s">
        <v>2677</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2670</v>
      </c>
      <c r="B35" s="187"/>
      <c r="C35" s="188" t="s">
        <v>2678</v>
      </c>
      <c r="D35" s="190" t="s">
        <v>2679</v>
      </c>
      <c r="E35" s="190" t="s">
        <v>2680</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2670</v>
      </c>
      <c r="B36" s="186" t="s">
        <v>2681</v>
      </c>
      <c r="C36" s="186"/>
      <c r="D36" s="189" t="s">
        <v>2682</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2670</v>
      </c>
      <c r="B37" s="187" t="s">
        <v>2681</v>
      </c>
      <c r="C37" s="188" t="s">
        <v>2683</v>
      </c>
      <c r="D37" s="190" t="s">
        <v>2684</v>
      </c>
      <c r="E37" s="190" t="s">
        <v>2685</v>
      </c>
      <c r="F37" s="192">
        <f>IF(COUNTIF(G37:AT37,"&lt;&gt;")=0,"",SUMPRODUCT(((Recommendations[ImplStatus]="Implemented")+(Recommendations[ImplStatus]="Compensated"))*ISNUMBER(MATCH(Recommendations[Id],G37:AT37,0)))/COUNTIF(G37:AT37,"&lt;&gt;"))</f>
        <v>0</v>
      </c>
      <c r="G37" s="194" t="s">
        <v>63</v>
      </c>
      <c r="H37" s="194"/>
      <c r="I37" s="194"/>
      <c r="J37" s="194"/>
      <c r="K37" s="194"/>
      <c r="L37" s="194"/>
      <c r="M37" s="194"/>
      <c r="N37" s="194"/>
      <c r="O37" s="194"/>
      <c r="P37" s="194"/>
      <c r="Q37" s="194"/>
      <c r="R37" s="194"/>
      <c r="S37" s="194"/>
      <c r="T37" s="194"/>
      <c r="U37" s="194"/>
      <c r="V37" s="194"/>
      <c r="W37" s="194"/>
      <c r="X37" s="194"/>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2670</v>
      </c>
      <c r="B38" s="187" t="s">
        <v>2681</v>
      </c>
      <c r="C38" s="188" t="s">
        <v>2686</v>
      </c>
      <c r="D38" s="190" t="s">
        <v>2687</v>
      </c>
      <c r="E38" s="190" t="s">
        <v>2688</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2670</v>
      </c>
      <c r="B39" s="187" t="s">
        <v>2681</v>
      </c>
      <c r="C39" s="188" t="s">
        <v>2689</v>
      </c>
      <c r="D39" s="190" t="s">
        <v>2690</v>
      </c>
      <c r="E39" s="190" t="s">
        <v>2691</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2670</v>
      </c>
      <c r="B40" s="187" t="s">
        <v>2681</v>
      </c>
      <c r="C40" s="188" t="s">
        <v>2692</v>
      </c>
      <c r="D40" s="190" t="s">
        <v>2693</v>
      </c>
      <c r="E40" s="190" t="s">
        <v>2694</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2670</v>
      </c>
      <c r="B41" s="187" t="s">
        <v>2681</v>
      </c>
      <c r="C41" s="188" t="s">
        <v>2695</v>
      </c>
      <c r="D41" s="190" t="s">
        <v>2696</v>
      </c>
      <c r="E41" s="190" t="s">
        <v>2697</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2670</v>
      </c>
      <c r="B42" s="187" t="s">
        <v>2681</v>
      </c>
      <c r="C42" s="188" t="s">
        <v>2698</v>
      </c>
      <c r="D42" s="190" t="s">
        <v>2699</v>
      </c>
      <c r="E42" s="190" t="s">
        <v>2700</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2670</v>
      </c>
      <c r="B43" s="187" t="s">
        <v>2681</v>
      </c>
      <c r="C43" s="188" t="s">
        <v>2701</v>
      </c>
      <c r="D43" s="190" t="s">
        <v>2702</v>
      </c>
      <c r="E43" s="190" t="s">
        <v>2703</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2670</v>
      </c>
      <c r="B44" s="187" t="s">
        <v>2681</v>
      </c>
      <c r="C44" s="188" t="s">
        <v>2704</v>
      </c>
      <c r="D44" s="190" t="s">
        <v>2705</v>
      </c>
      <c r="E44" s="190" t="s">
        <v>2706</v>
      </c>
      <c r="F44" s="192" t="str">
        <f>IF(COUNTIF(G44:AT44,"&lt;&gt;")=0,"",SUMPRODUCT(((Recommendations[ImplStatus]="Implemented")+(Recommendations[ImplStatus]="Compensated"))*ISNUMBER(MATCH(Recommendations[Id],G44:AT44,0)))/COUNTIF(G44:AT44,"&lt;&gt;"))</f>
        <v/>
      </c>
      <c r="G44" s="194"/>
      <c r="H44" s="194"/>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2670</v>
      </c>
      <c r="B45" s="187" t="s">
        <v>2681</v>
      </c>
      <c r="C45" s="188" t="s">
        <v>2707</v>
      </c>
      <c r="D45" s="190" t="s">
        <v>2708</v>
      </c>
      <c r="E45" s="190" t="s">
        <v>2709</v>
      </c>
      <c r="F45" s="192" t="str">
        <f>IF(COUNTIF(G45:AT45,"&lt;&gt;")=0,"",SUMPRODUCT(((Recommendations[ImplStatus]="Implemented")+(Recommendations[ImplStatus]="Compensated"))*ISNUMBER(MATCH(Recommendations[Id],G45:AT45,0)))/COUNTIF(G45:AT45,"&lt;&gt;"))</f>
        <v/>
      </c>
      <c r="G45" s="194"/>
      <c r="H45" s="194"/>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2670</v>
      </c>
      <c r="B46" s="187" t="s">
        <v>2681</v>
      </c>
      <c r="C46" s="188" t="s">
        <v>2710</v>
      </c>
      <c r="D46" s="190" t="s">
        <v>2711</v>
      </c>
      <c r="E46" s="190" t="s">
        <v>2712</v>
      </c>
      <c r="F46" s="192">
        <f>IF(COUNTIF(G46:AT46,"&lt;&gt;")=0,"",SUMPRODUCT(((Recommendations[ImplStatus]="Implemented")+(Recommendations[ImplStatus]="Compensated"))*ISNUMBER(MATCH(Recommendations[Id],G46:AT46,0)))/COUNTIF(G46:AT46,"&lt;&gt;"))</f>
        <v>0</v>
      </c>
      <c r="G46" s="194" t="s">
        <v>68</v>
      </c>
      <c r="H46" s="194"/>
      <c r="I46" s="194"/>
      <c r="J46" s="194"/>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2670</v>
      </c>
      <c r="B47" s="187" t="s">
        <v>2681</v>
      </c>
      <c r="C47" s="188" t="s">
        <v>2713</v>
      </c>
      <c r="D47" s="190" t="s">
        <v>2714</v>
      </c>
      <c r="E47" s="190" t="s">
        <v>2715</v>
      </c>
      <c r="F47" s="192" t="str">
        <f>IF(COUNTIF(G47:AT47,"&lt;&gt;")=0,"",SUMPRODUCT(((Recommendations[ImplStatus]="Implemented")+(Recommendations[ImplStatus]="Compensated"))*ISNUMBER(MATCH(Recommendations[Id],G47:AT47,0)))/COUNTIF(G47:AT47,"&lt;&gt;"))</f>
        <v/>
      </c>
      <c r="G47" s="194"/>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2670</v>
      </c>
      <c r="B48" s="187" t="s">
        <v>2681</v>
      </c>
      <c r="C48" s="188" t="s">
        <v>2716</v>
      </c>
      <c r="D48" s="190" t="s">
        <v>2717</v>
      </c>
      <c r="E48" s="190" t="s">
        <v>2718</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2670</v>
      </c>
      <c r="B49" s="187" t="s">
        <v>2681</v>
      </c>
      <c r="C49" s="188" t="s">
        <v>2719</v>
      </c>
      <c r="D49" s="190" t="s">
        <v>2720</v>
      </c>
      <c r="E49" s="190" t="s">
        <v>2721</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2670</v>
      </c>
      <c r="B50" s="187" t="s">
        <v>2681</v>
      </c>
      <c r="C50" s="188" t="s">
        <v>2722</v>
      </c>
      <c r="D50" s="190" t="s">
        <v>2723</v>
      </c>
      <c r="E50" s="190" t="s">
        <v>2724</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2670</v>
      </c>
      <c r="B51" s="186" t="s">
        <v>2725</v>
      </c>
      <c r="C51" s="186"/>
      <c r="D51" s="189" t="s">
        <v>2726</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2670</v>
      </c>
      <c r="B52" s="187" t="s">
        <v>2725</v>
      </c>
      <c r="C52" s="188" t="s">
        <v>2727</v>
      </c>
      <c r="D52" s="190" t="s">
        <v>2728</v>
      </c>
      <c r="E52" s="190" t="s">
        <v>2729</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2670</v>
      </c>
      <c r="B53" s="187" t="s">
        <v>2725</v>
      </c>
      <c r="C53" s="188" t="s">
        <v>2730</v>
      </c>
      <c r="D53" s="190" t="s">
        <v>2731</v>
      </c>
      <c r="E53" s="190" t="s">
        <v>2732</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2670</v>
      </c>
      <c r="B54" s="187" t="s">
        <v>2725</v>
      </c>
      <c r="C54" s="188" t="s">
        <v>2733</v>
      </c>
      <c r="D54" s="190" t="s">
        <v>2734</v>
      </c>
      <c r="E54" s="190" t="s">
        <v>2735</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2670</v>
      </c>
      <c r="B55" s="187" t="s">
        <v>2725</v>
      </c>
      <c r="C55" s="188" t="s">
        <v>2736</v>
      </c>
      <c r="D55" s="190" t="s">
        <v>2737</v>
      </c>
      <c r="E55" s="190" t="s">
        <v>2738</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2670</v>
      </c>
      <c r="B56" s="187" t="s">
        <v>2725</v>
      </c>
      <c r="C56" s="188" t="s">
        <v>2739</v>
      </c>
      <c r="D56" s="190" t="s">
        <v>2740</v>
      </c>
      <c r="E56" s="190" t="s">
        <v>2741</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2670</v>
      </c>
      <c r="B57" s="187" t="s">
        <v>2725</v>
      </c>
      <c r="C57" s="188" t="s">
        <v>2742</v>
      </c>
      <c r="D57" s="190" t="s">
        <v>2743</v>
      </c>
      <c r="E57" s="190" t="s">
        <v>2744</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2670</v>
      </c>
      <c r="B58" s="187" t="s">
        <v>2725</v>
      </c>
      <c r="C58" s="188" t="s">
        <v>2745</v>
      </c>
      <c r="D58" s="190" t="s">
        <v>2746</v>
      </c>
      <c r="E58" s="190" t="s">
        <v>2747</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2670</v>
      </c>
      <c r="B59" s="187" t="s">
        <v>2725</v>
      </c>
      <c r="C59" s="188" t="s">
        <v>2748</v>
      </c>
      <c r="D59" s="190" t="s">
        <v>2749</v>
      </c>
      <c r="E59" s="190" t="s">
        <v>2750</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2670</v>
      </c>
      <c r="B60" s="187" t="s">
        <v>2751</v>
      </c>
      <c r="C60" s="188" t="s">
        <v>2752</v>
      </c>
      <c r="D60" s="190" t="s">
        <v>2753</v>
      </c>
      <c r="E60" s="190" t="s">
        <v>2754</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2670</v>
      </c>
      <c r="B61" s="187" t="s">
        <v>2751</v>
      </c>
      <c r="C61" s="188" t="s">
        <v>2755</v>
      </c>
      <c r="D61" s="190" t="s">
        <v>2756</v>
      </c>
      <c r="E61" s="190" t="s">
        <v>2757</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2670</v>
      </c>
      <c r="B62" s="186" t="s">
        <v>2758</v>
      </c>
      <c r="C62" s="186"/>
      <c r="D62" s="189" t="s">
        <v>2759</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2670</v>
      </c>
      <c r="B63" s="187" t="s">
        <v>2758</v>
      </c>
      <c r="C63" s="188" t="s">
        <v>2760</v>
      </c>
      <c r="D63" s="190" t="s">
        <v>2761</v>
      </c>
      <c r="E63" s="190" t="s">
        <v>2762</v>
      </c>
      <c r="F63" s="192">
        <f>IF(COUNTIF(G63:AT63,"&lt;&gt;")=0,"",SUMPRODUCT(((Recommendations[ImplStatus]="Implemented")+(Recommendations[ImplStatus]="Compensated"))*ISNUMBER(MATCH(Recommendations[Id],G63:AT63,0)))/COUNTIF(G63:AT63,"&lt;&gt;"))</f>
        <v>0</v>
      </c>
      <c r="G63" s="194" t="s">
        <v>38</v>
      </c>
      <c r="H63" s="194"/>
      <c r="I63" s="194"/>
      <c r="J63" s="194"/>
      <c r="K63" s="194"/>
      <c r="L63" s="194"/>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2670</v>
      </c>
      <c r="B64" s="187" t="s">
        <v>2758</v>
      </c>
      <c r="C64" s="188" t="s">
        <v>2763</v>
      </c>
      <c r="D64" s="190" t="s">
        <v>2764</v>
      </c>
      <c r="E64" s="190" t="s">
        <v>2765</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2670</v>
      </c>
      <c r="B65" s="187" t="s">
        <v>2758</v>
      </c>
      <c r="C65" s="188" t="s">
        <v>2766</v>
      </c>
      <c r="D65" s="190" t="s">
        <v>2767</v>
      </c>
      <c r="E65" s="190" t="s">
        <v>2768</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2670</v>
      </c>
      <c r="B66" s="187" t="s">
        <v>2758</v>
      </c>
      <c r="C66" s="188" t="s">
        <v>2769</v>
      </c>
      <c r="D66" s="190" t="s">
        <v>2770</v>
      </c>
      <c r="E66" s="190" t="s">
        <v>2771</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2670</v>
      </c>
      <c r="B67" s="187" t="s">
        <v>2758</v>
      </c>
      <c r="C67" s="188" t="s">
        <v>2772</v>
      </c>
      <c r="D67" s="190" t="s">
        <v>2773</v>
      </c>
      <c r="E67" s="190" t="s">
        <v>2774</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2670</v>
      </c>
      <c r="B68" s="187" t="s">
        <v>2758</v>
      </c>
      <c r="C68" s="188" t="s">
        <v>2775</v>
      </c>
      <c r="D68" s="190" t="s">
        <v>2776</v>
      </c>
      <c r="E68" s="190" t="s">
        <v>2777</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2670</v>
      </c>
      <c r="B69" s="187" t="s">
        <v>2758</v>
      </c>
      <c r="C69" s="188" t="s">
        <v>2778</v>
      </c>
      <c r="D69" s="190" t="s">
        <v>2779</v>
      </c>
      <c r="E69" s="190" t="s">
        <v>2780</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2670</v>
      </c>
      <c r="B70" s="187" t="s">
        <v>2758</v>
      </c>
      <c r="C70" s="188" t="s">
        <v>2781</v>
      </c>
      <c r="D70" s="190" t="s">
        <v>2782</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2670</v>
      </c>
      <c r="B71" s="187" t="s">
        <v>2758</v>
      </c>
      <c r="C71" s="188" t="s">
        <v>2783</v>
      </c>
      <c r="D71" s="190" t="s">
        <v>2784</v>
      </c>
      <c r="E71" s="190" t="s">
        <v>2785</v>
      </c>
      <c r="F71" s="192">
        <f>IF(COUNTIF(G71:AT71,"&lt;&gt;")=0,"",SUMPRODUCT(((Recommendations[ImplStatus]="Implemented")+(Recommendations[ImplStatus]="Compensated"))*ISNUMBER(MATCH(Recommendations[Id],G71:AT71,0)))/COUNTIF(G71:AT71,"&lt;&gt;"))</f>
        <v>0</v>
      </c>
      <c r="G71" s="194" t="s">
        <v>38</v>
      </c>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2670</v>
      </c>
      <c r="B72" s="187" t="s">
        <v>2758</v>
      </c>
      <c r="C72" s="188" t="s">
        <v>2786</v>
      </c>
      <c r="D72" s="190" t="s">
        <v>2787</v>
      </c>
      <c r="E72" s="190" t="s">
        <v>2788</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2670</v>
      </c>
      <c r="B73" s="187" t="s">
        <v>2758</v>
      </c>
      <c r="C73" s="188" t="s">
        <v>2789</v>
      </c>
      <c r="D73" s="190" t="s">
        <v>2790</v>
      </c>
      <c r="E73" s="190" t="s">
        <v>2791</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2670</v>
      </c>
      <c r="B74" s="187" t="s">
        <v>2758</v>
      </c>
      <c r="C74" s="188" t="s">
        <v>2792</v>
      </c>
      <c r="D74" s="190" t="s">
        <v>2793</v>
      </c>
      <c r="E74" s="190" t="s">
        <v>2794</v>
      </c>
      <c r="F74" s="192">
        <f>IF(COUNTIF(G74:AT74,"&lt;&gt;")=0,"",SUMPRODUCT(((Recommendations[ImplStatus]="Implemented")+(Recommendations[ImplStatus]="Compensated"))*ISNUMBER(MATCH(Recommendations[Id],G74:AT74,0)))/COUNTIF(G74:AT74,"&lt;&gt;"))</f>
        <v>0</v>
      </c>
      <c r="G74" s="194" t="s">
        <v>57</v>
      </c>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2670</v>
      </c>
      <c r="B75" s="187" t="s">
        <v>2758</v>
      </c>
      <c r="C75" s="188" t="s">
        <v>2795</v>
      </c>
      <c r="D75" s="190" t="s">
        <v>2796</v>
      </c>
      <c r="E75" s="190" t="s">
        <v>2797</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2670</v>
      </c>
      <c r="B76" s="187" t="s">
        <v>2758</v>
      </c>
      <c r="C76" s="188" t="s">
        <v>2798</v>
      </c>
      <c r="D76" s="190" t="s">
        <v>2799</v>
      </c>
      <c r="E76" s="190" t="s">
        <v>2800</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2670</v>
      </c>
      <c r="B77" s="187" t="s">
        <v>2758</v>
      </c>
      <c r="C77" s="188" t="s">
        <v>2801</v>
      </c>
      <c r="D77" s="190" t="s">
        <v>2802</v>
      </c>
      <c r="E77" s="190" t="s">
        <v>2803</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2670</v>
      </c>
      <c r="B78" s="187" t="s">
        <v>2758</v>
      </c>
      <c r="C78" s="188" t="s">
        <v>2804</v>
      </c>
      <c r="D78" s="190" t="s">
        <v>2805</v>
      </c>
      <c r="E78" s="190" t="s">
        <v>2806</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2670</v>
      </c>
      <c r="B79" s="186" t="s">
        <v>2758</v>
      </c>
      <c r="C79" s="186"/>
      <c r="D79" s="189" t="s">
        <v>2807</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2808</v>
      </c>
      <c r="B80" s="187"/>
      <c r="C80" s="188" t="s">
        <v>2809</v>
      </c>
      <c r="D80" s="190" t="s">
        <v>2810</v>
      </c>
      <c r="E80" s="190" t="s">
        <v>2811</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2808</v>
      </c>
      <c r="B81" s="187"/>
      <c r="C81" s="188" t="s">
        <v>2812</v>
      </c>
      <c r="D81" s="190" t="s">
        <v>2813</v>
      </c>
      <c r="E81" s="190" t="s">
        <v>2814</v>
      </c>
      <c r="F81" s="192">
        <f>IF(COUNTIF(G81:AT81,"&lt;&gt;")=0,"",SUMPRODUCT(((Recommendations[ImplStatus]="Implemented")+(Recommendations[ImplStatus]="Compensated"))*ISNUMBER(MATCH(Recommendations[Id],G81:AT81,0)))/COUNTIF(G81:AT81,"&lt;&gt;"))</f>
        <v>0</v>
      </c>
      <c r="G81" s="194" t="s">
        <v>48</v>
      </c>
      <c r="H81" s="194" t="s">
        <v>78</v>
      </c>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2808</v>
      </c>
      <c r="B82" s="187"/>
      <c r="C82" s="188" t="s">
        <v>2815</v>
      </c>
      <c r="D82" s="190" t="s">
        <v>2816</v>
      </c>
      <c r="E82" s="190" t="s">
        <v>2817</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2808</v>
      </c>
      <c r="B83" s="187"/>
      <c r="C83" s="188" t="s">
        <v>2818</v>
      </c>
      <c r="D83" s="190" t="s">
        <v>2819</v>
      </c>
      <c r="E83" s="190" t="s">
        <v>2820</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2808</v>
      </c>
      <c r="B84" s="186"/>
      <c r="C84" s="186"/>
      <c r="D84" s="189" t="s">
        <v>2821</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2822</v>
      </c>
      <c r="B85" s="187"/>
      <c r="C85" s="188" t="s">
        <v>2823</v>
      </c>
      <c r="D85" s="190" t="s">
        <v>2824</v>
      </c>
      <c r="E85" s="190" t="s">
        <v>2825</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2822</v>
      </c>
      <c r="B86" s="187"/>
      <c r="C86" s="188" t="s">
        <v>2826</v>
      </c>
      <c r="D86" s="190" t="s">
        <v>2827</v>
      </c>
      <c r="E86" s="190" t="s">
        <v>2828</v>
      </c>
      <c r="F86" s="192">
        <f>IF(COUNTIF(G86:AT86,"&lt;&gt;")=0,"",SUMPRODUCT(((Recommendations[ImplStatus]="Implemented")+(Recommendations[ImplStatus]="Compensated"))*ISNUMBER(MATCH(Recommendations[Id],G86:AT86,0)))/COUNTIF(G86:AT86,"&lt;&gt;"))</f>
        <v>0</v>
      </c>
      <c r="G86" s="194" t="s">
        <v>43</v>
      </c>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2822</v>
      </c>
      <c r="B87" s="187"/>
      <c r="C87" s="188" t="s">
        <v>2829</v>
      </c>
      <c r="D87" s="190" t="s">
        <v>2830</v>
      </c>
      <c r="E87" s="190" t="s">
        <v>2831</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2822</v>
      </c>
      <c r="B88" s="187"/>
      <c r="C88" s="188" t="s">
        <v>2832</v>
      </c>
      <c r="D88" s="190" t="s">
        <v>2833</v>
      </c>
      <c r="E88" s="190" t="s">
        <v>2834</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2822</v>
      </c>
      <c r="B89" s="187"/>
      <c r="C89" s="188" t="s">
        <v>2835</v>
      </c>
      <c r="D89" s="190" t="s">
        <v>2836</v>
      </c>
      <c r="E89" s="190" t="s">
        <v>2837</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2822</v>
      </c>
      <c r="B90" s="186" t="s">
        <v>2838</v>
      </c>
      <c r="C90" s="186"/>
      <c r="D90" s="189" t="s">
        <v>2839</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2822</v>
      </c>
      <c r="B91" s="187" t="s">
        <v>2838</v>
      </c>
      <c r="C91" s="188" t="s">
        <v>2840</v>
      </c>
      <c r="D91" s="190" t="s">
        <v>2841</v>
      </c>
      <c r="E91" s="190" t="s">
        <v>2842</v>
      </c>
      <c r="F91" s="192">
        <f>IF(COUNTIF(G91:AT91,"&lt;&gt;")=0,"",SUMPRODUCT(((Recommendations[ImplStatus]="Implemented")+(Recommendations[ImplStatus]="Compensated"))*ISNUMBER(MATCH(Recommendations[Id],G91:AT91,0)))/COUNTIF(G91:AT91,"&lt;&gt;"))</f>
        <v>0</v>
      </c>
      <c r="G91" s="194" t="s">
        <v>98</v>
      </c>
      <c r="H91" s="194" t="s">
        <v>103</v>
      </c>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2822</v>
      </c>
      <c r="B92" s="187" t="s">
        <v>2838</v>
      </c>
      <c r="C92" s="188" t="s">
        <v>2843</v>
      </c>
      <c r="D92" s="190" t="s">
        <v>2844</v>
      </c>
      <c r="E92" s="190" t="s">
        <v>2845</v>
      </c>
      <c r="F92" s="192">
        <f>IF(COUNTIF(G92:AT92,"&lt;&gt;")=0,"",SUMPRODUCT(((Recommendations[ImplStatus]="Implemented")+(Recommendations[ImplStatus]="Compensated"))*ISNUMBER(MATCH(Recommendations[Id],G92:AT92,0)))/COUNTIF(G92:AT92,"&lt;&gt;"))</f>
        <v>0</v>
      </c>
      <c r="G92" s="194" t="s">
        <v>88</v>
      </c>
      <c r="H92" s="194" t="s">
        <v>93</v>
      </c>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2838</v>
      </c>
      <c r="C93" s="188" t="s">
        <v>2846</v>
      </c>
      <c r="D93" s="190" t="s">
        <v>2847</v>
      </c>
      <c r="E93" s="190" t="s">
        <v>2848</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2838</v>
      </c>
      <c r="C94" s="188" t="s">
        <v>2849</v>
      </c>
      <c r="D94" s="190" t="s">
        <v>2850</v>
      </c>
      <c r="E94" s="190" t="s">
        <v>2851</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2838</v>
      </c>
      <c r="C95" s="188" t="s">
        <v>2852</v>
      </c>
      <c r="D95" s="190" t="s">
        <v>2853</v>
      </c>
      <c r="E95" s="190" t="s">
        <v>2854</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2838</v>
      </c>
      <c r="C96" s="188" t="s">
        <v>2855</v>
      </c>
      <c r="D96" s="190" t="s">
        <v>2856</v>
      </c>
      <c r="E96" s="190" t="s">
        <v>2857</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2838</v>
      </c>
      <c r="C97" s="188" t="s">
        <v>2858</v>
      </c>
      <c r="D97" s="190" t="s">
        <v>2859</v>
      </c>
      <c r="E97" s="190" t="s">
        <v>2860</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2838</v>
      </c>
      <c r="C98" s="188" t="s">
        <v>2861</v>
      </c>
      <c r="D98" s="190" t="s">
        <v>2862</v>
      </c>
      <c r="E98" s="190" t="s">
        <v>2863</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2864</v>
      </c>
      <c r="C99" s="186"/>
      <c r="D99" s="189" t="s">
        <v>2865</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2864</v>
      </c>
      <c r="C100" s="188" t="s">
        <v>2866</v>
      </c>
      <c r="D100" s="190" t="s">
        <v>2867</v>
      </c>
      <c r="E100" s="190" t="s">
        <v>2868</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2864</v>
      </c>
      <c r="C101" s="188" t="s">
        <v>2869</v>
      </c>
      <c r="D101" s="190" t="s">
        <v>2870</v>
      </c>
      <c r="E101" s="190" t="s">
        <v>2871</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2864</v>
      </c>
      <c r="C102" s="188" t="s">
        <v>2872</v>
      </c>
      <c r="D102" s="190" t="s">
        <v>2873</v>
      </c>
      <c r="E102" s="190" t="s">
        <v>2874</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2864</v>
      </c>
      <c r="C103" s="188" t="s">
        <v>2875</v>
      </c>
      <c r="D103" s="190" t="s">
        <v>2876</v>
      </c>
      <c r="E103" s="190" t="s">
        <v>2877</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2864</v>
      </c>
      <c r="C104" s="196" t="s">
        <v>2878</v>
      </c>
      <c r="D104" s="197" t="s">
        <v>2879</v>
      </c>
      <c r="E104" s="197" t="s">
        <v>2880</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118</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IFERROR(INDEX('Recommendations'!$G$2:$G$21, MATCH(G2,'Recommendations'!$A$2:$A$21,0))="Implemented", FALSE))</xm:f>
            <x14:dxf>
              <font>
                <color rgb="FF000000"/>
              </font>
              <fill>
                <patternFill>
                  <bgColor rgb="FF3C7D22"/>
                </patternFill>
              </fill>
            </x14:dxf>
          </x14:cfRule>
          <x14:cfRule type="expression" priority="2" id="{00000000-000E-0000-0800-000002000000}">
            <xm:f>AND(G2&lt;&gt;"", IFERROR(INDEX('Recommendations'!$G$2:$G$21, MATCH(G2,'Recommendations'!$A$2:$A$21,0))="Compensated", FALSE))</xm:f>
            <x14:dxf>
              <font>
                <color rgb="FF000000"/>
              </font>
              <fill>
                <patternFill>
                  <bgColor rgb="FFC6E0B4"/>
                </patternFill>
              </fill>
            </x14:dxf>
          </x14:cfRule>
          <x14:cfRule type="expression" priority="3" id="{00000000-000E-0000-0800-000003000000}">
            <xm:f>AND(G2&lt;&gt;"", IFERROR(INDEX('Recommendations'!$G$2:$G$21, MATCH(G2,'Recommendations'!$A$2:$A$21,0))="Testing", FALSE))</xm:f>
            <x14:dxf>
              <font>
                <color rgb="FF000000"/>
              </font>
              <fill>
                <patternFill>
                  <bgColor rgb="FFFFC000"/>
                </patternFill>
              </fill>
            </x14:dxf>
          </x14:cfRule>
          <x14:cfRule type="expression" priority="4" id="{00000000-000E-0000-0800-000004000000}">
            <xm:f>AND(G2&lt;&gt;"", IFERROR(INDEX('Recommendations'!$G$2:$G$21, MATCH(G2,'Recommendations'!$A$2:$A$21,0))="Failed", FALSE))</xm:f>
            <x14:dxf>
              <font>
                <color rgb="FF000000"/>
              </font>
              <fill>
                <patternFill>
                  <bgColor rgb="FFD82891"/>
                </patternFill>
              </fill>
            </x14:dxf>
          </x14:cfRule>
          <x14:cfRule type="expression" priority="5" id="{00000000-000E-0000-0800-000005000000}">
            <xm:f>AND(G2&lt;&gt;"", IFERROR(INDEX('Recommendations'!$G$2:$G$21, MATCH(G2,'Recommendations'!$A$2:$A$21,0))="Risk Accepted", FALSE))</xm:f>
            <x14:dxf>
              <font>
                <color rgb="FF000000"/>
              </font>
              <fill>
                <patternFill>
                  <bgColor rgb="FFD9D9D9"/>
                </patternFill>
              </fill>
            </x14:dxf>
          </x14:cfRule>
          <x14:cfRule type="expression" priority="6" id="{00000000-000E-0000-0800-000006000000}">
            <xm:f>AND(G2&lt;&gt;"", IFERROR(INDEX('Recommendations'!$G$2:$G$21, MATCH(G2,'Recommendations'!$A$2:$A$21,0))="N/A",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VMware Workspace ONE UEM Security Technical Implementation Guide - SHGIR</dc:title>
  <dc:subject>Generated on: 2026-06-08 13:33:16</dc:subject>
  <dc:creator>Anicet Fopa Tchoffo</dc:creator>
  <cp:keywords>Baseline;Hardening;DISA;STIG</cp:keywords>
  <dc:description>Baseline Developed By: VMware and Defense Information Systems Agency (DISA) for the US DoD</dc:description>
  <cp:lastModifiedBy>Anicet Fopa Tchoffo</cp:lastModifiedBy>
  <dcterms:modified xsi:type="dcterms:W3CDTF">2026-06-08T12:33:24Z</dcterms:modified>
  <cp:category>DISA-STIG</cp:category>
  <cp:contentStatus>Draft</cp:contentStatus>
</cp:coreProperties>
</file>